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mc:AlternateContent xmlns:mc="http://schemas.openxmlformats.org/markup-compatibility/2006">
    <mc:Choice Requires="x15">
      <x15ac:absPath xmlns:x15ac="http://schemas.microsoft.com/office/spreadsheetml/2010/11/ac" url="C:\Users\aditya.thakar\Downloads\"/>
    </mc:Choice>
  </mc:AlternateContent>
  <xr:revisionPtr revIDLastSave="0" documentId="8_{0DC79377-62BB-41B3-B6BC-1449EB749991}" xr6:coauthVersionLast="47" xr6:coauthVersionMax="47" xr10:uidLastSave="{00000000-0000-0000-0000-000000000000}"/>
  <workbookProtection workbookAlgorithmName="SHA-512" workbookHashValue="YP2Ahsd3f1SZ4MSb+h56pLIZwUUsNwuWvVNWWZREg9Cyu8beDVbitjuXlMtBri22/AbaIxa4+NBntxXdXKs5lA==" workbookSaltValue="VHkqSAEMtfC7Izm3V3Rcbg==" workbookSpinCount="100000" lockStructure="1"/>
  <bookViews>
    <workbookView xWindow="-120" yWindow="-120" windowWidth="29040" windowHeight="15720" xr2:uid="{00000000-000D-0000-FFFF-FFFF00000000}"/>
  </bookViews>
  <sheets>
    <sheet name="How to Use" sheetId="1" r:id="rId1"/>
    <sheet name="ORDER Form" sheetId="2" r:id="rId2"/>
    <sheet name="ERROR SUMMARY" sheetId="3" state="hidden" r:id="rId3"/>
    <sheet name="SAP COPY PASTE" sheetId="4" state="hidden" r:id="rId4"/>
    <sheet name="RULES - STAFF ONLY" sheetId="5" state="hidden" r:id="rId5"/>
    <sheet name="RULES &amp; VERSION NOTES" sheetId="6" state="hidden" r:id="rId6"/>
    <sheet name="VBA MACRO (OPTIONAL)" sheetId="7" state="hidden" r:id="rId7"/>
    <sheet name="PRODUCT DATA" sheetId="8" state="hidden"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355" i="2" l="1"/>
  <c r="AB355" i="2"/>
  <c r="X355" i="2"/>
  <c r="G354" i="3" s="1"/>
  <c r="W355" i="2"/>
  <c r="F354" i="3" s="1"/>
  <c r="V355" i="2"/>
  <c r="N355" i="2"/>
  <c r="B355" i="2"/>
  <c r="AC354" i="2"/>
  <c r="AB354" i="2"/>
  <c r="X354" i="2"/>
  <c r="G353" i="3" s="1"/>
  <c r="W354" i="2"/>
  <c r="F353" i="3" s="1"/>
  <c r="V354" i="2"/>
  <c r="N354" i="2"/>
  <c r="B354" i="2"/>
  <c r="AC353" i="2"/>
  <c r="AB353" i="2"/>
  <c r="X353" i="2"/>
  <c r="G352" i="3" s="1"/>
  <c r="W353" i="2"/>
  <c r="F352" i="3" s="1"/>
  <c r="V353" i="2"/>
  <c r="N353" i="2"/>
  <c r="B353" i="2"/>
  <c r="AC352" i="2"/>
  <c r="AB352" i="2"/>
  <c r="X352" i="2"/>
  <c r="G351" i="3" s="1"/>
  <c r="W352" i="2"/>
  <c r="F351" i="3" s="1"/>
  <c r="V352" i="2"/>
  <c r="N352" i="2"/>
  <c r="B352" i="2"/>
  <c r="AC351" i="2"/>
  <c r="AB351" i="2"/>
  <c r="X351" i="2"/>
  <c r="G350" i="3" s="1"/>
  <c r="W351" i="2"/>
  <c r="F350" i="3" s="1"/>
  <c r="V351" i="2"/>
  <c r="N351" i="2"/>
  <c r="B351" i="2"/>
  <c r="AC350" i="2"/>
  <c r="AB350" i="2"/>
  <c r="X350" i="2"/>
  <c r="G349" i="3" s="1"/>
  <c r="W350" i="2"/>
  <c r="F349" i="3" s="1"/>
  <c r="V350" i="2"/>
  <c r="N350" i="2"/>
  <c r="B350" i="2"/>
  <c r="AC349" i="2"/>
  <c r="AB349" i="2"/>
  <c r="X349" i="2"/>
  <c r="G348" i="3" s="1"/>
  <c r="W349" i="2"/>
  <c r="F348" i="3" s="1"/>
  <c r="V349" i="2"/>
  <c r="N349" i="2"/>
  <c r="B349" i="2"/>
  <c r="AC348" i="2"/>
  <c r="AB348" i="2"/>
  <c r="X348" i="2"/>
  <c r="G347" i="3" s="1"/>
  <c r="W348" i="2"/>
  <c r="F347" i="3" s="1"/>
  <c r="V348" i="2"/>
  <c r="N348" i="2"/>
  <c r="B348" i="2"/>
  <c r="AC347" i="2"/>
  <c r="AB347" i="2"/>
  <c r="X347" i="2"/>
  <c r="G346" i="3" s="1"/>
  <c r="W347" i="2"/>
  <c r="F346" i="3" s="1"/>
  <c r="V347" i="2"/>
  <c r="N347" i="2"/>
  <c r="B347" i="2"/>
  <c r="AC346" i="2"/>
  <c r="AB346" i="2"/>
  <c r="X346" i="2"/>
  <c r="G345" i="3" s="1"/>
  <c r="W346" i="2"/>
  <c r="F345" i="3" s="1"/>
  <c r="V346" i="2"/>
  <c r="N346" i="2"/>
  <c r="B346" i="2"/>
  <c r="AC345" i="2"/>
  <c r="AB345" i="2"/>
  <c r="X345" i="2"/>
  <c r="G344" i="3" s="1"/>
  <c r="W345" i="2"/>
  <c r="F344" i="3" s="1"/>
  <c r="V345" i="2"/>
  <c r="N345" i="2"/>
  <c r="B345" i="2"/>
  <c r="AC344" i="2"/>
  <c r="AB344" i="2"/>
  <c r="X344" i="2"/>
  <c r="G343" i="3" s="1"/>
  <c r="W344" i="2"/>
  <c r="F343" i="3" s="1"/>
  <c r="V344" i="2"/>
  <c r="N344" i="2"/>
  <c r="B344" i="2"/>
  <c r="AC343" i="2"/>
  <c r="AB343" i="2"/>
  <c r="X343" i="2"/>
  <c r="G342" i="3" s="1"/>
  <c r="W343" i="2"/>
  <c r="F342" i="3" s="1"/>
  <c r="V343" i="2"/>
  <c r="N343" i="2"/>
  <c r="B343" i="2"/>
  <c r="AC342" i="2"/>
  <c r="AB342" i="2"/>
  <c r="X342" i="2"/>
  <c r="G341" i="3" s="1"/>
  <c r="W342" i="2"/>
  <c r="F341" i="3" s="1"/>
  <c r="V342" i="2"/>
  <c r="N342" i="2"/>
  <c r="B342" i="2"/>
  <c r="AC341" i="2"/>
  <c r="AB341" i="2"/>
  <c r="X341" i="2"/>
  <c r="G340" i="3" s="1"/>
  <c r="W341" i="2"/>
  <c r="F340" i="3" s="1"/>
  <c r="V341" i="2"/>
  <c r="N341" i="2"/>
  <c r="B341" i="2"/>
  <c r="AC340" i="2"/>
  <c r="AB340" i="2"/>
  <c r="X340" i="2"/>
  <c r="G339" i="3" s="1"/>
  <c r="W340" i="2"/>
  <c r="F339" i="3" s="1"/>
  <c r="V340" i="2"/>
  <c r="N340" i="2"/>
  <c r="B340" i="2"/>
  <c r="AC339" i="2"/>
  <c r="AB339" i="2"/>
  <c r="X339" i="2"/>
  <c r="G338" i="3" s="1"/>
  <c r="W339" i="2"/>
  <c r="F338" i="3" s="1"/>
  <c r="V339" i="2"/>
  <c r="N339" i="2"/>
  <c r="B339" i="2"/>
  <c r="AC338" i="2"/>
  <c r="AB338" i="2"/>
  <c r="X338" i="2"/>
  <c r="G337" i="3" s="1"/>
  <c r="W338" i="2"/>
  <c r="F337" i="3" s="1"/>
  <c r="V338" i="2"/>
  <c r="N338" i="2"/>
  <c r="B338" i="2"/>
  <c r="AC337" i="2"/>
  <c r="AB337" i="2"/>
  <c r="X337" i="2"/>
  <c r="G336" i="3" s="1"/>
  <c r="W337" i="2"/>
  <c r="F336" i="3" s="1"/>
  <c r="V337" i="2"/>
  <c r="N337" i="2"/>
  <c r="B337" i="2"/>
  <c r="AC336" i="2"/>
  <c r="AB336" i="2"/>
  <c r="X336" i="2"/>
  <c r="G335" i="3" s="1"/>
  <c r="W336" i="2"/>
  <c r="F335" i="3" s="1"/>
  <c r="V336" i="2"/>
  <c r="N336" i="2"/>
  <c r="B336" i="2"/>
  <c r="AC335" i="2"/>
  <c r="AB335" i="2"/>
  <c r="X335" i="2"/>
  <c r="G334" i="3" s="1"/>
  <c r="W335" i="2"/>
  <c r="F334" i="3" s="1"/>
  <c r="V335" i="2"/>
  <c r="N335" i="2"/>
  <c r="B335" i="2"/>
  <c r="AC334" i="2"/>
  <c r="AB334" i="2"/>
  <c r="X334" i="2"/>
  <c r="G333" i="3" s="1"/>
  <c r="W334" i="2"/>
  <c r="F333" i="3" s="1"/>
  <c r="V334" i="2"/>
  <c r="N334" i="2"/>
  <c r="B334" i="2"/>
  <c r="AC333" i="2"/>
  <c r="AB333" i="2"/>
  <c r="X333" i="2"/>
  <c r="G332" i="3" s="1"/>
  <c r="W333" i="2"/>
  <c r="F332" i="3" s="1"/>
  <c r="V333" i="2"/>
  <c r="N333" i="2"/>
  <c r="B333" i="2"/>
  <c r="AC332" i="2"/>
  <c r="AB332" i="2"/>
  <c r="X332" i="2"/>
  <c r="G331" i="3" s="1"/>
  <c r="W332" i="2"/>
  <c r="F331" i="3" s="1"/>
  <c r="V332" i="2"/>
  <c r="N332" i="2"/>
  <c r="B332" i="2"/>
  <c r="AC331" i="2"/>
  <c r="AB331" i="2"/>
  <c r="X331" i="2"/>
  <c r="G330" i="3" s="1"/>
  <c r="W331" i="2"/>
  <c r="F330" i="3" s="1"/>
  <c r="V331" i="2"/>
  <c r="N331" i="2"/>
  <c r="B331" i="2"/>
  <c r="AC330" i="2"/>
  <c r="AB330" i="2"/>
  <c r="X330" i="2"/>
  <c r="G329" i="3" s="1"/>
  <c r="W330" i="2"/>
  <c r="F329" i="3" s="1"/>
  <c r="V330" i="2"/>
  <c r="N330" i="2"/>
  <c r="B330" i="2"/>
  <c r="AC329" i="2"/>
  <c r="AB329" i="2"/>
  <c r="X329" i="2"/>
  <c r="G328" i="3" s="1"/>
  <c r="W329" i="2"/>
  <c r="F328" i="3" s="1"/>
  <c r="V329" i="2"/>
  <c r="N329" i="2"/>
  <c r="B329" i="2"/>
  <c r="AC328" i="2"/>
  <c r="AB328" i="2"/>
  <c r="X328" i="2"/>
  <c r="G327" i="3" s="1"/>
  <c r="W328" i="2"/>
  <c r="F327" i="3" s="1"/>
  <c r="V328" i="2"/>
  <c r="N328" i="2"/>
  <c r="B328" i="2"/>
  <c r="AC327" i="2"/>
  <c r="AB327" i="2"/>
  <c r="X327" i="2"/>
  <c r="G326" i="3" s="1"/>
  <c r="W327" i="2"/>
  <c r="F326" i="3" s="1"/>
  <c r="V327" i="2"/>
  <c r="N327" i="2"/>
  <c r="B327" i="2"/>
  <c r="AC326" i="2"/>
  <c r="AB326" i="2"/>
  <c r="X326" i="2"/>
  <c r="G325" i="3" s="1"/>
  <c r="W326" i="2"/>
  <c r="F325" i="3" s="1"/>
  <c r="V326" i="2"/>
  <c r="N326" i="2"/>
  <c r="B326" i="2"/>
  <c r="AC325" i="2"/>
  <c r="AB325" i="2"/>
  <c r="X325" i="2"/>
  <c r="G324" i="3" s="1"/>
  <c r="W325" i="2"/>
  <c r="F324" i="3" s="1"/>
  <c r="V325" i="2"/>
  <c r="N325" i="2"/>
  <c r="B325" i="2"/>
  <c r="AC324" i="2"/>
  <c r="AB324" i="2"/>
  <c r="X324" i="2"/>
  <c r="G323" i="3" s="1"/>
  <c r="W324" i="2"/>
  <c r="F323" i="3" s="1"/>
  <c r="V324" i="2"/>
  <c r="N324" i="2"/>
  <c r="B324" i="2"/>
  <c r="AC323" i="2"/>
  <c r="AB323" i="2"/>
  <c r="X323" i="2"/>
  <c r="G322" i="3" s="1"/>
  <c r="W323" i="2"/>
  <c r="F322" i="3" s="1"/>
  <c r="V323" i="2"/>
  <c r="N323" i="2"/>
  <c r="B323" i="2"/>
  <c r="AC322" i="2"/>
  <c r="AB322" i="2"/>
  <c r="X322" i="2"/>
  <c r="G321" i="3" s="1"/>
  <c r="W322" i="2"/>
  <c r="F321" i="3" s="1"/>
  <c r="V322" i="2"/>
  <c r="N322" i="2"/>
  <c r="B322" i="2"/>
  <c r="AC321" i="2"/>
  <c r="AB321" i="2"/>
  <c r="X321" i="2"/>
  <c r="G320" i="3" s="1"/>
  <c r="W321" i="2"/>
  <c r="F320" i="3" s="1"/>
  <c r="V321" i="2"/>
  <c r="N321" i="2"/>
  <c r="B321" i="2"/>
  <c r="AC320" i="2"/>
  <c r="AB320" i="2"/>
  <c r="X320" i="2"/>
  <c r="G319" i="3" s="1"/>
  <c r="W320" i="2"/>
  <c r="F319" i="3" s="1"/>
  <c r="V320" i="2"/>
  <c r="N320" i="2"/>
  <c r="B320" i="2"/>
  <c r="AC319" i="2"/>
  <c r="AB319" i="2"/>
  <c r="X319" i="2"/>
  <c r="G318" i="3" s="1"/>
  <c r="W319" i="2"/>
  <c r="F318" i="3" s="1"/>
  <c r="V319" i="2"/>
  <c r="N319" i="2"/>
  <c r="B319" i="2"/>
  <c r="AC318" i="2"/>
  <c r="AB318" i="2"/>
  <c r="X318" i="2"/>
  <c r="G317" i="3" s="1"/>
  <c r="W318" i="2"/>
  <c r="F317" i="3" s="1"/>
  <c r="V318" i="2"/>
  <c r="N318" i="2"/>
  <c r="B318" i="2"/>
  <c r="AC317" i="2"/>
  <c r="AB317" i="2"/>
  <c r="X317" i="2"/>
  <c r="G316" i="3" s="1"/>
  <c r="W317" i="2"/>
  <c r="F316" i="3" s="1"/>
  <c r="V317" i="2"/>
  <c r="N317" i="2"/>
  <c r="B317" i="2"/>
  <c r="AC316" i="2"/>
  <c r="AB316" i="2"/>
  <c r="X316" i="2"/>
  <c r="G315" i="3" s="1"/>
  <c r="W316" i="2"/>
  <c r="F315" i="3" s="1"/>
  <c r="V316" i="2"/>
  <c r="N316" i="2"/>
  <c r="B316" i="2"/>
  <c r="AC315" i="2"/>
  <c r="AB315" i="2"/>
  <c r="X315" i="2"/>
  <c r="G314" i="3" s="1"/>
  <c r="W315" i="2"/>
  <c r="F314" i="3" s="1"/>
  <c r="V315" i="2"/>
  <c r="N315" i="2"/>
  <c r="B315" i="2"/>
  <c r="AC314" i="2"/>
  <c r="AB314" i="2"/>
  <c r="X314" i="2"/>
  <c r="G313" i="3" s="1"/>
  <c r="W314" i="2"/>
  <c r="F313" i="3" s="1"/>
  <c r="V314" i="2"/>
  <c r="N314" i="2"/>
  <c r="B314" i="2"/>
  <c r="AC313" i="2"/>
  <c r="AB313" i="2"/>
  <c r="X313" i="2"/>
  <c r="G312" i="3" s="1"/>
  <c r="W313" i="2"/>
  <c r="F312" i="3" s="1"/>
  <c r="V313" i="2"/>
  <c r="N313" i="2"/>
  <c r="B313" i="2"/>
  <c r="AC312" i="2"/>
  <c r="AB312" i="2"/>
  <c r="X312" i="2"/>
  <c r="G311" i="3" s="1"/>
  <c r="W312" i="2"/>
  <c r="F311" i="3" s="1"/>
  <c r="V312" i="2"/>
  <c r="N312" i="2"/>
  <c r="B312" i="2"/>
  <c r="AC311" i="2"/>
  <c r="AB311" i="2"/>
  <c r="X311" i="2"/>
  <c r="G310" i="3" s="1"/>
  <c r="W311" i="2"/>
  <c r="F310" i="3" s="1"/>
  <c r="V311" i="2"/>
  <c r="N311" i="2"/>
  <c r="B311" i="2"/>
  <c r="AC310" i="2"/>
  <c r="AB310" i="2"/>
  <c r="X310" i="2"/>
  <c r="G309" i="3" s="1"/>
  <c r="W310" i="2"/>
  <c r="F309" i="3" s="1"/>
  <c r="V310" i="2"/>
  <c r="N310" i="2"/>
  <c r="B310" i="2"/>
  <c r="AC309" i="2"/>
  <c r="AB309" i="2"/>
  <c r="X309" i="2"/>
  <c r="G308" i="3" s="1"/>
  <c r="W309" i="2"/>
  <c r="F308" i="3" s="1"/>
  <c r="V309" i="2"/>
  <c r="N309" i="2"/>
  <c r="B309" i="2"/>
  <c r="AC308" i="2"/>
  <c r="AB308" i="2"/>
  <c r="X308" i="2"/>
  <c r="G307" i="3" s="1"/>
  <c r="W308" i="2"/>
  <c r="F307" i="3" s="1"/>
  <c r="V308" i="2"/>
  <c r="N308" i="2"/>
  <c r="B308" i="2"/>
  <c r="AC307" i="2"/>
  <c r="AB307" i="2"/>
  <c r="X307" i="2"/>
  <c r="G306" i="3" s="1"/>
  <c r="W307" i="2"/>
  <c r="F306" i="3" s="1"/>
  <c r="V307" i="2"/>
  <c r="N307" i="2"/>
  <c r="B307" i="2"/>
  <c r="AC306" i="2"/>
  <c r="AB306" i="2"/>
  <c r="X306" i="2"/>
  <c r="G305" i="3" s="1"/>
  <c r="W306" i="2"/>
  <c r="F305" i="3" s="1"/>
  <c r="V306" i="2"/>
  <c r="N306" i="2"/>
  <c r="B306" i="2"/>
  <c r="AC305" i="2"/>
  <c r="AB305" i="2"/>
  <c r="X305" i="2"/>
  <c r="G304" i="3" s="1"/>
  <c r="W305" i="2"/>
  <c r="F304" i="3" s="1"/>
  <c r="V305" i="2"/>
  <c r="N305" i="2"/>
  <c r="B305" i="2"/>
  <c r="AC304" i="2"/>
  <c r="AB304" i="2"/>
  <c r="X304" i="2"/>
  <c r="G303" i="3" s="1"/>
  <c r="W304" i="2"/>
  <c r="F303" i="3" s="1"/>
  <c r="V304" i="2"/>
  <c r="N304" i="2"/>
  <c r="B304" i="2"/>
  <c r="AC303" i="2"/>
  <c r="AB303" i="2"/>
  <c r="X303" i="2"/>
  <c r="G302" i="3" s="1"/>
  <c r="W303" i="2"/>
  <c r="F302" i="3" s="1"/>
  <c r="V303" i="2"/>
  <c r="N303" i="2"/>
  <c r="B303" i="2"/>
  <c r="AC302" i="2"/>
  <c r="AB302" i="2"/>
  <c r="X302" i="2"/>
  <c r="G301" i="3" s="1"/>
  <c r="W302" i="2"/>
  <c r="F301" i="3" s="1"/>
  <c r="V302" i="2"/>
  <c r="N302" i="2"/>
  <c r="B302" i="2"/>
  <c r="AC301" i="2"/>
  <c r="AB301" i="2"/>
  <c r="X301" i="2"/>
  <c r="G300" i="3" s="1"/>
  <c r="W301" i="2"/>
  <c r="F300" i="3" s="1"/>
  <c r="V301" i="2"/>
  <c r="N301" i="2"/>
  <c r="B301" i="2"/>
  <c r="AC300" i="2"/>
  <c r="AB300" i="2"/>
  <c r="X300" i="2"/>
  <c r="G299" i="3" s="1"/>
  <c r="W300" i="2"/>
  <c r="F299" i="3" s="1"/>
  <c r="V300" i="2"/>
  <c r="N300" i="2"/>
  <c r="B300" i="2"/>
  <c r="AC299" i="2"/>
  <c r="AB299" i="2"/>
  <c r="X299" i="2"/>
  <c r="G298" i="3" s="1"/>
  <c r="W299" i="2"/>
  <c r="F298" i="3" s="1"/>
  <c r="V299" i="2"/>
  <c r="N299" i="2"/>
  <c r="B299" i="2"/>
  <c r="AC298" i="2"/>
  <c r="AB298" i="2"/>
  <c r="X298" i="2"/>
  <c r="G297" i="3" s="1"/>
  <c r="W298" i="2"/>
  <c r="F297" i="3" s="1"/>
  <c r="V298" i="2"/>
  <c r="N298" i="2"/>
  <c r="B298" i="2"/>
  <c r="AC297" i="2"/>
  <c r="AB297" i="2"/>
  <c r="X297" i="2"/>
  <c r="G296" i="3" s="1"/>
  <c r="W297" i="2"/>
  <c r="F296" i="3" s="1"/>
  <c r="V297" i="2"/>
  <c r="N297" i="2"/>
  <c r="B297" i="2"/>
  <c r="AC296" i="2"/>
  <c r="AB296" i="2"/>
  <c r="X296" i="2"/>
  <c r="G295" i="3" s="1"/>
  <c r="W296" i="2"/>
  <c r="F295" i="3" s="1"/>
  <c r="V296" i="2"/>
  <c r="N296" i="2"/>
  <c r="B296" i="2"/>
  <c r="AC295" i="2"/>
  <c r="AB295" i="2"/>
  <c r="X295" i="2"/>
  <c r="G294" i="3" s="1"/>
  <c r="W295" i="2"/>
  <c r="F294" i="3" s="1"/>
  <c r="V295" i="2"/>
  <c r="N295" i="2"/>
  <c r="B295" i="2"/>
  <c r="AC294" i="2"/>
  <c r="AB294" i="2"/>
  <c r="X294" i="2"/>
  <c r="G293" i="3" s="1"/>
  <c r="W294" i="2"/>
  <c r="F293" i="3" s="1"/>
  <c r="V294" i="2"/>
  <c r="N294" i="2"/>
  <c r="B294" i="2"/>
  <c r="AC293" i="2"/>
  <c r="AB293" i="2"/>
  <c r="X293" i="2"/>
  <c r="G292" i="3" s="1"/>
  <c r="W293" i="2"/>
  <c r="F292" i="3" s="1"/>
  <c r="V293" i="2"/>
  <c r="N293" i="2"/>
  <c r="B293" i="2"/>
  <c r="AC292" i="2"/>
  <c r="AB292" i="2"/>
  <c r="X292" i="2"/>
  <c r="G291" i="3" s="1"/>
  <c r="W292" i="2"/>
  <c r="F291" i="3" s="1"/>
  <c r="V292" i="2"/>
  <c r="N292" i="2"/>
  <c r="B292" i="2"/>
  <c r="AC291" i="2"/>
  <c r="AB291" i="2"/>
  <c r="X291" i="2"/>
  <c r="G290" i="3" s="1"/>
  <c r="W291" i="2"/>
  <c r="F290" i="3" s="1"/>
  <c r="V291" i="2"/>
  <c r="N291" i="2"/>
  <c r="B291" i="2"/>
  <c r="AC290" i="2"/>
  <c r="AB290" i="2"/>
  <c r="X290" i="2"/>
  <c r="G289" i="3" s="1"/>
  <c r="W290" i="2"/>
  <c r="F289" i="3" s="1"/>
  <c r="V290" i="2"/>
  <c r="N290" i="2"/>
  <c r="B290" i="2"/>
  <c r="AC289" i="2"/>
  <c r="AB289" i="2"/>
  <c r="X289" i="2"/>
  <c r="G288" i="3" s="1"/>
  <c r="W289" i="2"/>
  <c r="F288" i="3" s="1"/>
  <c r="V289" i="2"/>
  <c r="N289" i="2"/>
  <c r="B289" i="2"/>
  <c r="AC288" i="2"/>
  <c r="AB288" i="2"/>
  <c r="X288" i="2"/>
  <c r="G287" i="3" s="1"/>
  <c r="W288" i="2"/>
  <c r="F287" i="3" s="1"/>
  <c r="V288" i="2"/>
  <c r="N288" i="2"/>
  <c r="B288" i="2"/>
  <c r="AC287" i="2"/>
  <c r="AB287" i="2"/>
  <c r="X287" i="2"/>
  <c r="G286" i="3" s="1"/>
  <c r="W287" i="2"/>
  <c r="F286" i="3" s="1"/>
  <c r="V287" i="2"/>
  <c r="N287" i="2"/>
  <c r="B287" i="2"/>
  <c r="AC286" i="2"/>
  <c r="AB286" i="2"/>
  <c r="X286" i="2"/>
  <c r="G285" i="3" s="1"/>
  <c r="W286" i="2"/>
  <c r="F285" i="3" s="1"/>
  <c r="V286" i="2"/>
  <c r="N286" i="2"/>
  <c r="B286" i="2"/>
  <c r="AC285" i="2"/>
  <c r="AB285" i="2"/>
  <c r="X285" i="2"/>
  <c r="G284" i="3" s="1"/>
  <c r="W285" i="2"/>
  <c r="F284" i="3" s="1"/>
  <c r="V285" i="2"/>
  <c r="N285" i="2"/>
  <c r="B285" i="2"/>
  <c r="AC284" i="2"/>
  <c r="AB284" i="2"/>
  <c r="X284" i="2"/>
  <c r="G283" i="3" s="1"/>
  <c r="W284" i="2"/>
  <c r="F283" i="3" s="1"/>
  <c r="V284" i="2"/>
  <c r="N284" i="2"/>
  <c r="B284" i="2"/>
  <c r="AC283" i="2"/>
  <c r="AB283" i="2"/>
  <c r="X283" i="2"/>
  <c r="G282" i="3" s="1"/>
  <c r="W283" i="2"/>
  <c r="F282" i="3" s="1"/>
  <c r="V283" i="2"/>
  <c r="N283" i="2"/>
  <c r="B283" i="2"/>
  <c r="AC282" i="2"/>
  <c r="AB282" i="2"/>
  <c r="X282" i="2"/>
  <c r="G281" i="3" s="1"/>
  <c r="W282" i="2"/>
  <c r="F281" i="3" s="1"/>
  <c r="V282" i="2"/>
  <c r="N282" i="2"/>
  <c r="B282" i="2"/>
  <c r="AC281" i="2"/>
  <c r="AB281" i="2"/>
  <c r="X281" i="2"/>
  <c r="G280" i="3" s="1"/>
  <c r="W281" i="2"/>
  <c r="F280" i="3" s="1"/>
  <c r="V281" i="2"/>
  <c r="N281" i="2"/>
  <c r="B281" i="2"/>
  <c r="AC280" i="2"/>
  <c r="AB280" i="2"/>
  <c r="X280" i="2"/>
  <c r="G279" i="3" s="1"/>
  <c r="W280" i="2"/>
  <c r="F279" i="3" s="1"/>
  <c r="V280" i="2"/>
  <c r="N280" i="2"/>
  <c r="B280" i="2"/>
  <c r="AC279" i="2"/>
  <c r="AB279" i="2"/>
  <c r="X279" i="2"/>
  <c r="G278" i="3" s="1"/>
  <c r="W279" i="2"/>
  <c r="F278" i="3" s="1"/>
  <c r="V279" i="2"/>
  <c r="N279" i="2"/>
  <c r="B279" i="2"/>
  <c r="AC278" i="2"/>
  <c r="AB278" i="2"/>
  <c r="X278" i="2"/>
  <c r="G277" i="3" s="1"/>
  <c r="W278" i="2"/>
  <c r="F277" i="3" s="1"/>
  <c r="V278" i="2"/>
  <c r="N278" i="2"/>
  <c r="B278" i="2"/>
  <c r="AC277" i="2"/>
  <c r="AB277" i="2"/>
  <c r="X277" i="2"/>
  <c r="G276" i="3" s="1"/>
  <c r="W277" i="2"/>
  <c r="F276" i="3" s="1"/>
  <c r="V277" i="2"/>
  <c r="N277" i="2"/>
  <c r="B277" i="2"/>
  <c r="AC276" i="2"/>
  <c r="AB276" i="2"/>
  <c r="X276" i="2"/>
  <c r="G275" i="3" s="1"/>
  <c r="W276" i="2"/>
  <c r="F275" i="3" s="1"/>
  <c r="V276" i="2"/>
  <c r="N276" i="2"/>
  <c r="B276" i="2"/>
  <c r="AC275" i="2"/>
  <c r="AB275" i="2"/>
  <c r="X275" i="2"/>
  <c r="G274" i="3" s="1"/>
  <c r="W275" i="2"/>
  <c r="F274" i="3" s="1"/>
  <c r="V275" i="2"/>
  <c r="N275" i="2"/>
  <c r="B275" i="2"/>
  <c r="AC274" i="2"/>
  <c r="AB274" i="2"/>
  <c r="X274" i="2"/>
  <c r="G273" i="3" s="1"/>
  <c r="W274" i="2"/>
  <c r="F273" i="3" s="1"/>
  <c r="V274" i="2"/>
  <c r="N274" i="2"/>
  <c r="B274" i="2"/>
  <c r="AC273" i="2"/>
  <c r="AB273" i="2"/>
  <c r="X273" i="2"/>
  <c r="G272" i="3" s="1"/>
  <c r="W273" i="2"/>
  <c r="F272" i="3" s="1"/>
  <c r="V273" i="2"/>
  <c r="N273" i="2"/>
  <c r="B273" i="2"/>
  <c r="AC272" i="2"/>
  <c r="AB272" i="2"/>
  <c r="X272" i="2"/>
  <c r="G271" i="3" s="1"/>
  <c r="W272" i="2"/>
  <c r="F271" i="3" s="1"/>
  <c r="V272" i="2"/>
  <c r="N272" i="2"/>
  <c r="B272" i="2"/>
  <c r="AC271" i="2"/>
  <c r="AB271" i="2"/>
  <c r="X271" i="2"/>
  <c r="G270" i="3" s="1"/>
  <c r="W271" i="2"/>
  <c r="F270" i="3" s="1"/>
  <c r="V271" i="2"/>
  <c r="N271" i="2"/>
  <c r="B271" i="2"/>
  <c r="AC270" i="2"/>
  <c r="AB270" i="2"/>
  <c r="X270" i="2"/>
  <c r="G269" i="3" s="1"/>
  <c r="W270" i="2"/>
  <c r="F269" i="3" s="1"/>
  <c r="V270" i="2"/>
  <c r="N270" i="2"/>
  <c r="B270" i="2"/>
  <c r="AC269" i="2"/>
  <c r="AB269" i="2"/>
  <c r="X269" i="2"/>
  <c r="G268" i="3" s="1"/>
  <c r="W269" i="2"/>
  <c r="F268" i="3" s="1"/>
  <c r="V269" i="2"/>
  <c r="N269" i="2"/>
  <c r="B269" i="2"/>
  <c r="AC268" i="2"/>
  <c r="AB268" i="2"/>
  <c r="X268" i="2"/>
  <c r="G267" i="3" s="1"/>
  <c r="W268" i="2"/>
  <c r="F267" i="3" s="1"/>
  <c r="V268" i="2"/>
  <c r="N268" i="2"/>
  <c r="B268" i="2"/>
  <c r="AC267" i="2"/>
  <c r="AB267" i="2"/>
  <c r="X267" i="2"/>
  <c r="G266" i="3" s="1"/>
  <c r="W267" i="2"/>
  <c r="F266" i="3" s="1"/>
  <c r="V267" i="2"/>
  <c r="N267" i="2"/>
  <c r="B267" i="2"/>
  <c r="AC266" i="2"/>
  <c r="AB266" i="2"/>
  <c r="X266" i="2"/>
  <c r="G265" i="3" s="1"/>
  <c r="W266" i="2"/>
  <c r="F265" i="3" s="1"/>
  <c r="V266" i="2"/>
  <c r="N266" i="2"/>
  <c r="B266" i="2"/>
  <c r="AC265" i="2"/>
  <c r="AB265" i="2"/>
  <c r="X265" i="2"/>
  <c r="G264" i="3" s="1"/>
  <c r="W265" i="2"/>
  <c r="F264" i="3" s="1"/>
  <c r="V265" i="2"/>
  <c r="N265" i="2"/>
  <c r="B265" i="2"/>
  <c r="AC264" i="2"/>
  <c r="AB264" i="2"/>
  <c r="X264" i="2"/>
  <c r="G263" i="3" s="1"/>
  <c r="W264" i="2"/>
  <c r="F263" i="3" s="1"/>
  <c r="V264" i="2"/>
  <c r="N264" i="2"/>
  <c r="B264" i="2"/>
  <c r="AC263" i="2"/>
  <c r="AB263" i="2"/>
  <c r="X263" i="2"/>
  <c r="G262" i="3" s="1"/>
  <c r="W263" i="2"/>
  <c r="F262" i="3" s="1"/>
  <c r="V263" i="2"/>
  <c r="N263" i="2"/>
  <c r="B263" i="2"/>
  <c r="AC262" i="2"/>
  <c r="AB262" i="2"/>
  <c r="X262" i="2"/>
  <c r="G261" i="3" s="1"/>
  <c r="W262" i="2"/>
  <c r="F261" i="3" s="1"/>
  <c r="V262" i="2"/>
  <c r="N262" i="2"/>
  <c r="B262" i="2"/>
  <c r="AC261" i="2"/>
  <c r="AB261" i="2"/>
  <c r="X261" i="2"/>
  <c r="G260" i="3" s="1"/>
  <c r="W261" i="2"/>
  <c r="F260" i="3" s="1"/>
  <c r="V261" i="2"/>
  <c r="N261" i="2"/>
  <c r="B261" i="2"/>
  <c r="AC260" i="2"/>
  <c r="AB260" i="2"/>
  <c r="X260" i="2"/>
  <c r="G259" i="3" s="1"/>
  <c r="W260" i="2"/>
  <c r="F259" i="3" s="1"/>
  <c r="V260" i="2"/>
  <c r="N260" i="2"/>
  <c r="B260" i="2"/>
  <c r="AC259" i="2"/>
  <c r="AB259" i="2"/>
  <c r="X259" i="2"/>
  <c r="G258" i="3" s="1"/>
  <c r="W259" i="2"/>
  <c r="F258" i="3" s="1"/>
  <c r="V259" i="2"/>
  <c r="N259" i="2"/>
  <c r="B259" i="2"/>
  <c r="AC258" i="2"/>
  <c r="AB258" i="2"/>
  <c r="X258" i="2"/>
  <c r="G257" i="3" s="1"/>
  <c r="W258" i="2"/>
  <c r="F257" i="3" s="1"/>
  <c r="V258" i="2"/>
  <c r="N258" i="2"/>
  <c r="B258" i="2"/>
  <c r="AC257" i="2"/>
  <c r="AB257" i="2"/>
  <c r="X257" i="2"/>
  <c r="G256" i="3" s="1"/>
  <c r="W257" i="2"/>
  <c r="F256" i="3" s="1"/>
  <c r="V257" i="2"/>
  <c r="N257" i="2"/>
  <c r="B257" i="2"/>
  <c r="AC256" i="2"/>
  <c r="AB256" i="2"/>
  <c r="X256" i="2"/>
  <c r="G255" i="3" s="1"/>
  <c r="W256" i="2"/>
  <c r="F255" i="3" s="1"/>
  <c r="V256" i="2"/>
  <c r="N256" i="2"/>
  <c r="B256" i="2"/>
  <c r="AC255" i="2"/>
  <c r="AB255" i="2"/>
  <c r="X255" i="2"/>
  <c r="G254" i="3" s="1"/>
  <c r="W255" i="2"/>
  <c r="F254" i="3" s="1"/>
  <c r="V255" i="2"/>
  <c r="N255" i="2"/>
  <c r="B255" i="2"/>
  <c r="AC254" i="2"/>
  <c r="AB254" i="2"/>
  <c r="X254" i="2"/>
  <c r="G253" i="3" s="1"/>
  <c r="W254" i="2"/>
  <c r="F253" i="3" s="1"/>
  <c r="V254" i="2"/>
  <c r="N254" i="2"/>
  <c r="B254" i="2"/>
  <c r="AC253" i="2"/>
  <c r="AB253" i="2"/>
  <c r="X253" i="2"/>
  <c r="G252" i="3" s="1"/>
  <c r="W253" i="2"/>
  <c r="F252" i="3" s="1"/>
  <c r="V253" i="2"/>
  <c r="N253" i="2"/>
  <c r="B253" i="2"/>
  <c r="AC252" i="2"/>
  <c r="AB252" i="2"/>
  <c r="X252" i="2"/>
  <c r="G251" i="3" s="1"/>
  <c r="W252" i="2"/>
  <c r="F251" i="3" s="1"/>
  <c r="V252" i="2"/>
  <c r="N252" i="2"/>
  <c r="B252" i="2"/>
  <c r="AC251" i="2"/>
  <c r="AB251" i="2"/>
  <c r="X251" i="2"/>
  <c r="G250" i="3" s="1"/>
  <c r="W251" i="2"/>
  <c r="F250" i="3" s="1"/>
  <c r="V251" i="2"/>
  <c r="N251" i="2"/>
  <c r="B251" i="2"/>
  <c r="AC250" i="2"/>
  <c r="AB250" i="2"/>
  <c r="X250" i="2"/>
  <c r="G249" i="3" s="1"/>
  <c r="W250" i="2"/>
  <c r="F249" i="3" s="1"/>
  <c r="V250" i="2"/>
  <c r="N250" i="2"/>
  <c r="B250" i="2"/>
  <c r="AC249" i="2"/>
  <c r="AB249" i="2"/>
  <c r="X249" i="2"/>
  <c r="G248" i="3" s="1"/>
  <c r="W249" i="2"/>
  <c r="F248" i="3" s="1"/>
  <c r="V249" i="2"/>
  <c r="N249" i="2"/>
  <c r="B249" i="2"/>
  <c r="AC248" i="2"/>
  <c r="AB248" i="2"/>
  <c r="X248" i="2"/>
  <c r="G247" i="3" s="1"/>
  <c r="W248" i="2"/>
  <c r="F247" i="3" s="1"/>
  <c r="V248" i="2"/>
  <c r="N248" i="2"/>
  <c r="B248" i="2"/>
  <c r="AC247" i="2"/>
  <c r="AB247" i="2"/>
  <c r="X247" i="2"/>
  <c r="G246" i="3" s="1"/>
  <c r="W247" i="2"/>
  <c r="F246" i="3" s="1"/>
  <c r="V247" i="2"/>
  <c r="N247" i="2"/>
  <c r="B247" i="2"/>
  <c r="AC246" i="2"/>
  <c r="AB246" i="2"/>
  <c r="X246" i="2"/>
  <c r="G245" i="3" s="1"/>
  <c r="W246" i="2"/>
  <c r="F245" i="3" s="1"/>
  <c r="V246" i="2"/>
  <c r="N246" i="2"/>
  <c r="B246" i="2"/>
  <c r="AC245" i="2"/>
  <c r="AB245" i="2"/>
  <c r="X245" i="2"/>
  <c r="G244" i="3" s="1"/>
  <c r="W245" i="2"/>
  <c r="F244" i="3" s="1"/>
  <c r="V245" i="2"/>
  <c r="N245" i="2"/>
  <c r="B245" i="2"/>
  <c r="AC244" i="2"/>
  <c r="AB244" i="2"/>
  <c r="X244" i="2"/>
  <c r="G243" i="3" s="1"/>
  <c r="W244" i="2"/>
  <c r="F243" i="3" s="1"/>
  <c r="V244" i="2"/>
  <c r="N244" i="2"/>
  <c r="B244" i="2"/>
  <c r="AC243" i="2"/>
  <c r="AB243" i="2"/>
  <c r="X243" i="2"/>
  <c r="G242" i="3" s="1"/>
  <c r="W243" i="2"/>
  <c r="F242" i="3" s="1"/>
  <c r="V243" i="2"/>
  <c r="N243" i="2"/>
  <c r="B243" i="2"/>
  <c r="AC242" i="2"/>
  <c r="AB242" i="2"/>
  <c r="X242" i="2"/>
  <c r="G241" i="3" s="1"/>
  <c r="W242" i="2"/>
  <c r="F241" i="3" s="1"/>
  <c r="V242" i="2"/>
  <c r="N242" i="2"/>
  <c r="B242" i="2"/>
  <c r="AC241" i="2"/>
  <c r="AB241" i="2"/>
  <c r="X241" i="2"/>
  <c r="G240" i="3" s="1"/>
  <c r="W241" i="2"/>
  <c r="F240" i="3" s="1"/>
  <c r="V241" i="2"/>
  <c r="N241" i="2"/>
  <c r="B241" i="2"/>
  <c r="AC240" i="2"/>
  <c r="AB240" i="2"/>
  <c r="X240" i="2"/>
  <c r="G239" i="3" s="1"/>
  <c r="W240" i="2"/>
  <c r="F239" i="3" s="1"/>
  <c r="V240" i="2"/>
  <c r="N240" i="2"/>
  <c r="B240" i="2"/>
  <c r="AC239" i="2"/>
  <c r="AB239" i="2"/>
  <c r="X239" i="2"/>
  <c r="G238" i="3" s="1"/>
  <c r="W239" i="2"/>
  <c r="F238" i="3" s="1"/>
  <c r="V239" i="2"/>
  <c r="N239" i="2"/>
  <c r="B239" i="2"/>
  <c r="AC238" i="2"/>
  <c r="AB238" i="2"/>
  <c r="X238" i="2"/>
  <c r="G237" i="3" s="1"/>
  <c r="W238" i="2"/>
  <c r="F237" i="3" s="1"/>
  <c r="V238" i="2"/>
  <c r="N238" i="2"/>
  <c r="B238" i="2"/>
  <c r="AC237" i="2"/>
  <c r="AB237" i="2"/>
  <c r="X237" i="2"/>
  <c r="G236" i="3" s="1"/>
  <c r="W237" i="2"/>
  <c r="F236" i="3" s="1"/>
  <c r="V237" i="2"/>
  <c r="N237" i="2"/>
  <c r="B237" i="2"/>
  <c r="AC236" i="2"/>
  <c r="AB236" i="2"/>
  <c r="X236" i="2"/>
  <c r="G235" i="3" s="1"/>
  <c r="W236" i="2"/>
  <c r="F235" i="3" s="1"/>
  <c r="V236" i="2"/>
  <c r="N236" i="2"/>
  <c r="B236" i="2"/>
  <c r="AC235" i="2"/>
  <c r="AB235" i="2"/>
  <c r="X235" i="2"/>
  <c r="G234" i="3" s="1"/>
  <c r="W235" i="2"/>
  <c r="F234" i="3" s="1"/>
  <c r="V235" i="2"/>
  <c r="N235" i="2"/>
  <c r="B235" i="2"/>
  <c r="AC234" i="2"/>
  <c r="AB234" i="2"/>
  <c r="X234" i="2"/>
  <c r="G233" i="3" s="1"/>
  <c r="W234" i="2"/>
  <c r="F233" i="3" s="1"/>
  <c r="V234" i="2"/>
  <c r="N234" i="2"/>
  <c r="B234" i="2"/>
  <c r="AC233" i="2"/>
  <c r="AB233" i="2"/>
  <c r="X233" i="2"/>
  <c r="G232" i="3" s="1"/>
  <c r="W233" i="2"/>
  <c r="F232" i="3" s="1"/>
  <c r="V233" i="2"/>
  <c r="N233" i="2"/>
  <c r="B233" i="2"/>
  <c r="AC232" i="2"/>
  <c r="AB232" i="2"/>
  <c r="X232" i="2"/>
  <c r="G231" i="3" s="1"/>
  <c r="W232" i="2"/>
  <c r="F231" i="3" s="1"/>
  <c r="V232" i="2"/>
  <c r="N232" i="2"/>
  <c r="B232" i="2"/>
  <c r="AC231" i="2"/>
  <c r="AB231" i="2"/>
  <c r="X231" i="2"/>
  <c r="G230" i="3" s="1"/>
  <c r="W231" i="2"/>
  <c r="F230" i="3" s="1"/>
  <c r="V231" i="2"/>
  <c r="N231" i="2"/>
  <c r="B231" i="2"/>
  <c r="AC230" i="2"/>
  <c r="AB230" i="2"/>
  <c r="X230" i="2"/>
  <c r="G229" i="3" s="1"/>
  <c r="W230" i="2"/>
  <c r="F229" i="3" s="1"/>
  <c r="V230" i="2"/>
  <c r="N230" i="2"/>
  <c r="B230" i="2"/>
  <c r="AC229" i="2"/>
  <c r="AB229" i="2"/>
  <c r="X229" i="2"/>
  <c r="G228" i="3" s="1"/>
  <c r="W229" i="2"/>
  <c r="F228" i="3" s="1"/>
  <c r="V229" i="2"/>
  <c r="N229" i="2"/>
  <c r="B229" i="2"/>
  <c r="AC228" i="2"/>
  <c r="AB228" i="2"/>
  <c r="X228" i="2"/>
  <c r="G227" i="3" s="1"/>
  <c r="W228" i="2"/>
  <c r="F227" i="3" s="1"/>
  <c r="V228" i="2"/>
  <c r="N228" i="2"/>
  <c r="B228" i="2"/>
  <c r="AC227" i="2"/>
  <c r="AB227" i="2"/>
  <c r="X227" i="2"/>
  <c r="G226" i="3" s="1"/>
  <c r="W227" i="2"/>
  <c r="F226" i="3" s="1"/>
  <c r="V227" i="2"/>
  <c r="N227" i="2"/>
  <c r="B227" i="2"/>
  <c r="AC226" i="2"/>
  <c r="AB226" i="2"/>
  <c r="X226" i="2"/>
  <c r="G225" i="3" s="1"/>
  <c r="W226" i="2"/>
  <c r="F225" i="3" s="1"/>
  <c r="V226" i="2"/>
  <c r="N226" i="2"/>
  <c r="B226" i="2"/>
  <c r="AC225" i="2"/>
  <c r="AB225" i="2"/>
  <c r="X225" i="2"/>
  <c r="G224" i="3" s="1"/>
  <c r="W225" i="2"/>
  <c r="F224" i="3" s="1"/>
  <c r="V225" i="2"/>
  <c r="N225" i="2"/>
  <c r="B225" i="2"/>
  <c r="AC224" i="2"/>
  <c r="AB224" i="2"/>
  <c r="X224" i="2"/>
  <c r="G223" i="3" s="1"/>
  <c r="W224" i="2"/>
  <c r="F223" i="3" s="1"/>
  <c r="V224" i="2"/>
  <c r="N224" i="2"/>
  <c r="B224" i="2"/>
  <c r="AC223" i="2"/>
  <c r="AB223" i="2"/>
  <c r="X223" i="2"/>
  <c r="G222" i="3" s="1"/>
  <c r="W223" i="2"/>
  <c r="F222" i="3" s="1"/>
  <c r="V223" i="2"/>
  <c r="N223" i="2"/>
  <c r="B223" i="2"/>
  <c r="AC222" i="2"/>
  <c r="AB222" i="2"/>
  <c r="X222" i="2"/>
  <c r="G221" i="3" s="1"/>
  <c r="W222" i="2"/>
  <c r="F221" i="3" s="1"/>
  <c r="V222" i="2"/>
  <c r="N222" i="2"/>
  <c r="B222" i="2"/>
  <c r="AC221" i="2"/>
  <c r="AB221" i="2"/>
  <c r="X221" i="2"/>
  <c r="G220" i="3" s="1"/>
  <c r="W221" i="2"/>
  <c r="F220" i="3" s="1"/>
  <c r="V221" i="2"/>
  <c r="N221" i="2"/>
  <c r="B221" i="2"/>
  <c r="AC220" i="2"/>
  <c r="AB220" i="2"/>
  <c r="X220" i="2"/>
  <c r="G219" i="3" s="1"/>
  <c r="W220" i="2"/>
  <c r="F219" i="3" s="1"/>
  <c r="V220" i="2"/>
  <c r="N220" i="2"/>
  <c r="B220" i="2"/>
  <c r="AC219" i="2"/>
  <c r="AB219" i="2"/>
  <c r="X219" i="2"/>
  <c r="G218" i="3" s="1"/>
  <c r="W219" i="2"/>
  <c r="F218" i="3" s="1"/>
  <c r="V219" i="2"/>
  <c r="N219" i="2"/>
  <c r="B219" i="2"/>
  <c r="AC218" i="2"/>
  <c r="AB218" i="2"/>
  <c r="X218" i="2"/>
  <c r="G217" i="3" s="1"/>
  <c r="W218" i="2"/>
  <c r="F217" i="3" s="1"/>
  <c r="V218" i="2"/>
  <c r="N218" i="2"/>
  <c r="B218" i="2"/>
  <c r="AC217" i="2"/>
  <c r="AB217" i="2"/>
  <c r="X217" i="2"/>
  <c r="G216" i="3" s="1"/>
  <c r="W217" i="2"/>
  <c r="F216" i="3" s="1"/>
  <c r="V217" i="2"/>
  <c r="N217" i="2"/>
  <c r="B217" i="2"/>
  <c r="AC216" i="2"/>
  <c r="AB216" i="2"/>
  <c r="X216" i="2"/>
  <c r="G215" i="3" s="1"/>
  <c r="W216" i="2"/>
  <c r="F215" i="3" s="1"/>
  <c r="V216" i="2"/>
  <c r="N216" i="2"/>
  <c r="B216" i="2"/>
  <c r="AC215" i="2"/>
  <c r="AB215" i="2"/>
  <c r="X215" i="2"/>
  <c r="G214" i="3" s="1"/>
  <c r="W215" i="2"/>
  <c r="F214" i="3" s="1"/>
  <c r="V215" i="2"/>
  <c r="N215" i="2"/>
  <c r="B215" i="2"/>
  <c r="AC214" i="2"/>
  <c r="AB214" i="2"/>
  <c r="X214" i="2"/>
  <c r="G213" i="3" s="1"/>
  <c r="W214" i="2"/>
  <c r="F213" i="3" s="1"/>
  <c r="V214" i="2"/>
  <c r="N214" i="2"/>
  <c r="B214" i="2"/>
  <c r="AC213" i="2"/>
  <c r="AB213" i="2"/>
  <c r="X213" i="2"/>
  <c r="G212" i="3" s="1"/>
  <c r="W213" i="2"/>
  <c r="F212" i="3" s="1"/>
  <c r="V213" i="2"/>
  <c r="N213" i="2"/>
  <c r="B213" i="2"/>
  <c r="AC212" i="2"/>
  <c r="AB212" i="2"/>
  <c r="X212" i="2"/>
  <c r="G211" i="3" s="1"/>
  <c r="W212" i="2"/>
  <c r="F211" i="3" s="1"/>
  <c r="V212" i="2"/>
  <c r="N212" i="2"/>
  <c r="B212" i="2"/>
  <c r="AC211" i="2"/>
  <c r="AB211" i="2"/>
  <c r="X211" i="2"/>
  <c r="G210" i="3" s="1"/>
  <c r="W211" i="2"/>
  <c r="F210" i="3" s="1"/>
  <c r="V211" i="2"/>
  <c r="N211" i="2"/>
  <c r="B211" i="2"/>
  <c r="AC210" i="2"/>
  <c r="AB210" i="2"/>
  <c r="X210" i="2"/>
  <c r="G209" i="3" s="1"/>
  <c r="W210" i="2"/>
  <c r="F209" i="3" s="1"/>
  <c r="V210" i="2"/>
  <c r="N210" i="2"/>
  <c r="B210" i="2"/>
  <c r="AC209" i="2"/>
  <c r="AB209" i="2"/>
  <c r="X209" i="2"/>
  <c r="G208" i="3" s="1"/>
  <c r="W209" i="2"/>
  <c r="F208" i="3" s="1"/>
  <c r="V209" i="2"/>
  <c r="N209" i="2"/>
  <c r="B209" i="2"/>
  <c r="AC208" i="2"/>
  <c r="AB208" i="2"/>
  <c r="X208" i="2"/>
  <c r="G207" i="3" s="1"/>
  <c r="W208" i="2"/>
  <c r="F207" i="3" s="1"/>
  <c r="V208" i="2"/>
  <c r="N208" i="2"/>
  <c r="B208" i="2"/>
  <c r="AC207" i="2"/>
  <c r="AB207" i="2"/>
  <c r="X207" i="2"/>
  <c r="G206" i="3" s="1"/>
  <c r="W207" i="2"/>
  <c r="F206" i="3" s="1"/>
  <c r="V207" i="2"/>
  <c r="N207" i="2"/>
  <c r="B207" i="2"/>
  <c r="AC206" i="2"/>
  <c r="AB206" i="2"/>
  <c r="X206" i="2"/>
  <c r="G205" i="3" s="1"/>
  <c r="W206" i="2"/>
  <c r="F205" i="3" s="1"/>
  <c r="V206" i="2"/>
  <c r="N206" i="2"/>
  <c r="B206" i="2"/>
  <c r="AC205" i="2"/>
  <c r="AB205" i="2"/>
  <c r="X205" i="2"/>
  <c r="G204" i="3" s="1"/>
  <c r="W205" i="2"/>
  <c r="F204" i="3" s="1"/>
  <c r="V205" i="2"/>
  <c r="N205" i="2"/>
  <c r="B205" i="2"/>
  <c r="AC204" i="2"/>
  <c r="AB204" i="2"/>
  <c r="X204" i="2"/>
  <c r="G203" i="3" s="1"/>
  <c r="W204" i="2"/>
  <c r="F203" i="3" s="1"/>
  <c r="V204" i="2"/>
  <c r="N204" i="2"/>
  <c r="B204" i="2"/>
  <c r="AC203" i="2"/>
  <c r="AB203" i="2"/>
  <c r="X203" i="2"/>
  <c r="G202" i="3" s="1"/>
  <c r="W203" i="2"/>
  <c r="F202" i="3" s="1"/>
  <c r="V203" i="2"/>
  <c r="N203" i="2"/>
  <c r="B203" i="2"/>
  <c r="AC202" i="2"/>
  <c r="AB202" i="2"/>
  <c r="X202" i="2"/>
  <c r="G201" i="3" s="1"/>
  <c r="W202" i="2"/>
  <c r="F201" i="3" s="1"/>
  <c r="V202" i="2"/>
  <c r="N202" i="2"/>
  <c r="B202" i="2"/>
  <c r="AC201" i="2"/>
  <c r="AB201" i="2"/>
  <c r="X201" i="2"/>
  <c r="G200" i="3" s="1"/>
  <c r="W201" i="2"/>
  <c r="F200" i="3" s="1"/>
  <c r="V201" i="2"/>
  <c r="N201" i="2"/>
  <c r="B201" i="2"/>
  <c r="AC200" i="2"/>
  <c r="AB200" i="2"/>
  <c r="X200" i="2"/>
  <c r="G199" i="3" s="1"/>
  <c r="W200" i="2"/>
  <c r="F199" i="3" s="1"/>
  <c r="V200" i="2"/>
  <c r="N200" i="2"/>
  <c r="B200" i="2"/>
  <c r="AC199" i="2"/>
  <c r="AB199" i="2"/>
  <c r="X199" i="2"/>
  <c r="G198" i="3" s="1"/>
  <c r="W199" i="2"/>
  <c r="F198" i="3" s="1"/>
  <c r="V199" i="2"/>
  <c r="N199" i="2"/>
  <c r="B199" i="2"/>
  <c r="AC198" i="2"/>
  <c r="AB198" i="2"/>
  <c r="X198" i="2"/>
  <c r="G197" i="3" s="1"/>
  <c r="W198" i="2"/>
  <c r="F197" i="3" s="1"/>
  <c r="V198" i="2"/>
  <c r="N198" i="2"/>
  <c r="B198" i="2"/>
  <c r="AC197" i="2"/>
  <c r="AB197" i="2"/>
  <c r="X197" i="2"/>
  <c r="G196" i="3" s="1"/>
  <c r="W197" i="2"/>
  <c r="F196" i="3" s="1"/>
  <c r="V197" i="2"/>
  <c r="N197" i="2"/>
  <c r="B197" i="2"/>
  <c r="AC196" i="2"/>
  <c r="AB196" i="2"/>
  <c r="X196" i="2"/>
  <c r="G195" i="3" s="1"/>
  <c r="W196" i="2"/>
  <c r="F195" i="3" s="1"/>
  <c r="V196" i="2"/>
  <c r="N196" i="2"/>
  <c r="B196" i="2"/>
  <c r="AC195" i="2"/>
  <c r="AB195" i="2"/>
  <c r="X195" i="2"/>
  <c r="G194" i="3" s="1"/>
  <c r="W195" i="2"/>
  <c r="F194" i="3" s="1"/>
  <c r="V195" i="2"/>
  <c r="N195" i="2"/>
  <c r="B195" i="2"/>
  <c r="AC194" i="2"/>
  <c r="AB194" i="2"/>
  <c r="X194" i="2"/>
  <c r="G193" i="3" s="1"/>
  <c r="W194" i="2"/>
  <c r="F193" i="3" s="1"/>
  <c r="V194" i="2"/>
  <c r="N194" i="2"/>
  <c r="B194" i="2"/>
  <c r="AC193" i="2"/>
  <c r="AB193" i="2"/>
  <c r="X193" i="2"/>
  <c r="G192" i="3" s="1"/>
  <c r="W193" i="2"/>
  <c r="F192" i="3" s="1"/>
  <c r="V193" i="2"/>
  <c r="N193" i="2"/>
  <c r="B193" i="2"/>
  <c r="AC192" i="2"/>
  <c r="AB192" i="2"/>
  <c r="X192" i="2"/>
  <c r="G191" i="3" s="1"/>
  <c r="W192" i="2"/>
  <c r="F191" i="3" s="1"/>
  <c r="V192" i="2"/>
  <c r="N192" i="2"/>
  <c r="B192" i="2"/>
  <c r="AC191" i="2"/>
  <c r="AB191" i="2"/>
  <c r="X191" i="2"/>
  <c r="G190" i="3" s="1"/>
  <c r="W191" i="2"/>
  <c r="F190" i="3" s="1"/>
  <c r="V191" i="2"/>
  <c r="N191" i="2"/>
  <c r="B191" i="2"/>
  <c r="AC190" i="2"/>
  <c r="AB190" i="2"/>
  <c r="X190" i="2"/>
  <c r="G189" i="3" s="1"/>
  <c r="W190" i="2"/>
  <c r="F189" i="3" s="1"/>
  <c r="V190" i="2"/>
  <c r="N190" i="2"/>
  <c r="B190" i="2"/>
  <c r="AC189" i="2"/>
  <c r="AB189" i="2"/>
  <c r="X189" i="2"/>
  <c r="G188" i="3" s="1"/>
  <c r="W189" i="2"/>
  <c r="F188" i="3" s="1"/>
  <c r="V189" i="2"/>
  <c r="N189" i="2"/>
  <c r="B189" i="2"/>
  <c r="AC188" i="2"/>
  <c r="AB188" i="2"/>
  <c r="X188" i="2"/>
  <c r="G187" i="3" s="1"/>
  <c r="W188" i="2"/>
  <c r="F187" i="3" s="1"/>
  <c r="V188" i="2"/>
  <c r="N188" i="2"/>
  <c r="B188" i="2"/>
  <c r="AC187" i="2"/>
  <c r="AB187" i="2"/>
  <c r="X187" i="2"/>
  <c r="G186" i="3" s="1"/>
  <c r="W187" i="2"/>
  <c r="F186" i="3" s="1"/>
  <c r="V187" i="2"/>
  <c r="N187" i="2"/>
  <c r="B187" i="2"/>
  <c r="AC186" i="2"/>
  <c r="AB186" i="2"/>
  <c r="X186" i="2"/>
  <c r="G185" i="3" s="1"/>
  <c r="W186" i="2"/>
  <c r="F185" i="3" s="1"/>
  <c r="V186" i="2"/>
  <c r="N186" i="2"/>
  <c r="B186" i="2"/>
  <c r="AC185" i="2"/>
  <c r="AB185" i="2"/>
  <c r="X185" i="2"/>
  <c r="G184" i="3" s="1"/>
  <c r="W185" i="2"/>
  <c r="F184" i="3" s="1"/>
  <c r="V185" i="2"/>
  <c r="N185" i="2"/>
  <c r="B185" i="2"/>
  <c r="AC184" i="2"/>
  <c r="AB184" i="2"/>
  <c r="X184" i="2"/>
  <c r="G183" i="3" s="1"/>
  <c r="W184" i="2"/>
  <c r="F183" i="3" s="1"/>
  <c r="V184" i="2"/>
  <c r="N184" i="2"/>
  <c r="B184" i="2"/>
  <c r="AC183" i="2"/>
  <c r="AB183" i="2"/>
  <c r="X183" i="2"/>
  <c r="G182" i="3" s="1"/>
  <c r="W183" i="2"/>
  <c r="F182" i="3" s="1"/>
  <c r="V183" i="2"/>
  <c r="N183" i="2"/>
  <c r="B183" i="2"/>
  <c r="AC182" i="2"/>
  <c r="AB182" i="2"/>
  <c r="X182" i="2"/>
  <c r="G181" i="3" s="1"/>
  <c r="W182" i="2"/>
  <c r="F181" i="3" s="1"/>
  <c r="V182" i="2"/>
  <c r="N182" i="2"/>
  <c r="B182" i="2"/>
  <c r="AC181" i="2"/>
  <c r="AB181" i="2"/>
  <c r="X181" i="2"/>
  <c r="G180" i="3" s="1"/>
  <c r="W181" i="2"/>
  <c r="F180" i="3" s="1"/>
  <c r="V181" i="2"/>
  <c r="N181" i="2"/>
  <c r="B181" i="2"/>
  <c r="AC180" i="2"/>
  <c r="AB180" i="2"/>
  <c r="X180" i="2"/>
  <c r="G179" i="3" s="1"/>
  <c r="W180" i="2"/>
  <c r="F179" i="3" s="1"/>
  <c r="V180" i="2"/>
  <c r="N180" i="2"/>
  <c r="B180" i="2"/>
  <c r="AC179" i="2"/>
  <c r="AB179" i="2"/>
  <c r="X179" i="2"/>
  <c r="G178" i="3" s="1"/>
  <c r="W179" i="2"/>
  <c r="F178" i="3" s="1"/>
  <c r="V179" i="2"/>
  <c r="N179" i="2"/>
  <c r="B179" i="2"/>
  <c r="AC178" i="2"/>
  <c r="AB178" i="2"/>
  <c r="X178" i="2"/>
  <c r="G177" i="3" s="1"/>
  <c r="W178" i="2"/>
  <c r="F177" i="3" s="1"/>
  <c r="V178" i="2"/>
  <c r="N178" i="2"/>
  <c r="B178" i="2"/>
  <c r="AC177" i="2"/>
  <c r="AB177" i="2"/>
  <c r="X177" i="2"/>
  <c r="G176" i="3" s="1"/>
  <c r="W177" i="2"/>
  <c r="F176" i="3" s="1"/>
  <c r="V177" i="2"/>
  <c r="N177" i="2"/>
  <c r="B177" i="2"/>
  <c r="AC176" i="2"/>
  <c r="AB176" i="2"/>
  <c r="X176" i="2"/>
  <c r="G175" i="3" s="1"/>
  <c r="W176" i="2"/>
  <c r="F175" i="3" s="1"/>
  <c r="V176" i="2"/>
  <c r="N176" i="2"/>
  <c r="B176" i="2"/>
  <c r="AC175" i="2"/>
  <c r="AB175" i="2"/>
  <c r="X175" i="2"/>
  <c r="G174" i="3" s="1"/>
  <c r="W175" i="2"/>
  <c r="F174" i="3" s="1"/>
  <c r="V175" i="2"/>
  <c r="N175" i="2"/>
  <c r="B175" i="2"/>
  <c r="AC174" i="2"/>
  <c r="AB174" i="2"/>
  <c r="X174" i="2"/>
  <c r="G173" i="3" s="1"/>
  <c r="W174" i="2"/>
  <c r="F173" i="3" s="1"/>
  <c r="V174" i="2"/>
  <c r="N174" i="2"/>
  <c r="B174" i="2"/>
  <c r="AC173" i="2"/>
  <c r="AB173" i="2"/>
  <c r="X173" i="2"/>
  <c r="G172" i="3" s="1"/>
  <c r="W173" i="2"/>
  <c r="F172" i="3" s="1"/>
  <c r="V173" i="2"/>
  <c r="N173" i="2"/>
  <c r="B173" i="2"/>
  <c r="AC172" i="2"/>
  <c r="AB172" i="2"/>
  <c r="X172" i="2"/>
  <c r="G171" i="3" s="1"/>
  <c r="W172" i="2"/>
  <c r="F171" i="3" s="1"/>
  <c r="V172" i="2"/>
  <c r="N172" i="2"/>
  <c r="B172" i="2"/>
  <c r="AC171" i="2"/>
  <c r="AB171" i="2"/>
  <c r="X171" i="2"/>
  <c r="G170" i="3" s="1"/>
  <c r="W171" i="2"/>
  <c r="F170" i="3" s="1"/>
  <c r="V171" i="2"/>
  <c r="N171" i="2"/>
  <c r="B171" i="2"/>
  <c r="AC170" i="2"/>
  <c r="AB170" i="2"/>
  <c r="X170" i="2"/>
  <c r="G169" i="3" s="1"/>
  <c r="W170" i="2"/>
  <c r="F169" i="3" s="1"/>
  <c r="V170" i="2"/>
  <c r="N170" i="2"/>
  <c r="B170" i="2"/>
  <c r="AC169" i="2"/>
  <c r="AB169" i="2"/>
  <c r="X169" i="2"/>
  <c r="G168" i="3" s="1"/>
  <c r="W169" i="2"/>
  <c r="F168" i="3" s="1"/>
  <c r="V169" i="2"/>
  <c r="N169" i="2"/>
  <c r="B169" i="2"/>
  <c r="AC168" i="2"/>
  <c r="AB168" i="2"/>
  <c r="X168" i="2"/>
  <c r="G167" i="3" s="1"/>
  <c r="W168" i="2"/>
  <c r="F167" i="3" s="1"/>
  <c r="V168" i="2"/>
  <c r="N168" i="2"/>
  <c r="B168" i="2"/>
  <c r="AC167" i="2"/>
  <c r="AB167" i="2"/>
  <c r="X167" i="2"/>
  <c r="G166" i="3" s="1"/>
  <c r="W167" i="2"/>
  <c r="F166" i="3" s="1"/>
  <c r="V167" i="2"/>
  <c r="N167" i="2"/>
  <c r="B167" i="2"/>
  <c r="AC166" i="2"/>
  <c r="AB166" i="2"/>
  <c r="X166" i="2"/>
  <c r="G165" i="3" s="1"/>
  <c r="W166" i="2"/>
  <c r="F165" i="3" s="1"/>
  <c r="V166" i="2"/>
  <c r="N166" i="2"/>
  <c r="B166" i="2"/>
  <c r="AC165" i="2"/>
  <c r="AB165" i="2"/>
  <c r="X165" i="2"/>
  <c r="G164" i="3" s="1"/>
  <c r="W165" i="2"/>
  <c r="F164" i="3" s="1"/>
  <c r="V165" i="2"/>
  <c r="N165" i="2"/>
  <c r="B165" i="2"/>
  <c r="AC164" i="2"/>
  <c r="AB164" i="2"/>
  <c r="X164" i="2"/>
  <c r="G163" i="3" s="1"/>
  <c r="W164" i="2"/>
  <c r="F163" i="3" s="1"/>
  <c r="V164" i="2"/>
  <c r="N164" i="2"/>
  <c r="B164" i="2"/>
  <c r="AC163" i="2"/>
  <c r="AB163" i="2"/>
  <c r="X163" i="2"/>
  <c r="G162" i="3" s="1"/>
  <c r="W163" i="2"/>
  <c r="F162" i="3" s="1"/>
  <c r="V163" i="2"/>
  <c r="N163" i="2"/>
  <c r="B163" i="2"/>
  <c r="AC162" i="2"/>
  <c r="AB162" i="2"/>
  <c r="X162" i="2"/>
  <c r="G161" i="3" s="1"/>
  <c r="W162" i="2"/>
  <c r="F161" i="3" s="1"/>
  <c r="V162" i="2"/>
  <c r="N162" i="2"/>
  <c r="B162" i="2"/>
  <c r="AC161" i="2"/>
  <c r="AB161" i="2"/>
  <c r="X161" i="2"/>
  <c r="G160" i="3" s="1"/>
  <c r="W161" i="2"/>
  <c r="F160" i="3" s="1"/>
  <c r="V161" i="2"/>
  <c r="N161" i="2"/>
  <c r="B161" i="2"/>
  <c r="AC160" i="2"/>
  <c r="AB160" i="2"/>
  <c r="X160" i="2"/>
  <c r="G159" i="3" s="1"/>
  <c r="W160" i="2"/>
  <c r="F159" i="3" s="1"/>
  <c r="V160" i="2"/>
  <c r="N160" i="2"/>
  <c r="B160" i="2"/>
  <c r="AC159" i="2"/>
  <c r="AB159" i="2"/>
  <c r="X159" i="2"/>
  <c r="G158" i="3" s="1"/>
  <c r="W159" i="2"/>
  <c r="F158" i="3" s="1"/>
  <c r="V159" i="2"/>
  <c r="N159" i="2"/>
  <c r="B159" i="2"/>
  <c r="AC158" i="2"/>
  <c r="AB158" i="2"/>
  <c r="X158" i="2"/>
  <c r="G157" i="3" s="1"/>
  <c r="W158" i="2"/>
  <c r="F157" i="3" s="1"/>
  <c r="V158" i="2"/>
  <c r="N158" i="2"/>
  <c r="B158" i="2"/>
  <c r="AC157" i="2"/>
  <c r="AB157" i="2"/>
  <c r="X157" i="2"/>
  <c r="G156" i="3" s="1"/>
  <c r="W157" i="2"/>
  <c r="F156" i="3" s="1"/>
  <c r="V157" i="2"/>
  <c r="N157" i="2"/>
  <c r="B157" i="2"/>
  <c r="AC156" i="2"/>
  <c r="AB156" i="2"/>
  <c r="X156" i="2"/>
  <c r="G155" i="3" s="1"/>
  <c r="W156" i="2"/>
  <c r="F155" i="3" s="1"/>
  <c r="V156" i="2"/>
  <c r="N156" i="2"/>
  <c r="B156" i="2"/>
  <c r="AC155" i="2"/>
  <c r="AB155" i="2"/>
  <c r="X155" i="2"/>
  <c r="G154" i="3" s="1"/>
  <c r="W155" i="2"/>
  <c r="F154" i="3" s="1"/>
  <c r="V155" i="2"/>
  <c r="N155" i="2"/>
  <c r="B155" i="2"/>
  <c r="AC154" i="2"/>
  <c r="AB154" i="2"/>
  <c r="X154" i="2"/>
  <c r="G153" i="3" s="1"/>
  <c r="W154" i="2"/>
  <c r="F153" i="3" s="1"/>
  <c r="V154" i="2"/>
  <c r="N154" i="2"/>
  <c r="B154" i="2"/>
  <c r="AC153" i="2"/>
  <c r="AB153" i="2"/>
  <c r="X153" i="2"/>
  <c r="G152" i="3" s="1"/>
  <c r="W153" i="2"/>
  <c r="F152" i="3" s="1"/>
  <c r="V153" i="2"/>
  <c r="N153" i="2"/>
  <c r="B153" i="2"/>
  <c r="AC152" i="2"/>
  <c r="AB152" i="2"/>
  <c r="X152" i="2"/>
  <c r="G151" i="3" s="1"/>
  <c r="W152" i="2"/>
  <c r="F151" i="3" s="1"/>
  <c r="V152" i="2"/>
  <c r="N152" i="2"/>
  <c r="B152" i="2"/>
  <c r="AC151" i="2"/>
  <c r="AB151" i="2"/>
  <c r="X151" i="2"/>
  <c r="G150" i="3" s="1"/>
  <c r="W151" i="2"/>
  <c r="F150" i="3" s="1"/>
  <c r="V151" i="2"/>
  <c r="N151" i="2"/>
  <c r="B151" i="2"/>
  <c r="AC150" i="2"/>
  <c r="AB150" i="2"/>
  <c r="X150" i="2"/>
  <c r="G149" i="3" s="1"/>
  <c r="W150" i="2"/>
  <c r="F149" i="3" s="1"/>
  <c r="V150" i="2"/>
  <c r="N150" i="2"/>
  <c r="B150" i="2"/>
  <c r="AC149" i="2"/>
  <c r="AB149" i="2"/>
  <c r="X149" i="2"/>
  <c r="G148" i="3" s="1"/>
  <c r="W149" i="2"/>
  <c r="F148" i="3" s="1"/>
  <c r="V149" i="2"/>
  <c r="N149" i="2"/>
  <c r="B149" i="2"/>
  <c r="AC148" i="2"/>
  <c r="AB148" i="2"/>
  <c r="X148" i="2"/>
  <c r="G147" i="3" s="1"/>
  <c r="W148" i="2"/>
  <c r="F147" i="3" s="1"/>
  <c r="V148" i="2"/>
  <c r="N148" i="2"/>
  <c r="B148" i="2"/>
  <c r="AC147" i="2"/>
  <c r="AB147" i="2"/>
  <c r="X147" i="2"/>
  <c r="G146" i="3" s="1"/>
  <c r="W147" i="2"/>
  <c r="F146" i="3" s="1"/>
  <c r="V147" i="2"/>
  <c r="N147" i="2"/>
  <c r="B147" i="2"/>
  <c r="AC146" i="2"/>
  <c r="AB146" i="2"/>
  <c r="X146" i="2"/>
  <c r="G145" i="3" s="1"/>
  <c r="W146" i="2"/>
  <c r="F145" i="3" s="1"/>
  <c r="V146" i="2"/>
  <c r="N146" i="2"/>
  <c r="B146" i="2"/>
  <c r="AC145" i="2"/>
  <c r="AB145" i="2"/>
  <c r="X145" i="2"/>
  <c r="G144" i="3" s="1"/>
  <c r="W145" i="2"/>
  <c r="F144" i="3" s="1"/>
  <c r="V145" i="2"/>
  <c r="N145" i="2"/>
  <c r="B145" i="2"/>
  <c r="AC144" i="2"/>
  <c r="AB144" i="2"/>
  <c r="X144" i="2"/>
  <c r="G143" i="3" s="1"/>
  <c r="W144" i="2"/>
  <c r="F143" i="3" s="1"/>
  <c r="V144" i="2"/>
  <c r="N144" i="2"/>
  <c r="B144" i="2"/>
  <c r="AC143" i="2"/>
  <c r="AB143" i="2"/>
  <c r="X143" i="2"/>
  <c r="G142" i="3" s="1"/>
  <c r="W143" i="2"/>
  <c r="F142" i="3" s="1"/>
  <c r="V143" i="2"/>
  <c r="N143" i="2"/>
  <c r="B143" i="2"/>
  <c r="AC142" i="2"/>
  <c r="AB142" i="2"/>
  <c r="X142" i="2"/>
  <c r="G141" i="3" s="1"/>
  <c r="W142" i="2"/>
  <c r="F141" i="3" s="1"/>
  <c r="V142" i="2"/>
  <c r="N142" i="2"/>
  <c r="B142" i="2"/>
  <c r="AC141" i="2"/>
  <c r="AB141" i="2"/>
  <c r="X141" i="2"/>
  <c r="G140" i="3" s="1"/>
  <c r="W141" i="2"/>
  <c r="F140" i="3" s="1"/>
  <c r="V141" i="2"/>
  <c r="N141" i="2"/>
  <c r="B141" i="2"/>
  <c r="AC140" i="2"/>
  <c r="AB140" i="2"/>
  <c r="X140" i="2"/>
  <c r="G139" i="3" s="1"/>
  <c r="W140" i="2"/>
  <c r="F139" i="3" s="1"/>
  <c r="V140" i="2"/>
  <c r="N140" i="2"/>
  <c r="B140" i="2"/>
  <c r="AC139" i="2"/>
  <c r="AB139" i="2"/>
  <c r="X139" i="2"/>
  <c r="G138" i="3" s="1"/>
  <c r="W139" i="2"/>
  <c r="F138" i="3" s="1"/>
  <c r="V139" i="2"/>
  <c r="N139" i="2"/>
  <c r="B139" i="2"/>
  <c r="AC138" i="2"/>
  <c r="AB138" i="2"/>
  <c r="X138" i="2"/>
  <c r="G137" i="3" s="1"/>
  <c r="W138" i="2"/>
  <c r="F137" i="3" s="1"/>
  <c r="V138" i="2"/>
  <c r="N138" i="2"/>
  <c r="B138" i="2"/>
  <c r="AC137" i="2"/>
  <c r="AB137" i="2"/>
  <c r="X137" i="2"/>
  <c r="G136" i="3" s="1"/>
  <c r="W137" i="2"/>
  <c r="F136" i="3" s="1"/>
  <c r="V137" i="2"/>
  <c r="N137" i="2"/>
  <c r="B137" i="2"/>
  <c r="AC136" i="2"/>
  <c r="AB136" i="2"/>
  <c r="X136" i="2"/>
  <c r="G135" i="3" s="1"/>
  <c r="W136" i="2"/>
  <c r="F135" i="3" s="1"/>
  <c r="V136" i="2"/>
  <c r="N136" i="2"/>
  <c r="B136" i="2"/>
  <c r="AC135" i="2"/>
  <c r="AB135" i="2"/>
  <c r="X135" i="2"/>
  <c r="G134" i="3" s="1"/>
  <c r="W135" i="2"/>
  <c r="F134" i="3" s="1"/>
  <c r="V135" i="2"/>
  <c r="N135" i="2"/>
  <c r="B135" i="2"/>
  <c r="AC134" i="2"/>
  <c r="AB134" i="2"/>
  <c r="X134" i="2"/>
  <c r="G133" i="3" s="1"/>
  <c r="W134" i="2"/>
  <c r="F133" i="3" s="1"/>
  <c r="V134" i="2"/>
  <c r="N134" i="2"/>
  <c r="B134" i="2"/>
  <c r="AC133" i="2"/>
  <c r="AB133" i="2"/>
  <c r="X133" i="2"/>
  <c r="G132" i="3" s="1"/>
  <c r="W133" i="2"/>
  <c r="F132" i="3" s="1"/>
  <c r="V133" i="2"/>
  <c r="N133" i="2"/>
  <c r="B133" i="2"/>
  <c r="AC132" i="2"/>
  <c r="AB132" i="2"/>
  <c r="X132" i="2"/>
  <c r="G131" i="3" s="1"/>
  <c r="W132" i="2"/>
  <c r="F131" i="3" s="1"/>
  <c r="V132" i="2"/>
  <c r="N132" i="2"/>
  <c r="B132" i="2"/>
  <c r="AC131" i="2"/>
  <c r="AB131" i="2"/>
  <c r="X131" i="2"/>
  <c r="G130" i="3" s="1"/>
  <c r="W131" i="2"/>
  <c r="F130" i="3" s="1"/>
  <c r="V131" i="2"/>
  <c r="N131" i="2"/>
  <c r="B131" i="2"/>
  <c r="AC130" i="2"/>
  <c r="AB130" i="2"/>
  <c r="X130" i="2"/>
  <c r="G129" i="3" s="1"/>
  <c r="W130" i="2"/>
  <c r="F129" i="3" s="1"/>
  <c r="V130" i="2"/>
  <c r="N130" i="2"/>
  <c r="B130" i="2"/>
  <c r="AC129" i="2"/>
  <c r="AB129" i="2"/>
  <c r="X129" i="2"/>
  <c r="G128" i="3" s="1"/>
  <c r="W129" i="2"/>
  <c r="F128" i="3" s="1"/>
  <c r="V129" i="2"/>
  <c r="N129" i="2"/>
  <c r="B129" i="2"/>
  <c r="AC128" i="2"/>
  <c r="AB128" i="2"/>
  <c r="X128" i="2"/>
  <c r="G127" i="3" s="1"/>
  <c r="W128" i="2"/>
  <c r="F127" i="3" s="1"/>
  <c r="V128" i="2"/>
  <c r="N128" i="2"/>
  <c r="B128" i="2"/>
  <c r="AC127" i="2"/>
  <c r="AB127" i="2"/>
  <c r="X127" i="2"/>
  <c r="G126" i="3" s="1"/>
  <c r="W127" i="2"/>
  <c r="F126" i="3" s="1"/>
  <c r="V127" i="2"/>
  <c r="N127" i="2"/>
  <c r="B127" i="2"/>
  <c r="AC126" i="2"/>
  <c r="AB126" i="2"/>
  <c r="X126" i="2"/>
  <c r="G125" i="3" s="1"/>
  <c r="W126" i="2"/>
  <c r="F125" i="3" s="1"/>
  <c r="V126" i="2"/>
  <c r="N126" i="2"/>
  <c r="B126" i="2"/>
  <c r="AC125" i="2"/>
  <c r="AB125" i="2"/>
  <c r="X125" i="2"/>
  <c r="G124" i="3" s="1"/>
  <c r="W125" i="2"/>
  <c r="F124" i="3" s="1"/>
  <c r="V125" i="2"/>
  <c r="N125" i="2"/>
  <c r="B125" i="2"/>
  <c r="AC124" i="2"/>
  <c r="AB124" i="2"/>
  <c r="X124" i="2"/>
  <c r="G123" i="3" s="1"/>
  <c r="W124" i="2"/>
  <c r="F123" i="3" s="1"/>
  <c r="V124" i="2"/>
  <c r="N124" i="2"/>
  <c r="B124" i="2"/>
  <c r="AC123" i="2"/>
  <c r="AB123" i="2"/>
  <c r="X123" i="2"/>
  <c r="G122" i="3" s="1"/>
  <c r="W123" i="2"/>
  <c r="F122" i="3" s="1"/>
  <c r="V123" i="2"/>
  <c r="N123" i="2"/>
  <c r="B123" i="2"/>
  <c r="AC122" i="2"/>
  <c r="AB122" i="2"/>
  <c r="X122" i="2"/>
  <c r="G121" i="3" s="1"/>
  <c r="W122" i="2"/>
  <c r="F121" i="3" s="1"/>
  <c r="V122" i="2"/>
  <c r="N122" i="2"/>
  <c r="B122" i="2"/>
  <c r="AC121" i="2"/>
  <c r="AB121" i="2"/>
  <c r="X121" i="2"/>
  <c r="G120" i="3" s="1"/>
  <c r="W121" i="2"/>
  <c r="F120" i="3" s="1"/>
  <c r="V121" i="2"/>
  <c r="N121" i="2"/>
  <c r="B121" i="2"/>
  <c r="AC120" i="2"/>
  <c r="AB120" i="2"/>
  <c r="X120" i="2"/>
  <c r="G119" i="3" s="1"/>
  <c r="W120" i="2"/>
  <c r="F119" i="3" s="1"/>
  <c r="V120" i="2"/>
  <c r="N120" i="2"/>
  <c r="B120" i="2"/>
  <c r="AC119" i="2"/>
  <c r="AB119" i="2"/>
  <c r="X119" i="2"/>
  <c r="G118" i="3" s="1"/>
  <c r="W119" i="2"/>
  <c r="F118" i="3" s="1"/>
  <c r="V119" i="2"/>
  <c r="N119" i="2"/>
  <c r="B119" i="2"/>
  <c r="AC118" i="2"/>
  <c r="AB118" i="2"/>
  <c r="X118" i="2"/>
  <c r="G117" i="3" s="1"/>
  <c r="W118" i="2"/>
  <c r="F117" i="3" s="1"/>
  <c r="V118" i="2"/>
  <c r="N118" i="2"/>
  <c r="B118" i="2"/>
  <c r="AC117" i="2"/>
  <c r="AB117" i="2"/>
  <c r="X117" i="2"/>
  <c r="G116" i="3" s="1"/>
  <c r="W117" i="2"/>
  <c r="F116" i="3" s="1"/>
  <c r="V117" i="2"/>
  <c r="N117" i="2"/>
  <c r="B117" i="2"/>
  <c r="AC116" i="2"/>
  <c r="AB116" i="2"/>
  <c r="X116" i="2"/>
  <c r="G115" i="3" s="1"/>
  <c r="W116" i="2"/>
  <c r="F115" i="3" s="1"/>
  <c r="V116" i="2"/>
  <c r="N116" i="2"/>
  <c r="B116" i="2"/>
  <c r="AC115" i="2"/>
  <c r="AB115" i="2"/>
  <c r="X115" i="2"/>
  <c r="G114" i="3" s="1"/>
  <c r="W115" i="2"/>
  <c r="F114" i="3" s="1"/>
  <c r="V115" i="2"/>
  <c r="N115" i="2"/>
  <c r="B115" i="2"/>
  <c r="AC114" i="2"/>
  <c r="AB114" i="2"/>
  <c r="X114" i="2"/>
  <c r="G113" i="3" s="1"/>
  <c r="W114" i="2"/>
  <c r="F113" i="3" s="1"/>
  <c r="V114" i="2"/>
  <c r="N114" i="2"/>
  <c r="B114" i="2"/>
  <c r="AC113" i="2"/>
  <c r="AB113" i="2"/>
  <c r="X113" i="2"/>
  <c r="G112" i="3" s="1"/>
  <c r="W113" i="2"/>
  <c r="F112" i="3" s="1"/>
  <c r="V113" i="2"/>
  <c r="N113" i="2"/>
  <c r="B113" i="2"/>
  <c r="AC112" i="2"/>
  <c r="AB112" i="2"/>
  <c r="X112" i="2"/>
  <c r="G111" i="3" s="1"/>
  <c r="W112" i="2"/>
  <c r="F111" i="3" s="1"/>
  <c r="V112" i="2"/>
  <c r="N112" i="2"/>
  <c r="B112" i="2"/>
  <c r="AC111" i="2"/>
  <c r="AB111" i="2"/>
  <c r="X111" i="2"/>
  <c r="G110" i="3" s="1"/>
  <c r="W111" i="2"/>
  <c r="F110" i="3" s="1"/>
  <c r="V111" i="2"/>
  <c r="N111" i="2"/>
  <c r="B111" i="2"/>
  <c r="AC110" i="2"/>
  <c r="AB110" i="2"/>
  <c r="X110" i="2"/>
  <c r="G109" i="3" s="1"/>
  <c r="W110" i="2"/>
  <c r="F109" i="3" s="1"/>
  <c r="V110" i="2"/>
  <c r="N110" i="2"/>
  <c r="B110" i="2"/>
  <c r="AC109" i="2"/>
  <c r="AB109" i="2"/>
  <c r="X109" i="2"/>
  <c r="G108" i="3" s="1"/>
  <c r="W109" i="2"/>
  <c r="F108" i="3" s="1"/>
  <c r="V109" i="2"/>
  <c r="N109" i="2"/>
  <c r="B109" i="2"/>
  <c r="AC108" i="2"/>
  <c r="AB108" i="2"/>
  <c r="X108" i="2"/>
  <c r="G107" i="3" s="1"/>
  <c r="W108" i="2"/>
  <c r="F107" i="3" s="1"/>
  <c r="V108" i="2"/>
  <c r="N108" i="2"/>
  <c r="B108" i="2"/>
  <c r="AC107" i="2"/>
  <c r="AB107" i="2"/>
  <c r="X107" i="2"/>
  <c r="G106" i="3" s="1"/>
  <c r="W107" i="2"/>
  <c r="F106" i="3" s="1"/>
  <c r="V107" i="2"/>
  <c r="N107" i="2"/>
  <c r="B107" i="2"/>
  <c r="AC106" i="2"/>
  <c r="AB106" i="2"/>
  <c r="X106" i="2"/>
  <c r="G105" i="3" s="1"/>
  <c r="W106" i="2"/>
  <c r="F105" i="3" s="1"/>
  <c r="V106" i="2"/>
  <c r="N106" i="2"/>
  <c r="B106" i="2"/>
  <c r="AC105" i="2"/>
  <c r="AB105" i="2"/>
  <c r="X105" i="2"/>
  <c r="G104" i="3" s="1"/>
  <c r="W105" i="2"/>
  <c r="F104" i="3" s="1"/>
  <c r="V105" i="2"/>
  <c r="N105" i="2"/>
  <c r="B105" i="2"/>
  <c r="AC104" i="2"/>
  <c r="AB104" i="2"/>
  <c r="X104" i="2"/>
  <c r="G103" i="3" s="1"/>
  <c r="W104" i="2"/>
  <c r="F103" i="3" s="1"/>
  <c r="V104" i="2"/>
  <c r="N104" i="2"/>
  <c r="B104" i="2"/>
  <c r="AC103" i="2"/>
  <c r="AB103" i="2"/>
  <c r="X103" i="2"/>
  <c r="G102" i="3" s="1"/>
  <c r="W103" i="2"/>
  <c r="F102" i="3" s="1"/>
  <c r="V103" i="2"/>
  <c r="N103" i="2"/>
  <c r="B103" i="2"/>
  <c r="AC102" i="2"/>
  <c r="AB102" i="2"/>
  <c r="X102" i="2"/>
  <c r="G101" i="3" s="1"/>
  <c r="W102" i="2"/>
  <c r="F101" i="3" s="1"/>
  <c r="V102" i="2"/>
  <c r="N102" i="2"/>
  <c r="B102" i="2"/>
  <c r="AC101" i="2"/>
  <c r="AB101" i="2"/>
  <c r="X101" i="2"/>
  <c r="G100" i="3" s="1"/>
  <c r="W101" i="2"/>
  <c r="F100" i="3" s="1"/>
  <c r="V101" i="2"/>
  <c r="N101" i="2"/>
  <c r="B101" i="2"/>
  <c r="AC100" i="2"/>
  <c r="AB100" i="2"/>
  <c r="X100" i="2"/>
  <c r="G99" i="3" s="1"/>
  <c r="W100" i="2"/>
  <c r="F99" i="3" s="1"/>
  <c r="V100" i="2"/>
  <c r="N100" i="2"/>
  <c r="B100" i="2"/>
  <c r="AC99" i="2"/>
  <c r="AB99" i="2"/>
  <c r="X99" i="2"/>
  <c r="G98" i="3" s="1"/>
  <c r="W99" i="2"/>
  <c r="F98" i="3" s="1"/>
  <c r="V99" i="2"/>
  <c r="N99" i="2"/>
  <c r="B99" i="2"/>
  <c r="AC98" i="2"/>
  <c r="AB98" i="2"/>
  <c r="X98" i="2"/>
  <c r="G97" i="3" s="1"/>
  <c r="W98" i="2"/>
  <c r="F97" i="3" s="1"/>
  <c r="V98" i="2"/>
  <c r="N98" i="2"/>
  <c r="B98" i="2"/>
  <c r="AC97" i="2"/>
  <c r="AB97" i="2"/>
  <c r="X97" i="2"/>
  <c r="G96" i="3" s="1"/>
  <c r="W97" i="2"/>
  <c r="F96" i="3" s="1"/>
  <c r="V97" i="2"/>
  <c r="N97" i="2"/>
  <c r="B97" i="2"/>
  <c r="AC96" i="2"/>
  <c r="AB96" i="2"/>
  <c r="X96" i="2"/>
  <c r="G95" i="3" s="1"/>
  <c r="W96" i="2"/>
  <c r="F95" i="3" s="1"/>
  <c r="V96" i="2"/>
  <c r="N96" i="2"/>
  <c r="B96" i="2"/>
  <c r="AC95" i="2"/>
  <c r="AB95" i="2"/>
  <c r="X95" i="2"/>
  <c r="G94" i="3" s="1"/>
  <c r="W95" i="2"/>
  <c r="F94" i="3" s="1"/>
  <c r="V95" i="2"/>
  <c r="N95" i="2"/>
  <c r="B95" i="2"/>
  <c r="AC94" i="2"/>
  <c r="AB94" i="2"/>
  <c r="X94" i="2"/>
  <c r="G93" i="3" s="1"/>
  <c r="W94" i="2"/>
  <c r="F93" i="3" s="1"/>
  <c r="V94" i="2"/>
  <c r="N94" i="2"/>
  <c r="B94" i="2"/>
  <c r="AC93" i="2"/>
  <c r="AB93" i="2"/>
  <c r="X93" i="2"/>
  <c r="G92" i="3" s="1"/>
  <c r="W93" i="2"/>
  <c r="F92" i="3" s="1"/>
  <c r="V93" i="2"/>
  <c r="N93" i="2"/>
  <c r="B93" i="2"/>
  <c r="AC92" i="2"/>
  <c r="AB92" i="2"/>
  <c r="X92" i="2"/>
  <c r="G91" i="3" s="1"/>
  <c r="W92" i="2"/>
  <c r="F91" i="3" s="1"/>
  <c r="V92" i="2"/>
  <c r="N92" i="2"/>
  <c r="B92" i="2"/>
  <c r="AC91" i="2"/>
  <c r="AB91" i="2"/>
  <c r="X91" i="2"/>
  <c r="G90" i="3" s="1"/>
  <c r="W91" i="2"/>
  <c r="F90" i="3" s="1"/>
  <c r="V91" i="2"/>
  <c r="N91" i="2"/>
  <c r="B91" i="2"/>
  <c r="AC90" i="2"/>
  <c r="AB90" i="2"/>
  <c r="X90" i="2"/>
  <c r="G89" i="3" s="1"/>
  <c r="W90" i="2"/>
  <c r="F89" i="3" s="1"/>
  <c r="V90" i="2"/>
  <c r="N90" i="2"/>
  <c r="B90" i="2"/>
  <c r="AC89" i="2"/>
  <c r="AB89" i="2"/>
  <c r="X89" i="2"/>
  <c r="G88" i="3" s="1"/>
  <c r="W89" i="2"/>
  <c r="F88" i="3" s="1"/>
  <c r="V89" i="2"/>
  <c r="N89" i="2"/>
  <c r="B89" i="2"/>
  <c r="AC88" i="2"/>
  <c r="AB88" i="2"/>
  <c r="X88" i="2"/>
  <c r="G87" i="3" s="1"/>
  <c r="W88" i="2"/>
  <c r="F87" i="3" s="1"/>
  <c r="V88" i="2"/>
  <c r="N88" i="2"/>
  <c r="B88" i="2"/>
  <c r="AC87" i="2"/>
  <c r="AB87" i="2"/>
  <c r="X87" i="2"/>
  <c r="G86" i="3" s="1"/>
  <c r="W87" i="2"/>
  <c r="F86" i="3" s="1"/>
  <c r="V87" i="2"/>
  <c r="N87" i="2"/>
  <c r="B87" i="2"/>
  <c r="AC86" i="2"/>
  <c r="AB86" i="2"/>
  <c r="X86" i="2"/>
  <c r="G85" i="3" s="1"/>
  <c r="W86" i="2"/>
  <c r="F85" i="3" s="1"/>
  <c r="V86" i="2"/>
  <c r="N86" i="2"/>
  <c r="B86" i="2"/>
  <c r="AC85" i="2"/>
  <c r="AB85" i="2"/>
  <c r="X85" i="2"/>
  <c r="G84" i="3" s="1"/>
  <c r="W85" i="2"/>
  <c r="F84" i="3" s="1"/>
  <c r="V85" i="2"/>
  <c r="N85" i="2"/>
  <c r="B85" i="2"/>
  <c r="AC84" i="2"/>
  <c r="AB84" i="2"/>
  <c r="X84" i="2"/>
  <c r="G83" i="3" s="1"/>
  <c r="W84" i="2"/>
  <c r="F83" i="3" s="1"/>
  <c r="V84" i="2"/>
  <c r="N84" i="2"/>
  <c r="B84" i="2"/>
  <c r="AC83" i="2"/>
  <c r="AB83" i="2"/>
  <c r="X83" i="2"/>
  <c r="G82" i="3" s="1"/>
  <c r="W83" i="2"/>
  <c r="F82" i="3" s="1"/>
  <c r="V83" i="2"/>
  <c r="N83" i="2"/>
  <c r="B83" i="2"/>
  <c r="AC82" i="2"/>
  <c r="AB82" i="2"/>
  <c r="X82" i="2"/>
  <c r="G81" i="3" s="1"/>
  <c r="W82" i="2"/>
  <c r="F81" i="3" s="1"/>
  <c r="V82" i="2"/>
  <c r="N82" i="2"/>
  <c r="B82" i="2"/>
  <c r="AC81" i="2"/>
  <c r="AB81" i="2"/>
  <c r="X81" i="2"/>
  <c r="G80" i="3" s="1"/>
  <c r="W81" i="2"/>
  <c r="F80" i="3" s="1"/>
  <c r="V81" i="2"/>
  <c r="N81" i="2"/>
  <c r="B81" i="2"/>
  <c r="AC80" i="2"/>
  <c r="AB80" i="2"/>
  <c r="X80" i="2"/>
  <c r="G79" i="3" s="1"/>
  <c r="W80" i="2"/>
  <c r="F79" i="3" s="1"/>
  <c r="V80" i="2"/>
  <c r="N80" i="2"/>
  <c r="B80" i="2"/>
  <c r="AC79" i="2"/>
  <c r="AB79" i="2"/>
  <c r="X79" i="2"/>
  <c r="G78" i="3" s="1"/>
  <c r="W79" i="2"/>
  <c r="F78" i="3" s="1"/>
  <c r="V79" i="2"/>
  <c r="N79" i="2"/>
  <c r="B79" i="2"/>
  <c r="AC78" i="2"/>
  <c r="AB78" i="2"/>
  <c r="X78" i="2"/>
  <c r="G77" i="3" s="1"/>
  <c r="W78" i="2"/>
  <c r="F77" i="3" s="1"/>
  <c r="V78" i="2"/>
  <c r="N78" i="2"/>
  <c r="B78" i="2"/>
  <c r="AC77" i="2"/>
  <c r="AB77" i="2"/>
  <c r="X77" i="2"/>
  <c r="G76" i="3" s="1"/>
  <c r="W77" i="2"/>
  <c r="F76" i="3" s="1"/>
  <c r="V77" i="2"/>
  <c r="N77" i="2"/>
  <c r="B77" i="2"/>
  <c r="AC76" i="2"/>
  <c r="AB76" i="2"/>
  <c r="X76" i="2"/>
  <c r="G75" i="3" s="1"/>
  <c r="W76" i="2"/>
  <c r="F75" i="3" s="1"/>
  <c r="V76" i="2"/>
  <c r="N76" i="2"/>
  <c r="B76" i="2"/>
  <c r="AC75" i="2"/>
  <c r="AB75" i="2"/>
  <c r="X75" i="2"/>
  <c r="G74" i="3" s="1"/>
  <c r="W75" i="2"/>
  <c r="F74" i="3" s="1"/>
  <c r="V75" i="2"/>
  <c r="N75" i="2"/>
  <c r="B75" i="2"/>
  <c r="AC74" i="2"/>
  <c r="AB74" i="2"/>
  <c r="X74" i="2"/>
  <c r="G73" i="3" s="1"/>
  <c r="W74" i="2"/>
  <c r="F73" i="3" s="1"/>
  <c r="V74" i="2"/>
  <c r="N74" i="2"/>
  <c r="B74" i="2"/>
  <c r="AC73" i="2"/>
  <c r="AB73" i="2"/>
  <c r="X73" i="2"/>
  <c r="G72" i="3" s="1"/>
  <c r="W73" i="2"/>
  <c r="F72" i="3" s="1"/>
  <c r="V73" i="2"/>
  <c r="N73" i="2"/>
  <c r="B73" i="2"/>
  <c r="AC72" i="2"/>
  <c r="AB72" i="2"/>
  <c r="X72" i="2"/>
  <c r="G71" i="3" s="1"/>
  <c r="W72" i="2"/>
  <c r="F71" i="3" s="1"/>
  <c r="V72" i="2"/>
  <c r="N72" i="2"/>
  <c r="B72" i="2"/>
  <c r="AC71" i="2"/>
  <c r="AB71" i="2"/>
  <c r="X71" i="2"/>
  <c r="G70" i="3" s="1"/>
  <c r="W71" i="2"/>
  <c r="F70" i="3" s="1"/>
  <c r="V71" i="2"/>
  <c r="N71" i="2"/>
  <c r="B71" i="2"/>
  <c r="AC70" i="2"/>
  <c r="AB70" i="2"/>
  <c r="X70" i="2"/>
  <c r="G69" i="3" s="1"/>
  <c r="W70" i="2"/>
  <c r="F69" i="3" s="1"/>
  <c r="V70" i="2"/>
  <c r="N70" i="2"/>
  <c r="B70" i="2"/>
  <c r="AC69" i="2"/>
  <c r="AB69" i="2"/>
  <c r="X69" i="2"/>
  <c r="G68" i="3" s="1"/>
  <c r="W69" i="2"/>
  <c r="F68" i="3" s="1"/>
  <c r="V69" i="2"/>
  <c r="N69" i="2"/>
  <c r="B69" i="2"/>
  <c r="AC68" i="2"/>
  <c r="AB68" i="2"/>
  <c r="X68" i="2"/>
  <c r="G67" i="3" s="1"/>
  <c r="W68" i="2"/>
  <c r="F67" i="3" s="1"/>
  <c r="V68" i="2"/>
  <c r="N68" i="2"/>
  <c r="B68" i="2"/>
  <c r="AC67" i="2"/>
  <c r="AB67" i="2"/>
  <c r="X67" i="2"/>
  <c r="G66" i="3" s="1"/>
  <c r="W67" i="2"/>
  <c r="F66" i="3" s="1"/>
  <c r="V67" i="2"/>
  <c r="N67" i="2"/>
  <c r="B67" i="2"/>
  <c r="AC66" i="2"/>
  <c r="AB66" i="2"/>
  <c r="X66" i="2"/>
  <c r="G65" i="3" s="1"/>
  <c r="W66" i="2"/>
  <c r="F65" i="3" s="1"/>
  <c r="V66" i="2"/>
  <c r="N66" i="2"/>
  <c r="B66" i="2"/>
  <c r="AC65" i="2"/>
  <c r="AB65" i="2"/>
  <c r="X65" i="2"/>
  <c r="G64" i="3" s="1"/>
  <c r="W65" i="2"/>
  <c r="F64" i="3" s="1"/>
  <c r="V65" i="2"/>
  <c r="N65" i="2"/>
  <c r="B65" i="2"/>
  <c r="AC64" i="2"/>
  <c r="AB64" i="2"/>
  <c r="X64" i="2"/>
  <c r="G63" i="3" s="1"/>
  <c r="W64" i="2"/>
  <c r="F63" i="3" s="1"/>
  <c r="V64" i="2"/>
  <c r="N64" i="2"/>
  <c r="B64" i="2"/>
  <c r="AC63" i="2"/>
  <c r="AB63" i="2"/>
  <c r="X63" i="2"/>
  <c r="G62" i="3" s="1"/>
  <c r="W63" i="2"/>
  <c r="F62" i="3" s="1"/>
  <c r="V63" i="2"/>
  <c r="N63" i="2"/>
  <c r="B63" i="2"/>
  <c r="AC62" i="2"/>
  <c r="AB62" i="2"/>
  <c r="X62" i="2"/>
  <c r="G61" i="3" s="1"/>
  <c r="W62" i="2"/>
  <c r="F61" i="3" s="1"/>
  <c r="V62" i="2"/>
  <c r="N62" i="2"/>
  <c r="B62" i="2"/>
  <c r="AC61" i="2"/>
  <c r="AB61" i="2"/>
  <c r="X61" i="2"/>
  <c r="G60" i="3" s="1"/>
  <c r="W61" i="2"/>
  <c r="F60" i="3" s="1"/>
  <c r="V61" i="2"/>
  <c r="N61" i="2"/>
  <c r="B61" i="2"/>
  <c r="AC60" i="2"/>
  <c r="AB60" i="2"/>
  <c r="X60" i="2"/>
  <c r="G59" i="3" s="1"/>
  <c r="W60" i="2"/>
  <c r="F59" i="3" s="1"/>
  <c r="V60" i="2"/>
  <c r="N60" i="2"/>
  <c r="B60" i="2"/>
  <c r="AC59" i="2"/>
  <c r="AB59" i="2"/>
  <c r="X59" i="2"/>
  <c r="G58" i="3" s="1"/>
  <c r="W59" i="2"/>
  <c r="F58" i="3" s="1"/>
  <c r="V59" i="2"/>
  <c r="N59" i="2"/>
  <c r="B59" i="2"/>
  <c r="AC58" i="2"/>
  <c r="AB58" i="2"/>
  <c r="X58" i="2"/>
  <c r="G57" i="3" s="1"/>
  <c r="W58" i="2"/>
  <c r="F57" i="3" s="1"/>
  <c r="V58" i="2"/>
  <c r="N58" i="2"/>
  <c r="B58" i="2"/>
  <c r="AC57" i="2"/>
  <c r="AB57" i="2"/>
  <c r="X57" i="2"/>
  <c r="G56" i="3" s="1"/>
  <c r="W57" i="2"/>
  <c r="F56" i="3" s="1"/>
  <c r="V57" i="2"/>
  <c r="N57" i="2"/>
  <c r="B57" i="2"/>
  <c r="AC56" i="2"/>
  <c r="AB56" i="2"/>
  <c r="X56" i="2"/>
  <c r="G55" i="3" s="1"/>
  <c r="W56" i="2"/>
  <c r="F55" i="3" s="1"/>
  <c r="V56" i="2"/>
  <c r="N56" i="2"/>
  <c r="B56" i="2"/>
  <c r="AC55" i="2"/>
  <c r="AB55" i="2"/>
  <c r="X55" i="2"/>
  <c r="G54" i="3" s="1"/>
  <c r="W55" i="2"/>
  <c r="F54" i="3" s="1"/>
  <c r="V55" i="2"/>
  <c r="N55" i="2"/>
  <c r="B55" i="2"/>
  <c r="AC54" i="2"/>
  <c r="AB54" i="2"/>
  <c r="X54" i="2"/>
  <c r="G53" i="3" s="1"/>
  <c r="W54" i="2"/>
  <c r="F53" i="3" s="1"/>
  <c r="V54" i="2"/>
  <c r="N54" i="2"/>
  <c r="B54" i="2"/>
  <c r="AC53" i="2"/>
  <c r="AB53" i="2"/>
  <c r="X53" i="2"/>
  <c r="G52" i="3" s="1"/>
  <c r="W53" i="2"/>
  <c r="F52" i="3" s="1"/>
  <c r="V53" i="2"/>
  <c r="N53" i="2"/>
  <c r="B53" i="2"/>
  <c r="AC52" i="2"/>
  <c r="AB52" i="2"/>
  <c r="X52" i="2"/>
  <c r="G51" i="3" s="1"/>
  <c r="W52" i="2"/>
  <c r="F51" i="3" s="1"/>
  <c r="V52" i="2"/>
  <c r="N52" i="2"/>
  <c r="B52" i="2"/>
  <c r="AC51" i="2"/>
  <c r="AB51" i="2"/>
  <c r="X51" i="2"/>
  <c r="G50" i="3" s="1"/>
  <c r="W51" i="2"/>
  <c r="F50" i="3" s="1"/>
  <c r="V51" i="2"/>
  <c r="N51" i="2"/>
  <c r="B51" i="2"/>
  <c r="AC50" i="2"/>
  <c r="AB50" i="2"/>
  <c r="X50" i="2"/>
  <c r="G49" i="3" s="1"/>
  <c r="W50" i="2"/>
  <c r="F49" i="3" s="1"/>
  <c r="V50" i="2"/>
  <c r="N50" i="2"/>
  <c r="B50" i="2"/>
  <c r="AC49" i="2"/>
  <c r="AB49" i="2"/>
  <c r="X49" i="2"/>
  <c r="G48" i="3" s="1"/>
  <c r="W49" i="2"/>
  <c r="F48" i="3" s="1"/>
  <c r="V49" i="2"/>
  <c r="N49" i="2"/>
  <c r="B49" i="2"/>
  <c r="AC48" i="2"/>
  <c r="AB48" i="2"/>
  <c r="X48" i="2"/>
  <c r="G47" i="3" s="1"/>
  <c r="W48" i="2"/>
  <c r="F47" i="3" s="1"/>
  <c r="V48" i="2"/>
  <c r="N48" i="2"/>
  <c r="B48" i="2"/>
  <c r="AC47" i="2"/>
  <c r="AB47" i="2"/>
  <c r="X47" i="2"/>
  <c r="G46" i="3" s="1"/>
  <c r="W47" i="2"/>
  <c r="F46" i="3" s="1"/>
  <c r="V47" i="2"/>
  <c r="N47" i="2"/>
  <c r="B47" i="2"/>
  <c r="AC46" i="2"/>
  <c r="AB46" i="2"/>
  <c r="X46" i="2"/>
  <c r="G45" i="3" s="1"/>
  <c r="W46" i="2"/>
  <c r="F45" i="3" s="1"/>
  <c r="V46" i="2"/>
  <c r="N46" i="2"/>
  <c r="B46" i="2"/>
  <c r="AC45" i="2"/>
  <c r="AB45" i="2"/>
  <c r="X45" i="2"/>
  <c r="G44" i="3" s="1"/>
  <c r="W45" i="2"/>
  <c r="F44" i="3" s="1"/>
  <c r="V45" i="2"/>
  <c r="N45" i="2"/>
  <c r="B45" i="2"/>
  <c r="AC44" i="2"/>
  <c r="AB44" i="2"/>
  <c r="X44" i="2"/>
  <c r="G43" i="3" s="1"/>
  <c r="W44" i="2"/>
  <c r="F43" i="3" s="1"/>
  <c r="V44" i="2"/>
  <c r="N44" i="2"/>
  <c r="B44" i="2"/>
  <c r="AC43" i="2"/>
  <c r="AB43" i="2"/>
  <c r="X43" i="2"/>
  <c r="G42" i="3" s="1"/>
  <c r="W43" i="2"/>
  <c r="F42" i="3" s="1"/>
  <c r="V43" i="2"/>
  <c r="N43" i="2"/>
  <c r="B43" i="2"/>
  <c r="AC42" i="2"/>
  <c r="AB42" i="2"/>
  <c r="X42" i="2"/>
  <c r="G41" i="3" s="1"/>
  <c r="W42" i="2"/>
  <c r="F41" i="3" s="1"/>
  <c r="V42" i="2"/>
  <c r="N42" i="2"/>
  <c r="B42" i="2"/>
  <c r="AC41" i="2"/>
  <c r="AB41" i="2"/>
  <c r="X41" i="2"/>
  <c r="G40" i="3" s="1"/>
  <c r="W41" i="2"/>
  <c r="F40" i="3" s="1"/>
  <c r="V41" i="2"/>
  <c r="N41" i="2"/>
  <c r="B41" i="2"/>
  <c r="AC40" i="2"/>
  <c r="AB40" i="2"/>
  <c r="X40" i="2"/>
  <c r="G39" i="3" s="1"/>
  <c r="W40" i="2"/>
  <c r="F39" i="3" s="1"/>
  <c r="V40" i="2"/>
  <c r="N40" i="2"/>
  <c r="B40" i="2"/>
  <c r="AC39" i="2"/>
  <c r="AB39" i="2"/>
  <c r="X39" i="2"/>
  <c r="G38" i="3" s="1"/>
  <c r="W39" i="2"/>
  <c r="F38" i="3" s="1"/>
  <c r="V39" i="2"/>
  <c r="N39" i="2"/>
  <c r="B39" i="2"/>
  <c r="AC38" i="2"/>
  <c r="AB38" i="2"/>
  <c r="X38" i="2"/>
  <c r="G37" i="3" s="1"/>
  <c r="W38" i="2"/>
  <c r="F37" i="3" s="1"/>
  <c r="V38" i="2"/>
  <c r="N38" i="2"/>
  <c r="B38" i="2"/>
  <c r="AC37" i="2"/>
  <c r="AB37" i="2"/>
  <c r="X37" i="2"/>
  <c r="G36" i="3" s="1"/>
  <c r="W37" i="2"/>
  <c r="F36" i="3" s="1"/>
  <c r="V37" i="2"/>
  <c r="N37" i="2"/>
  <c r="B37" i="2"/>
  <c r="AC36" i="2"/>
  <c r="AB36" i="2"/>
  <c r="X36" i="2"/>
  <c r="G35" i="3" s="1"/>
  <c r="W36" i="2"/>
  <c r="F35" i="3" s="1"/>
  <c r="V36" i="2"/>
  <c r="N36" i="2"/>
  <c r="B36" i="2"/>
  <c r="AC35" i="2"/>
  <c r="AB35" i="2"/>
  <c r="X35" i="2"/>
  <c r="G34" i="3" s="1"/>
  <c r="W35" i="2"/>
  <c r="F34" i="3" s="1"/>
  <c r="V35" i="2"/>
  <c r="N35" i="2"/>
  <c r="B35" i="2"/>
  <c r="AC34" i="2"/>
  <c r="AB34" i="2"/>
  <c r="X34" i="2"/>
  <c r="G33" i="3" s="1"/>
  <c r="W34" i="2"/>
  <c r="F33" i="3" s="1"/>
  <c r="V34" i="2"/>
  <c r="N34" i="2"/>
  <c r="B34" i="2"/>
  <c r="AC33" i="2"/>
  <c r="AB33" i="2"/>
  <c r="X33" i="2"/>
  <c r="G32" i="3" s="1"/>
  <c r="W33" i="2"/>
  <c r="F32" i="3" s="1"/>
  <c r="V33" i="2"/>
  <c r="N33" i="2"/>
  <c r="B33" i="2"/>
  <c r="AC32" i="2"/>
  <c r="AB32" i="2"/>
  <c r="X32" i="2"/>
  <c r="G31" i="3" s="1"/>
  <c r="W32" i="2"/>
  <c r="F31" i="3" s="1"/>
  <c r="V32" i="2"/>
  <c r="N32" i="2"/>
  <c r="B32" i="2"/>
  <c r="AC31" i="2"/>
  <c r="AB31" i="2"/>
  <c r="X31" i="2"/>
  <c r="G30" i="3" s="1"/>
  <c r="W31" i="2"/>
  <c r="F30" i="3" s="1"/>
  <c r="V31" i="2"/>
  <c r="N31" i="2"/>
  <c r="B31" i="2"/>
  <c r="AC30" i="2"/>
  <c r="AB30" i="2"/>
  <c r="X30" i="2"/>
  <c r="G29" i="3" s="1"/>
  <c r="W30" i="2"/>
  <c r="F29" i="3" s="1"/>
  <c r="V30" i="2"/>
  <c r="N30" i="2"/>
  <c r="B30" i="2"/>
  <c r="AC29" i="2"/>
  <c r="AB29" i="2"/>
  <c r="X29" i="2"/>
  <c r="G28" i="3" s="1"/>
  <c r="W29" i="2"/>
  <c r="F28" i="3" s="1"/>
  <c r="V29" i="2"/>
  <c r="N29" i="2"/>
  <c r="B29" i="2"/>
  <c r="AC28" i="2"/>
  <c r="AB28" i="2"/>
  <c r="X28" i="2"/>
  <c r="G27" i="3" s="1"/>
  <c r="W28" i="2"/>
  <c r="F27" i="3" s="1"/>
  <c r="V28" i="2"/>
  <c r="N28" i="2"/>
  <c r="B28" i="2"/>
  <c r="AC27" i="2"/>
  <c r="AB27" i="2"/>
  <c r="X27" i="2"/>
  <c r="G26" i="3" s="1"/>
  <c r="W27" i="2"/>
  <c r="F26" i="3" s="1"/>
  <c r="V27" i="2"/>
  <c r="N27" i="2"/>
  <c r="B27" i="2"/>
  <c r="AC26" i="2"/>
  <c r="AB26" i="2"/>
  <c r="X26" i="2"/>
  <c r="G25" i="3" s="1"/>
  <c r="W26" i="2"/>
  <c r="F25" i="3" s="1"/>
  <c r="V26" i="2"/>
  <c r="N26" i="2"/>
  <c r="B26" i="2"/>
  <c r="AC25" i="2"/>
  <c r="AB25" i="2"/>
  <c r="X25" i="2"/>
  <c r="G24" i="3" s="1"/>
  <c r="W25" i="2"/>
  <c r="F24" i="3" s="1"/>
  <c r="V25" i="2"/>
  <c r="N25" i="2"/>
  <c r="B25" i="2"/>
  <c r="AC24" i="2"/>
  <c r="AB24" i="2"/>
  <c r="X24" i="2"/>
  <c r="G23" i="3" s="1"/>
  <c r="W24" i="2"/>
  <c r="F23" i="3" s="1"/>
  <c r="V24" i="2"/>
  <c r="N24" i="2"/>
  <c r="B24" i="2"/>
  <c r="AC23" i="2"/>
  <c r="AB23" i="2"/>
  <c r="X23" i="2"/>
  <c r="G22" i="3" s="1"/>
  <c r="W23" i="2"/>
  <c r="F22" i="3" s="1"/>
  <c r="V23" i="2"/>
  <c r="N23" i="2"/>
  <c r="B23" i="2"/>
  <c r="AC22" i="2"/>
  <c r="AB22" i="2"/>
  <c r="X22" i="2"/>
  <c r="G21" i="3" s="1"/>
  <c r="W22" i="2"/>
  <c r="F21" i="3" s="1"/>
  <c r="V22" i="2"/>
  <c r="N22" i="2"/>
  <c r="B22" i="2"/>
  <c r="AC21" i="2"/>
  <c r="AB21" i="2"/>
  <c r="X21" i="2"/>
  <c r="G20" i="3" s="1"/>
  <c r="W21" i="2"/>
  <c r="F20" i="3" s="1"/>
  <c r="V21" i="2"/>
  <c r="N21" i="2"/>
  <c r="B21" i="2"/>
  <c r="AC20" i="2"/>
  <c r="AB20" i="2"/>
  <c r="X20" i="2"/>
  <c r="G19" i="3" s="1"/>
  <c r="W20" i="2"/>
  <c r="F19" i="3" s="1"/>
  <c r="V20" i="2"/>
  <c r="N20" i="2"/>
  <c r="B20" i="2"/>
  <c r="AC19" i="2"/>
  <c r="AB19" i="2"/>
  <c r="X19" i="2"/>
  <c r="G18" i="3" s="1"/>
  <c r="W19" i="2"/>
  <c r="F18" i="3" s="1"/>
  <c r="V19" i="2"/>
  <c r="N19" i="2"/>
  <c r="B19" i="2"/>
  <c r="AC18" i="2"/>
  <c r="AB18" i="2"/>
  <c r="X18" i="2"/>
  <c r="G17" i="3" s="1"/>
  <c r="W18" i="2"/>
  <c r="F17" i="3" s="1"/>
  <c r="V18" i="2"/>
  <c r="N18" i="2"/>
  <c r="B18" i="2"/>
  <c r="AC17" i="2"/>
  <c r="AB17" i="2"/>
  <c r="X17" i="2"/>
  <c r="G16" i="3" s="1"/>
  <c r="W17" i="2"/>
  <c r="F16" i="3" s="1"/>
  <c r="V17" i="2"/>
  <c r="N17" i="2"/>
  <c r="B17" i="2"/>
  <c r="AC16" i="2"/>
  <c r="AB16" i="2"/>
  <c r="X16" i="2"/>
  <c r="G15" i="3" s="1"/>
  <c r="W16" i="2"/>
  <c r="F15" i="3" s="1"/>
  <c r="V16" i="2"/>
  <c r="N16" i="2"/>
  <c r="B16" i="2"/>
  <c r="AC15" i="2"/>
  <c r="AB15" i="2"/>
  <c r="X15" i="2"/>
  <c r="G14" i="3" s="1"/>
  <c r="W15" i="2"/>
  <c r="F14" i="3" s="1"/>
  <c r="V15" i="2"/>
  <c r="N15" i="2"/>
  <c r="B15" i="2"/>
  <c r="AC14" i="2"/>
  <c r="AB14" i="2"/>
  <c r="X14" i="2"/>
  <c r="G13" i="3" s="1"/>
  <c r="W14" i="2"/>
  <c r="F13" i="3" s="1"/>
  <c r="V14" i="2"/>
  <c r="N14" i="2"/>
  <c r="B14" i="2"/>
  <c r="AC13" i="2"/>
  <c r="AB13" i="2"/>
  <c r="X13" i="2"/>
  <c r="G12" i="3" s="1"/>
  <c r="W13" i="2"/>
  <c r="F12" i="3" s="1"/>
  <c r="V13" i="2"/>
  <c r="N13" i="2"/>
  <c r="B13" i="2"/>
  <c r="AC12" i="2"/>
  <c r="AB12" i="2"/>
  <c r="X12" i="2"/>
  <c r="G11" i="3" s="1"/>
  <c r="W12" i="2"/>
  <c r="F11" i="3" s="1"/>
  <c r="V12" i="2"/>
  <c r="N12" i="2"/>
  <c r="B12" i="2"/>
  <c r="AC11" i="2"/>
  <c r="AB11" i="2"/>
  <c r="X11" i="2"/>
  <c r="G10" i="3" s="1"/>
  <c r="W11" i="2"/>
  <c r="F10" i="3" s="1"/>
  <c r="V11" i="2"/>
  <c r="N11" i="2"/>
  <c r="B11" i="2"/>
  <c r="AC10" i="2"/>
  <c r="AB10" i="2"/>
  <c r="X10" i="2"/>
  <c r="G9" i="3" s="1"/>
  <c r="W10" i="2"/>
  <c r="F9" i="3" s="1"/>
  <c r="V10" i="2"/>
  <c r="N10" i="2"/>
  <c r="B10" i="2"/>
  <c r="AC9" i="2"/>
  <c r="AB9" i="2"/>
  <c r="X9" i="2"/>
  <c r="G8" i="3" s="1"/>
  <c r="W9" i="2"/>
  <c r="F8" i="3" s="1"/>
  <c r="V9" i="2"/>
  <c r="N9" i="2"/>
  <c r="B9" i="2"/>
  <c r="AC8" i="2"/>
  <c r="AB8" i="2"/>
  <c r="X8" i="2"/>
  <c r="G7" i="3" s="1"/>
  <c r="W8" i="2"/>
  <c r="F7" i="3" s="1"/>
  <c r="V8" i="2"/>
  <c r="N8" i="2"/>
  <c r="B8" i="2"/>
  <c r="AC7" i="2"/>
  <c r="AB7" i="2"/>
  <c r="X7" i="2"/>
  <c r="G6" i="3" s="1"/>
  <c r="W7" i="2"/>
  <c r="F6" i="3" s="1"/>
  <c r="V7" i="2"/>
  <c r="N7" i="2"/>
  <c r="B7" i="2"/>
  <c r="AC6" i="2"/>
  <c r="X6" i="2" s="1"/>
  <c r="AB6" i="2"/>
  <c r="N6" i="2"/>
  <c r="AD354" i="4"/>
  <c r="AC354" i="4"/>
  <c r="AB354" i="4"/>
  <c r="Z354" i="4"/>
  <c r="Y354" i="4"/>
  <c r="X354" i="4"/>
  <c r="W354" i="4"/>
  <c r="V354" i="4"/>
  <c r="U354" i="4"/>
  <c r="T354" i="4"/>
  <c r="S354" i="4"/>
  <c r="R354" i="4"/>
  <c r="Q354" i="4"/>
  <c r="P354" i="4"/>
  <c r="O354" i="4"/>
  <c r="N354" i="4"/>
  <c r="M354" i="4"/>
  <c r="L354" i="4"/>
  <c r="K354" i="4"/>
  <c r="J354" i="4"/>
  <c r="C354" i="4"/>
  <c r="A354" i="4"/>
  <c r="AD353" i="4"/>
  <c r="AC353" i="4"/>
  <c r="AB353" i="4"/>
  <c r="Z353" i="4"/>
  <c r="Y353" i="4"/>
  <c r="X353" i="4"/>
  <c r="W353" i="4"/>
  <c r="V353" i="4"/>
  <c r="U353" i="4"/>
  <c r="T353" i="4"/>
  <c r="S353" i="4"/>
  <c r="R353" i="4"/>
  <c r="Q353" i="4"/>
  <c r="P353" i="4"/>
  <c r="O353" i="4"/>
  <c r="N353" i="4"/>
  <c r="M353" i="4"/>
  <c r="L353" i="4"/>
  <c r="K353" i="4"/>
  <c r="J353" i="4"/>
  <c r="C353" i="4"/>
  <c r="A353" i="4"/>
  <c r="AD352" i="4"/>
  <c r="AC352" i="4"/>
  <c r="AB352" i="4"/>
  <c r="Z352" i="4"/>
  <c r="Y352" i="4"/>
  <c r="X352" i="4"/>
  <c r="W352" i="4"/>
  <c r="V352" i="4"/>
  <c r="U352" i="4"/>
  <c r="T352" i="4"/>
  <c r="S352" i="4"/>
  <c r="R352" i="4"/>
  <c r="Q352" i="4"/>
  <c r="P352" i="4"/>
  <c r="O352" i="4"/>
  <c r="N352" i="4"/>
  <c r="M352" i="4"/>
  <c r="L352" i="4"/>
  <c r="K352" i="4"/>
  <c r="J352" i="4"/>
  <c r="C352" i="4"/>
  <c r="A352" i="4"/>
  <c r="AD351" i="4"/>
  <c r="AC351" i="4"/>
  <c r="AB351" i="4"/>
  <c r="Z351" i="4"/>
  <c r="Y351" i="4"/>
  <c r="X351" i="4"/>
  <c r="W351" i="4"/>
  <c r="V351" i="4"/>
  <c r="U351" i="4"/>
  <c r="T351" i="4"/>
  <c r="S351" i="4"/>
  <c r="R351" i="4"/>
  <c r="Q351" i="4"/>
  <c r="P351" i="4"/>
  <c r="O351" i="4"/>
  <c r="N351" i="4"/>
  <c r="M351" i="4"/>
  <c r="L351" i="4"/>
  <c r="K351" i="4"/>
  <c r="J351" i="4"/>
  <c r="C351" i="4"/>
  <c r="A351" i="4"/>
  <c r="AD350" i="4"/>
  <c r="AC350" i="4"/>
  <c r="AB350" i="4"/>
  <c r="Z350" i="4"/>
  <c r="Y350" i="4"/>
  <c r="X350" i="4"/>
  <c r="W350" i="4"/>
  <c r="V350" i="4"/>
  <c r="U350" i="4"/>
  <c r="T350" i="4"/>
  <c r="S350" i="4"/>
  <c r="R350" i="4"/>
  <c r="Q350" i="4"/>
  <c r="P350" i="4"/>
  <c r="O350" i="4"/>
  <c r="N350" i="4"/>
  <c r="M350" i="4"/>
  <c r="L350" i="4"/>
  <c r="K350" i="4"/>
  <c r="J350" i="4"/>
  <c r="C350" i="4"/>
  <c r="A350" i="4"/>
  <c r="AD349" i="4"/>
  <c r="AC349" i="4"/>
  <c r="AB349" i="4"/>
  <c r="Z349" i="4"/>
  <c r="Y349" i="4"/>
  <c r="X349" i="4"/>
  <c r="W349" i="4"/>
  <c r="V349" i="4"/>
  <c r="U349" i="4"/>
  <c r="T349" i="4"/>
  <c r="S349" i="4"/>
  <c r="R349" i="4"/>
  <c r="Q349" i="4"/>
  <c r="P349" i="4"/>
  <c r="O349" i="4"/>
  <c r="N349" i="4"/>
  <c r="M349" i="4"/>
  <c r="L349" i="4"/>
  <c r="K349" i="4"/>
  <c r="J349" i="4"/>
  <c r="C349" i="4"/>
  <c r="A349" i="4"/>
  <c r="AD348" i="4"/>
  <c r="AC348" i="4"/>
  <c r="AB348" i="4"/>
  <c r="Z348" i="4"/>
  <c r="Y348" i="4"/>
  <c r="X348" i="4"/>
  <c r="W348" i="4"/>
  <c r="V348" i="4"/>
  <c r="U348" i="4"/>
  <c r="T348" i="4"/>
  <c r="S348" i="4"/>
  <c r="R348" i="4"/>
  <c r="Q348" i="4"/>
  <c r="P348" i="4"/>
  <c r="O348" i="4"/>
  <c r="N348" i="4"/>
  <c r="M348" i="4"/>
  <c r="L348" i="4"/>
  <c r="K348" i="4"/>
  <c r="J348" i="4"/>
  <c r="C348" i="4"/>
  <c r="A348" i="4"/>
  <c r="AD347" i="4"/>
  <c r="AC347" i="4"/>
  <c r="AB347" i="4"/>
  <c r="Z347" i="4"/>
  <c r="Y347" i="4"/>
  <c r="X347" i="4"/>
  <c r="W347" i="4"/>
  <c r="V347" i="4"/>
  <c r="U347" i="4"/>
  <c r="T347" i="4"/>
  <c r="S347" i="4"/>
  <c r="R347" i="4"/>
  <c r="Q347" i="4"/>
  <c r="P347" i="4"/>
  <c r="O347" i="4"/>
  <c r="N347" i="4"/>
  <c r="M347" i="4"/>
  <c r="L347" i="4"/>
  <c r="K347" i="4"/>
  <c r="J347" i="4"/>
  <c r="C347" i="4"/>
  <c r="A347" i="4"/>
  <c r="AD346" i="4"/>
  <c r="AC346" i="4"/>
  <c r="AB346" i="4"/>
  <c r="Z346" i="4"/>
  <c r="Y346" i="4"/>
  <c r="X346" i="4"/>
  <c r="W346" i="4"/>
  <c r="V346" i="4"/>
  <c r="U346" i="4"/>
  <c r="T346" i="4"/>
  <c r="S346" i="4"/>
  <c r="R346" i="4"/>
  <c r="Q346" i="4"/>
  <c r="P346" i="4"/>
  <c r="O346" i="4"/>
  <c r="N346" i="4"/>
  <c r="M346" i="4"/>
  <c r="L346" i="4"/>
  <c r="K346" i="4"/>
  <c r="J346" i="4"/>
  <c r="C346" i="4"/>
  <c r="A346" i="4"/>
  <c r="AD345" i="4"/>
  <c r="AC345" i="4"/>
  <c r="AB345" i="4"/>
  <c r="Z345" i="4"/>
  <c r="Y345" i="4"/>
  <c r="X345" i="4"/>
  <c r="W345" i="4"/>
  <c r="V345" i="4"/>
  <c r="U345" i="4"/>
  <c r="T345" i="4"/>
  <c r="S345" i="4"/>
  <c r="R345" i="4"/>
  <c r="Q345" i="4"/>
  <c r="P345" i="4"/>
  <c r="O345" i="4"/>
  <c r="N345" i="4"/>
  <c r="M345" i="4"/>
  <c r="L345" i="4"/>
  <c r="K345" i="4"/>
  <c r="J345" i="4"/>
  <c r="C345" i="4"/>
  <c r="A345" i="4"/>
  <c r="AD344" i="4"/>
  <c r="AC344" i="4"/>
  <c r="AB344" i="4"/>
  <c r="Z344" i="4"/>
  <c r="Y344" i="4"/>
  <c r="X344" i="4"/>
  <c r="W344" i="4"/>
  <c r="V344" i="4"/>
  <c r="U344" i="4"/>
  <c r="T344" i="4"/>
  <c r="S344" i="4"/>
  <c r="R344" i="4"/>
  <c r="Q344" i="4"/>
  <c r="P344" i="4"/>
  <c r="O344" i="4"/>
  <c r="N344" i="4"/>
  <c r="M344" i="4"/>
  <c r="L344" i="4"/>
  <c r="K344" i="4"/>
  <c r="J344" i="4"/>
  <c r="C344" i="4"/>
  <c r="A344" i="4"/>
  <c r="AD343" i="4"/>
  <c r="AC343" i="4"/>
  <c r="AB343" i="4"/>
  <c r="Z343" i="4"/>
  <c r="Y343" i="4"/>
  <c r="X343" i="4"/>
  <c r="W343" i="4"/>
  <c r="V343" i="4"/>
  <c r="U343" i="4"/>
  <c r="T343" i="4"/>
  <c r="S343" i="4"/>
  <c r="R343" i="4"/>
  <c r="Q343" i="4"/>
  <c r="P343" i="4"/>
  <c r="O343" i="4"/>
  <c r="N343" i="4"/>
  <c r="M343" i="4"/>
  <c r="L343" i="4"/>
  <c r="K343" i="4"/>
  <c r="J343" i="4"/>
  <c r="C343" i="4"/>
  <c r="A343" i="4"/>
  <c r="AD342" i="4"/>
  <c r="AC342" i="4"/>
  <c r="AB342" i="4"/>
  <c r="Z342" i="4"/>
  <c r="Y342" i="4"/>
  <c r="X342" i="4"/>
  <c r="W342" i="4"/>
  <c r="V342" i="4"/>
  <c r="U342" i="4"/>
  <c r="T342" i="4"/>
  <c r="S342" i="4"/>
  <c r="R342" i="4"/>
  <c r="Q342" i="4"/>
  <c r="P342" i="4"/>
  <c r="O342" i="4"/>
  <c r="N342" i="4"/>
  <c r="M342" i="4"/>
  <c r="L342" i="4"/>
  <c r="K342" i="4"/>
  <c r="J342" i="4"/>
  <c r="C342" i="4"/>
  <c r="A342" i="4"/>
  <c r="AD341" i="4"/>
  <c r="AC341" i="4"/>
  <c r="AB341" i="4"/>
  <c r="Z341" i="4"/>
  <c r="Y341" i="4"/>
  <c r="X341" i="4"/>
  <c r="W341" i="4"/>
  <c r="V341" i="4"/>
  <c r="U341" i="4"/>
  <c r="T341" i="4"/>
  <c r="S341" i="4"/>
  <c r="R341" i="4"/>
  <c r="Q341" i="4"/>
  <c r="P341" i="4"/>
  <c r="O341" i="4"/>
  <c r="N341" i="4"/>
  <c r="M341" i="4"/>
  <c r="L341" i="4"/>
  <c r="K341" i="4"/>
  <c r="J341" i="4"/>
  <c r="C341" i="4"/>
  <c r="A341" i="4"/>
  <c r="AD340" i="4"/>
  <c r="AC340" i="4"/>
  <c r="AB340" i="4"/>
  <c r="Z340" i="4"/>
  <c r="Y340" i="4"/>
  <c r="X340" i="4"/>
  <c r="W340" i="4"/>
  <c r="V340" i="4"/>
  <c r="U340" i="4"/>
  <c r="T340" i="4"/>
  <c r="S340" i="4"/>
  <c r="R340" i="4"/>
  <c r="Q340" i="4"/>
  <c r="P340" i="4"/>
  <c r="O340" i="4"/>
  <c r="N340" i="4"/>
  <c r="M340" i="4"/>
  <c r="L340" i="4"/>
  <c r="K340" i="4"/>
  <c r="J340" i="4"/>
  <c r="C340" i="4"/>
  <c r="A340" i="4"/>
  <c r="AD339" i="4"/>
  <c r="AC339" i="4"/>
  <c r="AB339" i="4"/>
  <c r="Z339" i="4"/>
  <c r="Y339" i="4"/>
  <c r="X339" i="4"/>
  <c r="W339" i="4"/>
  <c r="V339" i="4"/>
  <c r="U339" i="4"/>
  <c r="T339" i="4"/>
  <c r="S339" i="4"/>
  <c r="R339" i="4"/>
  <c r="Q339" i="4"/>
  <c r="P339" i="4"/>
  <c r="O339" i="4"/>
  <c r="N339" i="4"/>
  <c r="M339" i="4"/>
  <c r="L339" i="4"/>
  <c r="K339" i="4"/>
  <c r="J339" i="4"/>
  <c r="C339" i="4"/>
  <c r="A339" i="4"/>
  <c r="AD338" i="4"/>
  <c r="AC338" i="4"/>
  <c r="AB338" i="4"/>
  <c r="Z338" i="4"/>
  <c r="Y338" i="4"/>
  <c r="X338" i="4"/>
  <c r="W338" i="4"/>
  <c r="V338" i="4"/>
  <c r="U338" i="4"/>
  <c r="T338" i="4"/>
  <c r="S338" i="4"/>
  <c r="R338" i="4"/>
  <c r="Q338" i="4"/>
  <c r="P338" i="4"/>
  <c r="O338" i="4"/>
  <c r="N338" i="4"/>
  <c r="M338" i="4"/>
  <c r="L338" i="4"/>
  <c r="K338" i="4"/>
  <c r="J338" i="4"/>
  <c r="C338" i="4"/>
  <c r="A338" i="4"/>
  <c r="AD337" i="4"/>
  <c r="AC337" i="4"/>
  <c r="AB337" i="4"/>
  <c r="Z337" i="4"/>
  <c r="Y337" i="4"/>
  <c r="X337" i="4"/>
  <c r="W337" i="4"/>
  <c r="V337" i="4"/>
  <c r="U337" i="4"/>
  <c r="T337" i="4"/>
  <c r="S337" i="4"/>
  <c r="R337" i="4"/>
  <c r="Q337" i="4"/>
  <c r="P337" i="4"/>
  <c r="O337" i="4"/>
  <c r="N337" i="4"/>
  <c r="M337" i="4"/>
  <c r="L337" i="4"/>
  <c r="K337" i="4"/>
  <c r="J337" i="4"/>
  <c r="C337" i="4"/>
  <c r="A337" i="4"/>
  <c r="AD336" i="4"/>
  <c r="AC336" i="4"/>
  <c r="AB336" i="4"/>
  <c r="Z336" i="4"/>
  <c r="Y336" i="4"/>
  <c r="X336" i="4"/>
  <c r="W336" i="4"/>
  <c r="V336" i="4"/>
  <c r="U336" i="4"/>
  <c r="T336" i="4"/>
  <c r="S336" i="4"/>
  <c r="R336" i="4"/>
  <c r="Q336" i="4"/>
  <c r="P336" i="4"/>
  <c r="O336" i="4"/>
  <c r="N336" i="4"/>
  <c r="M336" i="4"/>
  <c r="L336" i="4"/>
  <c r="K336" i="4"/>
  <c r="J336" i="4"/>
  <c r="C336" i="4"/>
  <c r="A336" i="4"/>
  <c r="AD335" i="4"/>
  <c r="AC335" i="4"/>
  <c r="AB335" i="4"/>
  <c r="Z335" i="4"/>
  <c r="Y335" i="4"/>
  <c r="X335" i="4"/>
  <c r="W335" i="4"/>
  <c r="V335" i="4"/>
  <c r="U335" i="4"/>
  <c r="T335" i="4"/>
  <c r="S335" i="4"/>
  <c r="R335" i="4"/>
  <c r="Q335" i="4"/>
  <c r="P335" i="4"/>
  <c r="O335" i="4"/>
  <c r="N335" i="4"/>
  <c r="M335" i="4"/>
  <c r="L335" i="4"/>
  <c r="K335" i="4"/>
  <c r="J335" i="4"/>
  <c r="C335" i="4"/>
  <c r="A335" i="4"/>
  <c r="AD334" i="4"/>
  <c r="AC334" i="4"/>
  <c r="AB334" i="4"/>
  <c r="Z334" i="4"/>
  <c r="Y334" i="4"/>
  <c r="X334" i="4"/>
  <c r="W334" i="4"/>
  <c r="V334" i="4"/>
  <c r="U334" i="4"/>
  <c r="T334" i="4"/>
  <c r="S334" i="4"/>
  <c r="R334" i="4"/>
  <c r="Q334" i="4"/>
  <c r="P334" i="4"/>
  <c r="O334" i="4"/>
  <c r="N334" i="4"/>
  <c r="M334" i="4"/>
  <c r="L334" i="4"/>
  <c r="K334" i="4"/>
  <c r="J334" i="4"/>
  <c r="C334" i="4"/>
  <c r="A334" i="4"/>
  <c r="AD333" i="4"/>
  <c r="AC333" i="4"/>
  <c r="AB333" i="4"/>
  <c r="Z333" i="4"/>
  <c r="Y333" i="4"/>
  <c r="X333" i="4"/>
  <c r="W333" i="4"/>
  <c r="V333" i="4"/>
  <c r="U333" i="4"/>
  <c r="T333" i="4"/>
  <c r="S333" i="4"/>
  <c r="R333" i="4"/>
  <c r="Q333" i="4"/>
  <c r="P333" i="4"/>
  <c r="O333" i="4"/>
  <c r="N333" i="4"/>
  <c r="M333" i="4"/>
  <c r="L333" i="4"/>
  <c r="K333" i="4"/>
  <c r="J333" i="4"/>
  <c r="C333" i="4"/>
  <c r="A333" i="4"/>
  <c r="AD332" i="4"/>
  <c r="AC332" i="4"/>
  <c r="AB332" i="4"/>
  <c r="Z332" i="4"/>
  <c r="Y332" i="4"/>
  <c r="X332" i="4"/>
  <c r="W332" i="4"/>
  <c r="V332" i="4"/>
  <c r="U332" i="4"/>
  <c r="T332" i="4"/>
  <c r="S332" i="4"/>
  <c r="R332" i="4"/>
  <c r="Q332" i="4"/>
  <c r="P332" i="4"/>
  <c r="O332" i="4"/>
  <c r="N332" i="4"/>
  <c r="M332" i="4"/>
  <c r="L332" i="4"/>
  <c r="K332" i="4"/>
  <c r="J332" i="4"/>
  <c r="C332" i="4"/>
  <c r="A332" i="4"/>
  <c r="AD331" i="4"/>
  <c r="AC331" i="4"/>
  <c r="AB331" i="4"/>
  <c r="Z331" i="4"/>
  <c r="Y331" i="4"/>
  <c r="X331" i="4"/>
  <c r="W331" i="4"/>
  <c r="V331" i="4"/>
  <c r="U331" i="4"/>
  <c r="T331" i="4"/>
  <c r="S331" i="4"/>
  <c r="R331" i="4"/>
  <c r="Q331" i="4"/>
  <c r="P331" i="4"/>
  <c r="O331" i="4"/>
  <c r="N331" i="4"/>
  <c r="M331" i="4"/>
  <c r="L331" i="4"/>
  <c r="K331" i="4"/>
  <c r="J331" i="4"/>
  <c r="C331" i="4"/>
  <c r="A331" i="4"/>
  <c r="AD330" i="4"/>
  <c r="AC330" i="4"/>
  <c r="AB330" i="4"/>
  <c r="Z330" i="4"/>
  <c r="Y330" i="4"/>
  <c r="X330" i="4"/>
  <c r="W330" i="4"/>
  <c r="V330" i="4"/>
  <c r="U330" i="4"/>
  <c r="T330" i="4"/>
  <c r="S330" i="4"/>
  <c r="R330" i="4"/>
  <c r="Q330" i="4"/>
  <c r="P330" i="4"/>
  <c r="O330" i="4"/>
  <c r="N330" i="4"/>
  <c r="M330" i="4"/>
  <c r="L330" i="4"/>
  <c r="K330" i="4"/>
  <c r="J330" i="4"/>
  <c r="C330" i="4"/>
  <c r="A330" i="4"/>
  <c r="AD329" i="4"/>
  <c r="AC329" i="4"/>
  <c r="AB329" i="4"/>
  <c r="Z329" i="4"/>
  <c r="Y329" i="4"/>
  <c r="X329" i="4"/>
  <c r="W329" i="4"/>
  <c r="V329" i="4"/>
  <c r="U329" i="4"/>
  <c r="T329" i="4"/>
  <c r="S329" i="4"/>
  <c r="R329" i="4"/>
  <c r="Q329" i="4"/>
  <c r="P329" i="4"/>
  <c r="O329" i="4"/>
  <c r="N329" i="4"/>
  <c r="M329" i="4"/>
  <c r="L329" i="4"/>
  <c r="K329" i="4"/>
  <c r="J329" i="4"/>
  <c r="C329" i="4"/>
  <c r="A329" i="4"/>
  <c r="AD328" i="4"/>
  <c r="AC328" i="4"/>
  <c r="AB328" i="4"/>
  <c r="Z328" i="4"/>
  <c r="Y328" i="4"/>
  <c r="X328" i="4"/>
  <c r="W328" i="4"/>
  <c r="V328" i="4"/>
  <c r="U328" i="4"/>
  <c r="T328" i="4"/>
  <c r="S328" i="4"/>
  <c r="R328" i="4"/>
  <c r="Q328" i="4"/>
  <c r="P328" i="4"/>
  <c r="O328" i="4"/>
  <c r="N328" i="4"/>
  <c r="M328" i="4"/>
  <c r="L328" i="4"/>
  <c r="K328" i="4"/>
  <c r="J328" i="4"/>
  <c r="C328" i="4"/>
  <c r="A328" i="4"/>
  <c r="AD327" i="4"/>
  <c r="AC327" i="4"/>
  <c r="AB327" i="4"/>
  <c r="Z327" i="4"/>
  <c r="Y327" i="4"/>
  <c r="X327" i="4"/>
  <c r="W327" i="4"/>
  <c r="V327" i="4"/>
  <c r="U327" i="4"/>
  <c r="T327" i="4"/>
  <c r="S327" i="4"/>
  <c r="R327" i="4"/>
  <c r="Q327" i="4"/>
  <c r="P327" i="4"/>
  <c r="O327" i="4"/>
  <c r="N327" i="4"/>
  <c r="M327" i="4"/>
  <c r="L327" i="4"/>
  <c r="K327" i="4"/>
  <c r="J327" i="4"/>
  <c r="C327" i="4"/>
  <c r="A327" i="4"/>
  <c r="AD326" i="4"/>
  <c r="AC326" i="4"/>
  <c r="AB326" i="4"/>
  <c r="Z326" i="4"/>
  <c r="Y326" i="4"/>
  <c r="X326" i="4"/>
  <c r="W326" i="4"/>
  <c r="V326" i="4"/>
  <c r="U326" i="4"/>
  <c r="T326" i="4"/>
  <c r="S326" i="4"/>
  <c r="R326" i="4"/>
  <c r="Q326" i="4"/>
  <c r="P326" i="4"/>
  <c r="O326" i="4"/>
  <c r="N326" i="4"/>
  <c r="M326" i="4"/>
  <c r="L326" i="4"/>
  <c r="K326" i="4"/>
  <c r="J326" i="4"/>
  <c r="C326" i="4"/>
  <c r="A326" i="4"/>
  <c r="AD325" i="4"/>
  <c r="AC325" i="4"/>
  <c r="AB325" i="4"/>
  <c r="Z325" i="4"/>
  <c r="Y325" i="4"/>
  <c r="X325" i="4"/>
  <c r="W325" i="4"/>
  <c r="V325" i="4"/>
  <c r="U325" i="4"/>
  <c r="T325" i="4"/>
  <c r="S325" i="4"/>
  <c r="R325" i="4"/>
  <c r="Q325" i="4"/>
  <c r="P325" i="4"/>
  <c r="O325" i="4"/>
  <c r="N325" i="4"/>
  <c r="M325" i="4"/>
  <c r="L325" i="4"/>
  <c r="K325" i="4"/>
  <c r="J325" i="4"/>
  <c r="C325" i="4"/>
  <c r="A325" i="4"/>
  <c r="AD324" i="4"/>
  <c r="AC324" i="4"/>
  <c r="AB324" i="4"/>
  <c r="Z324" i="4"/>
  <c r="Y324" i="4"/>
  <c r="X324" i="4"/>
  <c r="W324" i="4"/>
  <c r="V324" i="4"/>
  <c r="U324" i="4"/>
  <c r="T324" i="4"/>
  <c r="S324" i="4"/>
  <c r="R324" i="4"/>
  <c r="Q324" i="4"/>
  <c r="P324" i="4"/>
  <c r="O324" i="4"/>
  <c r="N324" i="4"/>
  <c r="M324" i="4"/>
  <c r="L324" i="4"/>
  <c r="K324" i="4"/>
  <c r="J324" i="4"/>
  <c r="C324" i="4"/>
  <c r="A324" i="4"/>
  <c r="AD323" i="4"/>
  <c r="AC323" i="4"/>
  <c r="AB323" i="4"/>
  <c r="Z323" i="4"/>
  <c r="Y323" i="4"/>
  <c r="X323" i="4"/>
  <c r="W323" i="4"/>
  <c r="V323" i="4"/>
  <c r="U323" i="4"/>
  <c r="T323" i="4"/>
  <c r="S323" i="4"/>
  <c r="R323" i="4"/>
  <c r="Q323" i="4"/>
  <c r="P323" i="4"/>
  <c r="O323" i="4"/>
  <c r="N323" i="4"/>
  <c r="M323" i="4"/>
  <c r="L323" i="4"/>
  <c r="K323" i="4"/>
  <c r="J323" i="4"/>
  <c r="C323" i="4"/>
  <c r="A323" i="4"/>
  <c r="AD322" i="4"/>
  <c r="AC322" i="4"/>
  <c r="AB322" i="4"/>
  <c r="Z322" i="4"/>
  <c r="Y322" i="4"/>
  <c r="X322" i="4"/>
  <c r="W322" i="4"/>
  <c r="V322" i="4"/>
  <c r="U322" i="4"/>
  <c r="T322" i="4"/>
  <c r="S322" i="4"/>
  <c r="R322" i="4"/>
  <c r="Q322" i="4"/>
  <c r="P322" i="4"/>
  <c r="O322" i="4"/>
  <c r="N322" i="4"/>
  <c r="M322" i="4"/>
  <c r="L322" i="4"/>
  <c r="K322" i="4"/>
  <c r="J322" i="4"/>
  <c r="C322" i="4"/>
  <c r="A322" i="4"/>
  <c r="AD321" i="4"/>
  <c r="AC321" i="4"/>
  <c r="AB321" i="4"/>
  <c r="Z321" i="4"/>
  <c r="Y321" i="4"/>
  <c r="X321" i="4"/>
  <c r="W321" i="4"/>
  <c r="V321" i="4"/>
  <c r="U321" i="4"/>
  <c r="T321" i="4"/>
  <c r="S321" i="4"/>
  <c r="R321" i="4"/>
  <c r="Q321" i="4"/>
  <c r="P321" i="4"/>
  <c r="O321" i="4"/>
  <c r="N321" i="4"/>
  <c r="M321" i="4"/>
  <c r="L321" i="4"/>
  <c r="K321" i="4"/>
  <c r="J321" i="4"/>
  <c r="C321" i="4"/>
  <c r="A321" i="4"/>
  <c r="AD320" i="4"/>
  <c r="AC320" i="4"/>
  <c r="AB320" i="4"/>
  <c r="Z320" i="4"/>
  <c r="Y320" i="4"/>
  <c r="X320" i="4"/>
  <c r="W320" i="4"/>
  <c r="V320" i="4"/>
  <c r="U320" i="4"/>
  <c r="T320" i="4"/>
  <c r="S320" i="4"/>
  <c r="R320" i="4"/>
  <c r="Q320" i="4"/>
  <c r="P320" i="4"/>
  <c r="O320" i="4"/>
  <c r="N320" i="4"/>
  <c r="M320" i="4"/>
  <c r="L320" i="4"/>
  <c r="K320" i="4"/>
  <c r="J320" i="4"/>
  <c r="C320" i="4"/>
  <c r="A320" i="4"/>
  <c r="AD319" i="4"/>
  <c r="AC319" i="4"/>
  <c r="AB319" i="4"/>
  <c r="Z319" i="4"/>
  <c r="Y319" i="4"/>
  <c r="X319" i="4"/>
  <c r="W319" i="4"/>
  <c r="V319" i="4"/>
  <c r="U319" i="4"/>
  <c r="T319" i="4"/>
  <c r="S319" i="4"/>
  <c r="R319" i="4"/>
  <c r="Q319" i="4"/>
  <c r="P319" i="4"/>
  <c r="O319" i="4"/>
  <c r="N319" i="4"/>
  <c r="M319" i="4"/>
  <c r="L319" i="4"/>
  <c r="K319" i="4"/>
  <c r="J319" i="4"/>
  <c r="C319" i="4"/>
  <c r="A319" i="4"/>
  <c r="AD318" i="4"/>
  <c r="AC318" i="4"/>
  <c r="AB318" i="4"/>
  <c r="Z318" i="4"/>
  <c r="Y318" i="4"/>
  <c r="X318" i="4"/>
  <c r="W318" i="4"/>
  <c r="V318" i="4"/>
  <c r="U318" i="4"/>
  <c r="T318" i="4"/>
  <c r="S318" i="4"/>
  <c r="R318" i="4"/>
  <c r="Q318" i="4"/>
  <c r="P318" i="4"/>
  <c r="O318" i="4"/>
  <c r="N318" i="4"/>
  <c r="M318" i="4"/>
  <c r="L318" i="4"/>
  <c r="K318" i="4"/>
  <c r="J318" i="4"/>
  <c r="C318" i="4"/>
  <c r="A318" i="4"/>
  <c r="AD317" i="4"/>
  <c r="AC317" i="4"/>
  <c r="AB317" i="4"/>
  <c r="Z317" i="4"/>
  <c r="Y317" i="4"/>
  <c r="X317" i="4"/>
  <c r="W317" i="4"/>
  <c r="V317" i="4"/>
  <c r="U317" i="4"/>
  <c r="T317" i="4"/>
  <c r="S317" i="4"/>
  <c r="R317" i="4"/>
  <c r="Q317" i="4"/>
  <c r="P317" i="4"/>
  <c r="O317" i="4"/>
  <c r="N317" i="4"/>
  <c r="M317" i="4"/>
  <c r="L317" i="4"/>
  <c r="K317" i="4"/>
  <c r="J317" i="4"/>
  <c r="C317" i="4"/>
  <c r="A317" i="4"/>
  <c r="AD316" i="4"/>
  <c r="AC316" i="4"/>
  <c r="AB316" i="4"/>
  <c r="Z316" i="4"/>
  <c r="Y316" i="4"/>
  <c r="X316" i="4"/>
  <c r="W316" i="4"/>
  <c r="V316" i="4"/>
  <c r="U316" i="4"/>
  <c r="T316" i="4"/>
  <c r="S316" i="4"/>
  <c r="R316" i="4"/>
  <c r="Q316" i="4"/>
  <c r="P316" i="4"/>
  <c r="O316" i="4"/>
  <c r="N316" i="4"/>
  <c r="M316" i="4"/>
  <c r="L316" i="4"/>
  <c r="K316" i="4"/>
  <c r="J316" i="4"/>
  <c r="C316" i="4"/>
  <c r="A316" i="4"/>
  <c r="AD315" i="4"/>
  <c r="AC315" i="4"/>
  <c r="AB315" i="4"/>
  <c r="Z315" i="4"/>
  <c r="Y315" i="4"/>
  <c r="X315" i="4"/>
  <c r="W315" i="4"/>
  <c r="V315" i="4"/>
  <c r="U315" i="4"/>
  <c r="T315" i="4"/>
  <c r="S315" i="4"/>
  <c r="R315" i="4"/>
  <c r="Q315" i="4"/>
  <c r="P315" i="4"/>
  <c r="O315" i="4"/>
  <c r="N315" i="4"/>
  <c r="M315" i="4"/>
  <c r="L315" i="4"/>
  <c r="K315" i="4"/>
  <c r="J315" i="4"/>
  <c r="C315" i="4"/>
  <c r="A315" i="4"/>
  <c r="AD314" i="4"/>
  <c r="AC314" i="4"/>
  <c r="AB314" i="4"/>
  <c r="Z314" i="4"/>
  <c r="Y314" i="4"/>
  <c r="X314" i="4"/>
  <c r="W314" i="4"/>
  <c r="V314" i="4"/>
  <c r="U314" i="4"/>
  <c r="T314" i="4"/>
  <c r="S314" i="4"/>
  <c r="R314" i="4"/>
  <c r="Q314" i="4"/>
  <c r="P314" i="4"/>
  <c r="O314" i="4"/>
  <c r="N314" i="4"/>
  <c r="M314" i="4"/>
  <c r="L314" i="4"/>
  <c r="K314" i="4"/>
  <c r="J314" i="4"/>
  <c r="C314" i="4"/>
  <c r="A314" i="4"/>
  <c r="AD313" i="4"/>
  <c r="AC313" i="4"/>
  <c r="AB313" i="4"/>
  <c r="Z313" i="4"/>
  <c r="Y313" i="4"/>
  <c r="X313" i="4"/>
  <c r="W313" i="4"/>
  <c r="V313" i="4"/>
  <c r="U313" i="4"/>
  <c r="T313" i="4"/>
  <c r="S313" i="4"/>
  <c r="R313" i="4"/>
  <c r="Q313" i="4"/>
  <c r="P313" i="4"/>
  <c r="O313" i="4"/>
  <c r="N313" i="4"/>
  <c r="M313" i="4"/>
  <c r="L313" i="4"/>
  <c r="K313" i="4"/>
  <c r="J313" i="4"/>
  <c r="C313" i="4"/>
  <c r="A313" i="4"/>
  <c r="AD312" i="4"/>
  <c r="AC312" i="4"/>
  <c r="AB312" i="4"/>
  <c r="Z312" i="4"/>
  <c r="Y312" i="4"/>
  <c r="X312" i="4"/>
  <c r="W312" i="4"/>
  <c r="V312" i="4"/>
  <c r="U312" i="4"/>
  <c r="T312" i="4"/>
  <c r="S312" i="4"/>
  <c r="R312" i="4"/>
  <c r="Q312" i="4"/>
  <c r="P312" i="4"/>
  <c r="O312" i="4"/>
  <c r="N312" i="4"/>
  <c r="M312" i="4"/>
  <c r="L312" i="4"/>
  <c r="K312" i="4"/>
  <c r="J312" i="4"/>
  <c r="C312" i="4"/>
  <c r="A312" i="4"/>
  <c r="AD311" i="4"/>
  <c r="AC311" i="4"/>
  <c r="AB311" i="4"/>
  <c r="Z311" i="4"/>
  <c r="Y311" i="4"/>
  <c r="X311" i="4"/>
  <c r="W311" i="4"/>
  <c r="V311" i="4"/>
  <c r="U311" i="4"/>
  <c r="T311" i="4"/>
  <c r="S311" i="4"/>
  <c r="R311" i="4"/>
  <c r="Q311" i="4"/>
  <c r="P311" i="4"/>
  <c r="O311" i="4"/>
  <c r="N311" i="4"/>
  <c r="M311" i="4"/>
  <c r="L311" i="4"/>
  <c r="K311" i="4"/>
  <c r="J311" i="4"/>
  <c r="C311" i="4"/>
  <c r="A311" i="4"/>
  <c r="AD310" i="4"/>
  <c r="AC310" i="4"/>
  <c r="AB310" i="4"/>
  <c r="Z310" i="4"/>
  <c r="Y310" i="4"/>
  <c r="X310" i="4"/>
  <c r="W310" i="4"/>
  <c r="V310" i="4"/>
  <c r="U310" i="4"/>
  <c r="T310" i="4"/>
  <c r="S310" i="4"/>
  <c r="R310" i="4"/>
  <c r="Q310" i="4"/>
  <c r="P310" i="4"/>
  <c r="O310" i="4"/>
  <c r="N310" i="4"/>
  <c r="M310" i="4"/>
  <c r="L310" i="4"/>
  <c r="K310" i="4"/>
  <c r="J310" i="4"/>
  <c r="C310" i="4"/>
  <c r="A310" i="4"/>
  <c r="AD309" i="4"/>
  <c r="AC309" i="4"/>
  <c r="AB309" i="4"/>
  <c r="Z309" i="4"/>
  <c r="Y309" i="4"/>
  <c r="X309" i="4"/>
  <c r="W309" i="4"/>
  <c r="V309" i="4"/>
  <c r="U309" i="4"/>
  <c r="T309" i="4"/>
  <c r="S309" i="4"/>
  <c r="R309" i="4"/>
  <c r="Q309" i="4"/>
  <c r="P309" i="4"/>
  <c r="O309" i="4"/>
  <c r="N309" i="4"/>
  <c r="M309" i="4"/>
  <c r="L309" i="4"/>
  <c r="K309" i="4"/>
  <c r="J309" i="4"/>
  <c r="C309" i="4"/>
  <c r="A309" i="4"/>
  <c r="AD308" i="4"/>
  <c r="AC308" i="4"/>
  <c r="AB308" i="4"/>
  <c r="Z308" i="4"/>
  <c r="Y308" i="4"/>
  <c r="X308" i="4"/>
  <c r="W308" i="4"/>
  <c r="V308" i="4"/>
  <c r="U308" i="4"/>
  <c r="T308" i="4"/>
  <c r="S308" i="4"/>
  <c r="R308" i="4"/>
  <c r="Q308" i="4"/>
  <c r="P308" i="4"/>
  <c r="O308" i="4"/>
  <c r="N308" i="4"/>
  <c r="M308" i="4"/>
  <c r="L308" i="4"/>
  <c r="K308" i="4"/>
  <c r="J308" i="4"/>
  <c r="C308" i="4"/>
  <c r="A308" i="4"/>
  <c r="AD307" i="4"/>
  <c r="AC307" i="4"/>
  <c r="AB307" i="4"/>
  <c r="Z307" i="4"/>
  <c r="Y307" i="4"/>
  <c r="X307" i="4"/>
  <c r="W307" i="4"/>
  <c r="V307" i="4"/>
  <c r="U307" i="4"/>
  <c r="T307" i="4"/>
  <c r="S307" i="4"/>
  <c r="R307" i="4"/>
  <c r="Q307" i="4"/>
  <c r="P307" i="4"/>
  <c r="O307" i="4"/>
  <c r="N307" i="4"/>
  <c r="M307" i="4"/>
  <c r="L307" i="4"/>
  <c r="K307" i="4"/>
  <c r="J307" i="4"/>
  <c r="C307" i="4"/>
  <c r="A307" i="4"/>
  <c r="AD306" i="4"/>
  <c r="AC306" i="4"/>
  <c r="AB306" i="4"/>
  <c r="Z306" i="4"/>
  <c r="Y306" i="4"/>
  <c r="X306" i="4"/>
  <c r="W306" i="4"/>
  <c r="V306" i="4"/>
  <c r="U306" i="4"/>
  <c r="T306" i="4"/>
  <c r="S306" i="4"/>
  <c r="R306" i="4"/>
  <c r="Q306" i="4"/>
  <c r="P306" i="4"/>
  <c r="O306" i="4"/>
  <c r="N306" i="4"/>
  <c r="M306" i="4"/>
  <c r="L306" i="4"/>
  <c r="K306" i="4"/>
  <c r="J306" i="4"/>
  <c r="C306" i="4"/>
  <c r="A306" i="4"/>
  <c r="AD305" i="4"/>
  <c r="AC305" i="4"/>
  <c r="AB305" i="4"/>
  <c r="Z305" i="4"/>
  <c r="Y305" i="4"/>
  <c r="X305" i="4"/>
  <c r="W305" i="4"/>
  <c r="V305" i="4"/>
  <c r="U305" i="4"/>
  <c r="T305" i="4"/>
  <c r="S305" i="4"/>
  <c r="R305" i="4"/>
  <c r="Q305" i="4"/>
  <c r="P305" i="4"/>
  <c r="O305" i="4"/>
  <c r="N305" i="4"/>
  <c r="M305" i="4"/>
  <c r="L305" i="4"/>
  <c r="K305" i="4"/>
  <c r="J305" i="4"/>
  <c r="C305" i="4"/>
  <c r="A305" i="4"/>
  <c r="AD304" i="4"/>
  <c r="AC304" i="4"/>
  <c r="AB304" i="4"/>
  <c r="Z304" i="4"/>
  <c r="Y304" i="4"/>
  <c r="X304" i="4"/>
  <c r="W304" i="4"/>
  <c r="V304" i="4"/>
  <c r="U304" i="4"/>
  <c r="T304" i="4"/>
  <c r="S304" i="4"/>
  <c r="R304" i="4"/>
  <c r="Q304" i="4"/>
  <c r="P304" i="4"/>
  <c r="O304" i="4"/>
  <c r="N304" i="4"/>
  <c r="M304" i="4"/>
  <c r="L304" i="4"/>
  <c r="K304" i="4"/>
  <c r="J304" i="4"/>
  <c r="C304" i="4"/>
  <c r="A304" i="4"/>
  <c r="AD303" i="4"/>
  <c r="AC303" i="4"/>
  <c r="AB303" i="4"/>
  <c r="Z303" i="4"/>
  <c r="Y303" i="4"/>
  <c r="X303" i="4"/>
  <c r="W303" i="4"/>
  <c r="V303" i="4"/>
  <c r="U303" i="4"/>
  <c r="T303" i="4"/>
  <c r="S303" i="4"/>
  <c r="R303" i="4"/>
  <c r="Q303" i="4"/>
  <c r="P303" i="4"/>
  <c r="O303" i="4"/>
  <c r="N303" i="4"/>
  <c r="M303" i="4"/>
  <c r="L303" i="4"/>
  <c r="K303" i="4"/>
  <c r="J303" i="4"/>
  <c r="C303" i="4"/>
  <c r="A303" i="4"/>
  <c r="AD302" i="4"/>
  <c r="AC302" i="4"/>
  <c r="AB302" i="4"/>
  <c r="Z302" i="4"/>
  <c r="Y302" i="4"/>
  <c r="X302" i="4"/>
  <c r="W302" i="4"/>
  <c r="V302" i="4"/>
  <c r="U302" i="4"/>
  <c r="T302" i="4"/>
  <c r="S302" i="4"/>
  <c r="R302" i="4"/>
  <c r="Q302" i="4"/>
  <c r="P302" i="4"/>
  <c r="O302" i="4"/>
  <c r="N302" i="4"/>
  <c r="M302" i="4"/>
  <c r="L302" i="4"/>
  <c r="K302" i="4"/>
  <c r="J302" i="4"/>
  <c r="C302" i="4"/>
  <c r="A302" i="4"/>
  <c r="AD301" i="4"/>
  <c r="AC301" i="4"/>
  <c r="AB301" i="4"/>
  <c r="Z301" i="4"/>
  <c r="Y301" i="4"/>
  <c r="X301" i="4"/>
  <c r="W301" i="4"/>
  <c r="V301" i="4"/>
  <c r="U301" i="4"/>
  <c r="T301" i="4"/>
  <c r="S301" i="4"/>
  <c r="R301" i="4"/>
  <c r="Q301" i="4"/>
  <c r="P301" i="4"/>
  <c r="O301" i="4"/>
  <c r="N301" i="4"/>
  <c r="M301" i="4"/>
  <c r="L301" i="4"/>
  <c r="K301" i="4"/>
  <c r="J301" i="4"/>
  <c r="C301" i="4"/>
  <c r="A301" i="4"/>
  <c r="AD300" i="4"/>
  <c r="AC300" i="4"/>
  <c r="AB300" i="4"/>
  <c r="Z300" i="4"/>
  <c r="Y300" i="4"/>
  <c r="X300" i="4"/>
  <c r="W300" i="4"/>
  <c r="V300" i="4"/>
  <c r="U300" i="4"/>
  <c r="T300" i="4"/>
  <c r="S300" i="4"/>
  <c r="R300" i="4"/>
  <c r="Q300" i="4"/>
  <c r="P300" i="4"/>
  <c r="O300" i="4"/>
  <c r="N300" i="4"/>
  <c r="M300" i="4"/>
  <c r="L300" i="4"/>
  <c r="K300" i="4"/>
  <c r="J300" i="4"/>
  <c r="C300" i="4"/>
  <c r="A300" i="4"/>
  <c r="AD299" i="4"/>
  <c r="AC299" i="4"/>
  <c r="AB299" i="4"/>
  <c r="Z299" i="4"/>
  <c r="Y299" i="4"/>
  <c r="X299" i="4"/>
  <c r="W299" i="4"/>
  <c r="V299" i="4"/>
  <c r="U299" i="4"/>
  <c r="T299" i="4"/>
  <c r="S299" i="4"/>
  <c r="R299" i="4"/>
  <c r="Q299" i="4"/>
  <c r="P299" i="4"/>
  <c r="O299" i="4"/>
  <c r="N299" i="4"/>
  <c r="M299" i="4"/>
  <c r="L299" i="4"/>
  <c r="K299" i="4"/>
  <c r="J299" i="4"/>
  <c r="C299" i="4"/>
  <c r="A299" i="4"/>
  <c r="AD298" i="4"/>
  <c r="AC298" i="4"/>
  <c r="AB298" i="4"/>
  <c r="Z298" i="4"/>
  <c r="Y298" i="4"/>
  <c r="X298" i="4"/>
  <c r="W298" i="4"/>
  <c r="V298" i="4"/>
  <c r="U298" i="4"/>
  <c r="T298" i="4"/>
  <c r="S298" i="4"/>
  <c r="R298" i="4"/>
  <c r="Q298" i="4"/>
  <c r="P298" i="4"/>
  <c r="O298" i="4"/>
  <c r="N298" i="4"/>
  <c r="M298" i="4"/>
  <c r="L298" i="4"/>
  <c r="K298" i="4"/>
  <c r="J298" i="4"/>
  <c r="C298" i="4"/>
  <c r="A298" i="4"/>
  <c r="AD297" i="4"/>
  <c r="AC297" i="4"/>
  <c r="AB297" i="4"/>
  <c r="Z297" i="4"/>
  <c r="Y297" i="4"/>
  <c r="X297" i="4"/>
  <c r="W297" i="4"/>
  <c r="V297" i="4"/>
  <c r="U297" i="4"/>
  <c r="T297" i="4"/>
  <c r="S297" i="4"/>
  <c r="R297" i="4"/>
  <c r="Q297" i="4"/>
  <c r="P297" i="4"/>
  <c r="O297" i="4"/>
  <c r="N297" i="4"/>
  <c r="M297" i="4"/>
  <c r="L297" i="4"/>
  <c r="K297" i="4"/>
  <c r="J297" i="4"/>
  <c r="C297" i="4"/>
  <c r="A297" i="4"/>
  <c r="AD296" i="4"/>
  <c r="AC296" i="4"/>
  <c r="AB296" i="4"/>
  <c r="Z296" i="4"/>
  <c r="Y296" i="4"/>
  <c r="X296" i="4"/>
  <c r="W296" i="4"/>
  <c r="V296" i="4"/>
  <c r="U296" i="4"/>
  <c r="T296" i="4"/>
  <c r="S296" i="4"/>
  <c r="R296" i="4"/>
  <c r="Q296" i="4"/>
  <c r="P296" i="4"/>
  <c r="O296" i="4"/>
  <c r="N296" i="4"/>
  <c r="M296" i="4"/>
  <c r="L296" i="4"/>
  <c r="K296" i="4"/>
  <c r="J296" i="4"/>
  <c r="C296" i="4"/>
  <c r="A296" i="4"/>
  <c r="AD295" i="4"/>
  <c r="AC295" i="4"/>
  <c r="AB295" i="4"/>
  <c r="Z295" i="4"/>
  <c r="Y295" i="4"/>
  <c r="X295" i="4"/>
  <c r="W295" i="4"/>
  <c r="V295" i="4"/>
  <c r="U295" i="4"/>
  <c r="T295" i="4"/>
  <c r="S295" i="4"/>
  <c r="R295" i="4"/>
  <c r="Q295" i="4"/>
  <c r="P295" i="4"/>
  <c r="O295" i="4"/>
  <c r="N295" i="4"/>
  <c r="M295" i="4"/>
  <c r="L295" i="4"/>
  <c r="K295" i="4"/>
  <c r="J295" i="4"/>
  <c r="C295" i="4"/>
  <c r="A295" i="4"/>
  <c r="AD294" i="4"/>
  <c r="AC294" i="4"/>
  <c r="AB294" i="4"/>
  <c r="Z294" i="4"/>
  <c r="Y294" i="4"/>
  <c r="X294" i="4"/>
  <c r="W294" i="4"/>
  <c r="V294" i="4"/>
  <c r="U294" i="4"/>
  <c r="T294" i="4"/>
  <c r="S294" i="4"/>
  <c r="R294" i="4"/>
  <c r="Q294" i="4"/>
  <c r="P294" i="4"/>
  <c r="O294" i="4"/>
  <c r="N294" i="4"/>
  <c r="M294" i="4"/>
  <c r="L294" i="4"/>
  <c r="K294" i="4"/>
  <c r="J294" i="4"/>
  <c r="C294" i="4"/>
  <c r="A294" i="4"/>
  <c r="AD293" i="4"/>
  <c r="AC293" i="4"/>
  <c r="AB293" i="4"/>
  <c r="Z293" i="4"/>
  <c r="Y293" i="4"/>
  <c r="X293" i="4"/>
  <c r="W293" i="4"/>
  <c r="V293" i="4"/>
  <c r="U293" i="4"/>
  <c r="T293" i="4"/>
  <c r="S293" i="4"/>
  <c r="R293" i="4"/>
  <c r="Q293" i="4"/>
  <c r="P293" i="4"/>
  <c r="O293" i="4"/>
  <c r="N293" i="4"/>
  <c r="M293" i="4"/>
  <c r="L293" i="4"/>
  <c r="K293" i="4"/>
  <c r="J293" i="4"/>
  <c r="C293" i="4"/>
  <c r="A293" i="4"/>
  <c r="AD292" i="4"/>
  <c r="AC292" i="4"/>
  <c r="AB292" i="4"/>
  <c r="Z292" i="4"/>
  <c r="Y292" i="4"/>
  <c r="X292" i="4"/>
  <c r="W292" i="4"/>
  <c r="V292" i="4"/>
  <c r="U292" i="4"/>
  <c r="T292" i="4"/>
  <c r="S292" i="4"/>
  <c r="R292" i="4"/>
  <c r="Q292" i="4"/>
  <c r="P292" i="4"/>
  <c r="O292" i="4"/>
  <c r="N292" i="4"/>
  <c r="M292" i="4"/>
  <c r="L292" i="4"/>
  <c r="K292" i="4"/>
  <c r="J292" i="4"/>
  <c r="C292" i="4"/>
  <c r="A292" i="4"/>
  <c r="AD291" i="4"/>
  <c r="AC291" i="4"/>
  <c r="AB291" i="4"/>
  <c r="Z291" i="4"/>
  <c r="Y291" i="4"/>
  <c r="X291" i="4"/>
  <c r="W291" i="4"/>
  <c r="V291" i="4"/>
  <c r="U291" i="4"/>
  <c r="T291" i="4"/>
  <c r="S291" i="4"/>
  <c r="R291" i="4"/>
  <c r="Q291" i="4"/>
  <c r="P291" i="4"/>
  <c r="O291" i="4"/>
  <c r="N291" i="4"/>
  <c r="M291" i="4"/>
  <c r="L291" i="4"/>
  <c r="K291" i="4"/>
  <c r="J291" i="4"/>
  <c r="C291" i="4"/>
  <c r="A291" i="4"/>
  <c r="AD290" i="4"/>
  <c r="AC290" i="4"/>
  <c r="AB290" i="4"/>
  <c r="Z290" i="4"/>
  <c r="Y290" i="4"/>
  <c r="X290" i="4"/>
  <c r="W290" i="4"/>
  <c r="V290" i="4"/>
  <c r="U290" i="4"/>
  <c r="T290" i="4"/>
  <c r="S290" i="4"/>
  <c r="R290" i="4"/>
  <c r="Q290" i="4"/>
  <c r="P290" i="4"/>
  <c r="O290" i="4"/>
  <c r="N290" i="4"/>
  <c r="M290" i="4"/>
  <c r="L290" i="4"/>
  <c r="K290" i="4"/>
  <c r="J290" i="4"/>
  <c r="C290" i="4"/>
  <c r="A290" i="4"/>
  <c r="AD289" i="4"/>
  <c r="AC289" i="4"/>
  <c r="AB289" i="4"/>
  <c r="Z289" i="4"/>
  <c r="Y289" i="4"/>
  <c r="X289" i="4"/>
  <c r="W289" i="4"/>
  <c r="V289" i="4"/>
  <c r="U289" i="4"/>
  <c r="T289" i="4"/>
  <c r="S289" i="4"/>
  <c r="R289" i="4"/>
  <c r="Q289" i="4"/>
  <c r="P289" i="4"/>
  <c r="O289" i="4"/>
  <c r="N289" i="4"/>
  <c r="M289" i="4"/>
  <c r="L289" i="4"/>
  <c r="K289" i="4"/>
  <c r="J289" i="4"/>
  <c r="C289" i="4"/>
  <c r="A289" i="4"/>
  <c r="AD288" i="4"/>
  <c r="AC288" i="4"/>
  <c r="AB288" i="4"/>
  <c r="Z288" i="4"/>
  <c r="Y288" i="4"/>
  <c r="X288" i="4"/>
  <c r="W288" i="4"/>
  <c r="V288" i="4"/>
  <c r="U288" i="4"/>
  <c r="T288" i="4"/>
  <c r="S288" i="4"/>
  <c r="R288" i="4"/>
  <c r="Q288" i="4"/>
  <c r="P288" i="4"/>
  <c r="O288" i="4"/>
  <c r="N288" i="4"/>
  <c r="M288" i="4"/>
  <c r="L288" i="4"/>
  <c r="K288" i="4"/>
  <c r="J288" i="4"/>
  <c r="C288" i="4"/>
  <c r="A288" i="4"/>
  <c r="AD287" i="4"/>
  <c r="AC287" i="4"/>
  <c r="AB287" i="4"/>
  <c r="Z287" i="4"/>
  <c r="Y287" i="4"/>
  <c r="X287" i="4"/>
  <c r="W287" i="4"/>
  <c r="V287" i="4"/>
  <c r="U287" i="4"/>
  <c r="T287" i="4"/>
  <c r="S287" i="4"/>
  <c r="R287" i="4"/>
  <c r="Q287" i="4"/>
  <c r="P287" i="4"/>
  <c r="O287" i="4"/>
  <c r="N287" i="4"/>
  <c r="M287" i="4"/>
  <c r="L287" i="4"/>
  <c r="K287" i="4"/>
  <c r="J287" i="4"/>
  <c r="C287" i="4"/>
  <c r="A287" i="4"/>
  <c r="AD286" i="4"/>
  <c r="AC286" i="4"/>
  <c r="AB286" i="4"/>
  <c r="Z286" i="4"/>
  <c r="Y286" i="4"/>
  <c r="X286" i="4"/>
  <c r="W286" i="4"/>
  <c r="V286" i="4"/>
  <c r="U286" i="4"/>
  <c r="T286" i="4"/>
  <c r="S286" i="4"/>
  <c r="R286" i="4"/>
  <c r="Q286" i="4"/>
  <c r="P286" i="4"/>
  <c r="O286" i="4"/>
  <c r="N286" i="4"/>
  <c r="M286" i="4"/>
  <c r="L286" i="4"/>
  <c r="K286" i="4"/>
  <c r="J286" i="4"/>
  <c r="C286" i="4"/>
  <c r="A286" i="4"/>
  <c r="AD285" i="4"/>
  <c r="AC285" i="4"/>
  <c r="AB285" i="4"/>
  <c r="Z285" i="4"/>
  <c r="Y285" i="4"/>
  <c r="X285" i="4"/>
  <c r="W285" i="4"/>
  <c r="V285" i="4"/>
  <c r="U285" i="4"/>
  <c r="T285" i="4"/>
  <c r="S285" i="4"/>
  <c r="R285" i="4"/>
  <c r="Q285" i="4"/>
  <c r="P285" i="4"/>
  <c r="O285" i="4"/>
  <c r="N285" i="4"/>
  <c r="M285" i="4"/>
  <c r="L285" i="4"/>
  <c r="K285" i="4"/>
  <c r="J285" i="4"/>
  <c r="C285" i="4"/>
  <c r="A285" i="4"/>
  <c r="AD284" i="4"/>
  <c r="AC284" i="4"/>
  <c r="AB284" i="4"/>
  <c r="Z284" i="4"/>
  <c r="Y284" i="4"/>
  <c r="X284" i="4"/>
  <c r="W284" i="4"/>
  <c r="V284" i="4"/>
  <c r="U284" i="4"/>
  <c r="T284" i="4"/>
  <c r="S284" i="4"/>
  <c r="R284" i="4"/>
  <c r="Q284" i="4"/>
  <c r="P284" i="4"/>
  <c r="O284" i="4"/>
  <c r="N284" i="4"/>
  <c r="M284" i="4"/>
  <c r="L284" i="4"/>
  <c r="K284" i="4"/>
  <c r="J284" i="4"/>
  <c r="C284" i="4"/>
  <c r="A284" i="4"/>
  <c r="AD283" i="4"/>
  <c r="AC283" i="4"/>
  <c r="AB283" i="4"/>
  <c r="Z283" i="4"/>
  <c r="Y283" i="4"/>
  <c r="X283" i="4"/>
  <c r="W283" i="4"/>
  <c r="V283" i="4"/>
  <c r="U283" i="4"/>
  <c r="T283" i="4"/>
  <c r="S283" i="4"/>
  <c r="R283" i="4"/>
  <c r="Q283" i="4"/>
  <c r="P283" i="4"/>
  <c r="O283" i="4"/>
  <c r="N283" i="4"/>
  <c r="M283" i="4"/>
  <c r="L283" i="4"/>
  <c r="K283" i="4"/>
  <c r="J283" i="4"/>
  <c r="C283" i="4"/>
  <c r="A283" i="4"/>
  <c r="AD282" i="4"/>
  <c r="AC282" i="4"/>
  <c r="AB282" i="4"/>
  <c r="Z282" i="4"/>
  <c r="Y282" i="4"/>
  <c r="X282" i="4"/>
  <c r="W282" i="4"/>
  <c r="V282" i="4"/>
  <c r="U282" i="4"/>
  <c r="T282" i="4"/>
  <c r="S282" i="4"/>
  <c r="R282" i="4"/>
  <c r="Q282" i="4"/>
  <c r="P282" i="4"/>
  <c r="O282" i="4"/>
  <c r="N282" i="4"/>
  <c r="M282" i="4"/>
  <c r="L282" i="4"/>
  <c r="K282" i="4"/>
  <c r="J282" i="4"/>
  <c r="C282" i="4"/>
  <c r="A282" i="4"/>
  <c r="AD281" i="4"/>
  <c r="AC281" i="4"/>
  <c r="AB281" i="4"/>
  <c r="Z281" i="4"/>
  <c r="Y281" i="4"/>
  <c r="X281" i="4"/>
  <c r="W281" i="4"/>
  <c r="V281" i="4"/>
  <c r="U281" i="4"/>
  <c r="T281" i="4"/>
  <c r="S281" i="4"/>
  <c r="R281" i="4"/>
  <c r="Q281" i="4"/>
  <c r="P281" i="4"/>
  <c r="O281" i="4"/>
  <c r="N281" i="4"/>
  <c r="M281" i="4"/>
  <c r="L281" i="4"/>
  <c r="K281" i="4"/>
  <c r="J281" i="4"/>
  <c r="C281" i="4"/>
  <c r="A281" i="4"/>
  <c r="AD280" i="4"/>
  <c r="AC280" i="4"/>
  <c r="AB280" i="4"/>
  <c r="Z280" i="4"/>
  <c r="Y280" i="4"/>
  <c r="X280" i="4"/>
  <c r="W280" i="4"/>
  <c r="V280" i="4"/>
  <c r="U280" i="4"/>
  <c r="T280" i="4"/>
  <c r="S280" i="4"/>
  <c r="R280" i="4"/>
  <c r="Q280" i="4"/>
  <c r="P280" i="4"/>
  <c r="O280" i="4"/>
  <c r="N280" i="4"/>
  <c r="M280" i="4"/>
  <c r="L280" i="4"/>
  <c r="K280" i="4"/>
  <c r="J280" i="4"/>
  <c r="C280" i="4"/>
  <c r="A280" i="4"/>
  <c r="AD279" i="4"/>
  <c r="AC279" i="4"/>
  <c r="AB279" i="4"/>
  <c r="Z279" i="4"/>
  <c r="Y279" i="4"/>
  <c r="X279" i="4"/>
  <c r="W279" i="4"/>
  <c r="V279" i="4"/>
  <c r="U279" i="4"/>
  <c r="T279" i="4"/>
  <c r="S279" i="4"/>
  <c r="R279" i="4"/>
  <c r="Q279" i="4"/>
  <c r="P279" i="4"/>
  <c r="O279" i="4"/>
  <c r="N279" i="4"/>
  <c r="M279" i="4"/>
  <c r="L279" i="4"/>
  <c r="K279" i="4"/>
  <c r="J279" i="4"/>
  <c r="C279" i="4"/>
  <c r="A279" i="4"/>
  <c r="AD278" i="4"/>
  <c r="AC278" i="4"/>
  <c r="AB278" i="4"/>
  <c r="Z278" i="4"/>
  <c r="Y278" i="4"/>
  <c r="X278" i="4"/>
  <c r="W278" i="4"/>
  <c r="V278" i="4"/>
  <c r="U278" i="4"/>
  <c r="T278" i="4"/>
  <c r="S278" i="4"/>
  <c r="R278" i="4"/>
  <c r="Q278" i="4"/>
  <c r="P278" i="4"/>
  <c r="O278" i="4"/>
  <c r="N278" i="4"/>
  <c r="M278" i="4"/>
  <c r="L278" i="4"/>
  <c r="K278" i="4"/>
  <c r="J278" i="4"/>
  <c r="C278" i="4"/>
  <c r="A278" i="4"/>
  <c r="AD277" i="4"/>
  <c r="AC277" i="4"/>
  <c r="AB277" i="4"/>
  <c r="Z277" i="4"/>
  <c r="Y277" i="4"/>
  <c r="X277" i="4"/>
  <c r="W277" i="4"/>
  <c r="V277" i="4"/>
  <c r="U277" i="4"/>
  <c r="T277" i="4"/>
  <c r="S277" i="4"/>
  <c r="R277" i="4"/>
  <c r="Q277" i="4"/>
  <c r="P277" i="4"/>
  <c r="O277" i="4"/>
  <c r="N277" i="4"/>
  <c r="M277" i="4"/>
  <c r="L277" i="4"/>
  <c r="K277" i="4"/>
  <c r="J277" i="4"/>
  <c r="C277" i="4"/>
  <c r="A277" i="4"/>
  <c r="AD276" i="4"/>
  <c r="AC276" i="4"/>
  <c r="AB276" i="4"/>
  <c r="Z276" i="4"/>
  <c r="Y276" i="4"/>
  <c r="X276" i="4"/>
  <c r="W276" i="4"/>
  <c r="V276" i="4"/>
  <c r="U276" i="4"/>
  <c r="T276" i="4"/>
  <c r="S276" i="4"/>
  <c r="R276" i="4"/>
  <c r="Q276" i="4"/>
  <c r="P276" i="4"/>
  <c r="O276" i="4"/>
  <c r="N276" i="4"/>
  <c r="M276" i="4"/>
  <c r="L276" i="4"/>
  <c r="K276" i="4"/>
  <c r="J276" i="4"/>
  <c r="C276" i="4"/>
  <c r="A276" i="4"/>
  <c r="AD275" i="4"/>
  <c r="AC275" i="4"/>
  <c r="AB275" i="4"/>
  <c r="Z275" i="4"/>
  <c r="Y275" i="4"/>
  <c r="X275" i="4"/>
  <c r="W275" i="4"/>
  <c r="V275" i="4"/>
  <c r="U275" i="4"/>
  <c r="T275" i="4"/>
  <c r="S275" i="4"/>
  <c r="R275" i="4"/>
  <c r="Q275" i="4"/>
  <c r="P275" i="4"/>
  <c r="O275" i="4"/>
  <c r="N275" i="4"/>
  <c r="M275" i="4"/>
  <c r="L275" i="4"/>
  <c r="K275" i="4"/>
  <c r="J275" i="4"/>
  <c r="C275" i="4"/>
  <c r="A275" i="4"/>
  <c r="AD274" i="4"/>
  <c r="AC274" i="4"/>
  <c r="AB274" i="4"/>
  <c r="Z274" i="4"/>
  <c r="Y274" i="4"/>
  <c r="X274" i="4"/>
  <c r="W274" i="4"/>
  <c r="V274" i="4"/>
  <c r="U274" i="4"/>
  <c r="T274" i="4"/>
  <c r="S274" i="4"/>
  <c r="R274" i="4"/>
  <c r="Q274" i="4"/>
  <c r="P274" i="4"/>
  <c r="O274" i="4"/>
  <c r="N274" i="4"/>
  <c r="M274" i="4"/>
  <c r="L274" i="4"/>
  <c r="K274" i="4"/>
  <c r="J274" i="4"/>
  <c r="C274" i="4"/>
  <c r="A274" i="4"/>
  <c r="AD273" i="4"/>
  <c r="AC273" i="4"/>
  <c r="AB273" i="4"/>
  <c r="Z273" i="4"/>
  <c r="Y273" i="4"/>
  <c r="X273" i="4"/>
  <c r="W273" i="4"/>
  <c r="V273" i="4"/>
  <c r="U273" i="4"/>
  <c r="T273" i="4"/>
  <c r="S273" i="4"/>
  <c r="R273" i="4"/>
  <c r="Q273" i="4"/>
  <c r="P273" i="4"/>
  <c r="O273" i="4"/>
  <c r="N273" i="4"/>
  <c r="M273" i="4"/>
  <c r="L273" i="4"/>
  <c r="K273" i="4"/>
  <c r="J273" i="4"/>
  <c r="C273" i="4"/>
  <c r="A273" i="4"/>
  <c r="AD272" i="4"/>
  <c r="AC272" i="4"/>
  <c r="AB272" i="4"/>
  <c r="Z272" i="4"/>
  <c r="Y272" i="4"/>
  <c r="X272" i="4"/>
  <c r="W272" i="4"/>
  <c r="V272" i="4"/>
  <c r="U272" i="4"/>
  <c r="T272" i="4"/>
  <c r="S272" i="4"/>
  <c r="R272" i="4"/>
  <c r="Q272" i="4"/>
  <c r="P272" i="4"/>
  <c r="O272" i="4"/>
  <c r="N272" i="4"/>
  <c r="M272" i="4"/>
  <c r="L272" i="4"/>
  <c r="K272" i="4"/>
  <c r="J272" i="4"/>
  <c r="C272" i="4"/>
  <c r="A272" i="4"/>
  <c r="AD271" i="4"/>
  <c r="AC271" i="4"/>
  <c r="AB271" i="4"/>
  <c r="Z271" i="4"/>
  <c r="Y271" i="4"/>
  <c r="X271" i="4"/>
  <c r="W271" i="4"/>
  <c r="V271" i="4"/>
  <c r="U271" i="4"/>
  <c r="T271" i="4"/>
  <c r="S271" i="4"/>
  <c r="R271" i="4"/>
  <c r="Q271" i="4"/>
  <c r="P271" i="4"/>
  <c r="O271" i="4"/>
  <c r="N271" i="4"/>
  <c r="M271" i="4"/>
  <c r="L271" i="4"/>
  <c r="K271" i="4"/>
  <c r="J271" i="4"/>
  <c r="C271" i="4"/>
  <c r="A271" i="4"/>
  <c r="AD270" i="4"/>
  <c r="AC270" i="4"/>
  <c r="AB270" i="4"/>
  <c r="Z270" i="4"/>
  <c r="Y270" i="4"/>
  <c r="X270" i="4"/>
  <c r="W270" i="4"/>
  <c r="V270" i="4"/>
  <c r="U270" i="4"/>
  <c r="T270" i="4"/>
  <c r="S270" i="4"/>
  <c r="R270" i="4"/>
  <c r="Q270" i="4"/>
  <c r="P270" i="4"/>
  <c r="O270" i="4"/>
  <c r="N270" i="4"/>
  <c r="M270" i="4"/>
  <c r="L270" i="4"/>
  <c r="K270" i="4"/>
  <c r="J270" i="4"/>
  <c r="C270" i="4"/>
  <c r="A270" i="4"/>
  <c r="AD269" i="4"/>
  <c r="AC269" i="4"/>
  <c r="AB269" i="4"/>
  <c r="Z269" i="4"/>
  <c r="Y269" i="4"/>
  <c r="X269" i="4"/>
  <c r="W269" i="4"/>
  <c r="V269" i="4"/>
  <c r="U269" i="4"/>
  <c r="T269" i="4"/>
  <c r="S269" i="4"/>
  <c r="R269" i="4"/>
  <c r="Q269" i="4"/>
  <c r="P269" i="4"/>
  <c r="O269" i="4"/>
  <c r="N269" i="4"/>
  <c r="M269" i="4"/>
  <c r="L269" i="4"/>
  <c r="K269" i="4"/>
  <c r="J269" i="4"/>
  <c r="C269" i="4"/>
  <c r="A269" i="4"/>
  <c r="AD268" i="4"/>
  <c r="AC268" i="4"/>
  <c r="AB268" i="4"/>
  <c r="Z268" i="4"/>
  <c r="Y268" i="4"/>
  <c r="X268" i="4"/>
  <c r="W268" i="4"/>
  <c r="V268" i="4"/>
  <c r="U268" i="4"/>
  <c r="T268" i="4"/>
  <c r="S268" i="4"/>
  <c r="R268" i="4"/>
  <c r="Q268" i="4"/>
  <c r="P268" i="4"/>
  <c r="O268" i="4"/>
  <c r="N268" i="4"/>
  <c r="M268" i="4"/>
  <c r="L268" i="4"/>
  <c r="K268" i="4"/>
  <c r="J268" i="4"/>
  <c r="C268" i="4"/>
  <c r="A268" i="4"/>
  <c r="AD267" i="4"/>
  <c r="AC267" i="4"/>
  <c r="AB267" i="4"/>
  <c r="Z267" i="4"/>
  <c r="Y267" i="4"/>
  <c r="X267" i="4"/>
  <c r="W267" i="4"/>
  <c r="V267" i="4"/>
  <c r="U267" i="4"/>
  <c r="T267" i="4"/>
  <c r="S267" i="4"/>
  <c r="R267" i="4"/>
  <c r="Q267" i="4"/>
  <c r="P267" i="4"/>
  <c r="O267" i="4"/>
  <c r="N267" i="4"/>
  <c r="M267" i="4"/>
  <c r="L267" i="4"/>
  <c r="K267" i="4"/>
  <c r="J267" i="4"/>
  <c r="C267" i="4"/>
  <c r="A267" i="4"/>
  <c r="AD266" i="4"/>
  <c r="AC266" i="4"/>
  <c r="AB266" i="4"/>
  <c r="Z266" i="4"/>
  <c r="Y266" i="4"/>
  <c r="X266" i="4"/>
  <c r="W266" i="4"/>
  <c r="V266" i="4"/>
  <c r="U266" i="4"/>
  <c r="T266" i="4"/>
  <c r="S266" i="4"/>
  <c r="R266" i="4"/>
  <c r="Q266" i="4"/>
  <c r="P266" i="4"/>
  <c r="O266" i="4"/>
  <c r="N266" i="4"/>
  <c r="M266" i="4"/>
  <c r="L266" i="4"/>
  <c r="K266" i="4"/>
  <c r="J266" i="4"/>
  <c r="C266" i="4"/>
  <c r="A266" i="4"/>
  <c r="AD265" i="4"/>
  <c r="AC265" i="4"/>
  <c r="AB265" i="4"/>
  <c r="Z265" i="4"/>
  <c r="Y265" i="4"/>
  <c r="X265" i="4"/>
  <c r="W265" i="4"/>
  <c r="V265" i="4"/>
  <c r="U265" i="4"/>
  <c r="T265" i="4"/>
  <c r="S265" i="4"/>
  <c r="R265" i="4"/>
  <c r="Q265" i="4"/>
  <c r="P265" i="4"/>
  <c r="O265" i="4"/>
  <c r="N265" i="4"/>
  <c r="M265" i="4"/>
  <c r="L265" i="4"/>
  <c r="K265" i="4"/>
  <c r="J265" i="4"/>
  <c r="C265" i="4"/>
  <c r="A265" i="4"/>
  <c r="AD264" i="4"/>
  <c r="AC264" i="4"/>
  <c r="AB264" i="4"/>
  <c r="Z264" i="4"/>
  <c r="Y264" i="4"/>
  <c r="X264" i="4"/>
  <c r="W264" i="4"/>
  <c r="V264" i="4"/>
  <c r="U264" i="4"/>
  <c r="T264" i="4"/>
  <c r="S264" i="4"/>
  <c r="R264" i="4"/>
  <c r="Q264" i="4"/>
  <c r="P264" i="4"/>
  <c r="O264" i="4"/>
  <c r="N264" i="4"/>
  <c r="M264" i="4"/>
  <c r="L264" i="4"/>
  <c r="K264" i="4"/>
  <c r="J264" i="4"/>
  <c r="C264" i="4"/>
  <c r="A264" i="4"/>
  <c r="AD263" i="4"/>
  <c r="AC263" i="4"/>
  <c r="AB263" i="4"/>
  <c r="Z263" i="4"/>
  <c r="Y263" i="4"/>
  <c r="X263" i="4"/>
  <c r="W263" i="4"/>
  <c r="V263" i="4"/>
  <c r="U263" i="4"/>
  <c r="T263" i="4"/>
  <c r="S263" i="4"/>
  <c r="R263" i="4"/>
  <c r="Q263" i="4"/>
  <c r="P263" i="4"/>
  <c r="O263" i="4"/>
  <c r="N263" i="4"/>
  <c r="M263" i="4"/>
  <c r="L263" i="4"/>
  <c r="K263" i="4"/>
  <c r="J263" i="4"/>
  <c r="C263" i="4"/>
  <c r="A263" i="4"/>
  <c r="AD262" i="4"/>
  <c r="AC262" i="4"/>
  <c r="AB262" i="4"/>
  <c r="Z262" i="4"/>
  <c r="Y262" i="4"/>
  <c r="X262" i="4"/>
  <c r="W262" i="4"/>
  <c r="V262" i="4"/>
  <c r="U262" i="4"/>
  <c r="T262" i="4"/>
  <c r="S262" i="4"/>
  <c r="R262" i="4"/>
  <c r="Q262" i="4"/>
  <c r="P262" i="4"/>
  <c r="O262" i="4"/>
  <c r="N262" i="4"/>
  <c r="M262" i="4"/>
  <c r="L262" i="4"/>
  <c r="K262" i="4"/>
  <c r="J262" i="4"/>
  <c r="C262" i="4"/>
  <c r="A262" i="4"/>
  <c r="AD261" i="4"/>
  <c r="AC261" i="4"/>
  <c r="AB261" i="4"/>
  <c r="Z261" i="4"/>
  <c r="Y261" i="4"/>
  <c r="X261" i="4"/>
  <c r="W261" i="4"/>
  <c r="V261" i="4"/>
  <c r="U261" i="4"/>
  <c r="T261" i="4"/>
  <c r="S261" i="4"/>
  <c r="R261" i="4"/>
  <c r="Q261" i="4"/>
  <c r="P261" i="4"/>
  <c r="O261" i="4"/>
  <c r="N261" i="4"/>
  <c r="M261" i="4"/>
  <c r="L261" i="4"/>
  <c r="K261" i="4"/>
  <c r="J261" i="4"/>
  <c r="C261" i="4"/>
  <c r="A261" i="4"/>
  <c r="AD260" i="4"/>
  <c r="AC260" i="4"/>
  <c r="AB260" i="4"/>
  <c r="Z260" i="4"/>
  <c r="Y260" i="4"/>
  <c r="X260" i="4"/>
  <c r="W260" i="4"/>
  <c r="V260" i="4"/>
  <c r="U260" i="4"/>
  <c r="T260" i="4"/>
  <c r="S260" i="4"/>
  <c r="R260" i="4"/>
  <c r="Q260" i="4"/>
  <c r="P260" i="4"/>
  <c r="O260" i="4"/>
  <c r="N260" i="4"/>
  <c r="M260" i="4"/>
  <c r="L260" i="4"/>
  <c r="K260" i="4"/>
  <c r="J260" i="4"/>
  <c r="C260" i="4"/>
  <c r="A260" i="4"/>
  <c r="AD259" i="4"/>
  <c r="AC259" i="4"/>
  <c r="AB259" i="4"/>
  <c r="Z259" i="4"/>
  <c r="Y259" i="4"/>
  <c r="X259" i="4"/>
  <c r="W259" i="4"/>
  <c r="V259" i="4"/>
  <c r="U259" i="4"/>
  <c r="T259" i="4"/>
  <c r="S259" i="4"/>
  <c r="R259" i="4"/>
  <c r="Q259" i="4"/>
  <c r="P259" i="4"/>
  <c r="O259" i="4"/>
  <c r="N259" i="4"/>
  <c r="M259" i="4"/>
  <c r="L259" i="4"/>
  <c r="K259" i="4"/>
  <c r="J259" i="4"/>
  <c r="C259" i="4"/>
  <c r="A259" i="4"/>
  <c r="AD258" i="4"/>
  <c r="AC258" i="4"/>
  <c r="AB258" i="4"/>
  <c r="Z258" i="4"/>
  <c r="Y258" i="4"/>
  <c r="X258" i="4"/>
  <c r="W258" i="4"/>
  <c r="V258" i="4"/>
  <c r="U258" i="4"/>
  <c r="T258" i="4"/>
  <c r="S258" i="4"/>
  <c r="R258" i="4"/>
  <c r="Q258" i="4"/>
  <c r="P258" i="4"/>
  <c r="O258" i="4"/>
  <c r="N258" i="4"/>
  <c r="M258" i="4"/>
  <c r="L258" i="4"/>
  <c r="K258" i="4"/>
  <c r="J258" i="4"/>
  <c r="C258" i="4"/>
  <c r="A258" i="4"/>
  <c r="AD257" i="4"/>
  <c r="AC257" i="4"/>
  <c r="AB257" i="4"/>
  <c r="Z257" i="4"/>
  <c r="Y257" i="4"/>
  <c r="X257" i="4"/>
  <c r="W257" i="4"/>
  <c r="V257" i="4"/>
  <c r="U257" i="4"/>
  <c r="T257" i="4"/>
  <c r="S257" i="4"/>
  <c r="R257" i="4"/>
  <c r="Q257" i="4"/>
  <c r="P257" i="4"/>
  <c r="O257" i="4"/>
  <c r="N257" i="4"/>
  <c r="M257" i="4"/>
  <c r="L257" i="4"/>
  <c r="K257" i="4"/>
  <c r="J257" i="4"/>
  <c r="C257" i="4"/>
  <c r="A257" i="4"/>
  <c r="AD256" i="4"/>
  <c r="AC256" i="4"/>
  <c r="AB256" i="4"/>
  <c r="Z256" i="4"/>
  <c r="Y256" i="4"/>
  <c r="X256" i="4"/>
  <c r="W256" i="4"/>
  <c r="V256" i="4"/>
  <c r="U256" i="4"/>
  <c r="T256" i="4"/>
  <c r="S256" i="4"/>
  <c r="R256" i="4"/>
  <c r="Q256" i="4"/>
  <c r="P256" i="4"/>
  <c r="O256" i="4"/>
  <c r="N256" i="4"/>
  <c r="M256" i="4"/>
  <c r="L256" i="4"/>
  <c r="K256" i="4"/>
  <c r="J256" i="4"/>
  <c r="C256" i="4"/>
  <c r="A256" i="4"/>
  <c r="AD255" i="4"/>
  <c r="AC255" i="4"/>
  <c r="AB255" i="4"/>
  <c r="Z255" i="4"/>
  <c r="Y255" i="4"/>
  <c r="X255" i="4"/>
  <c r="W255" i="4"/>
  <c r="V255" i="4"/>
  <c r="U255" i="4"/>
  <c r="T255" i="4"/>
  <c r="S255" i="4"/>
  <c r="R255" i="4"/>
  <c r="Q255" i="4"/>
  <c r="P255" i="4"/>
  <c r="O255" i="4"/>
  <c r="N255" i="4"/>
  <c r="M255" i="4"/>
  <c r="L255" i="4"/>
  <c r="K255" i="4"/>
  <c r="J255" i="4"/>
  <c r="C255" i="4"/>
  <c r="A255" i="4"/>
  <c r="AD254" i="4"/>
  <c r="AC254" i="4"/>
  <c r="AB254" i="4"/>
  <c r="Z254" i="4"/>
  <c r="Y254" i="4"/>
  <c r="X254" i="4"/>
  <c r="W254" i="4"/>
  <c r="V254" i="4"/>
  <c r="U254" i="4"/>
  <c r="T254" i="4"/>
  <c r="S254" i="4"/>
  <c r="R254" i="4"/>
  <c r="Q254" i="4"/>
  <c r="P254" i="4"/>
  <c r="O254" i="4"/>
  <c r="N254" i="4"/>
  <c r="M254" i="4"/>
  <c r="L254" i="4"/>
  <c r="K254" i="4"/>
  <c r="J254" i="4"/>
  <c r="C254" i="4"/>
  <c r="A254" i="4"/>
  <c r="AD253" i="4"/>
  <c r="AC253" i="4"/>
  <c r="AB253" i="4"/>
  <c r="Z253" i="4"/>
  <c r="Y253" i="4"/>
  <c r="X253" i="4"/>
  <c r="W253" i="4"/>
  <c r="V253" i="4"/>
  <c r="U253" i="4"/>
  <c r="T253" i="4"/>
  <c r="S253" i="4"/>
  <c r="R253" i="4"/>
  <c r="Q253" i="4"/>
  <c r="P253" i="4"/>
  <c r="O253" i="4"/>
  <c r="N253" i="4"/>
  <c r="M253" i="4"/>
  <c r="L253" i="4"/>
  <c r="K253" i="4"/>
  <c r="J253" i="4"/>
  <c r="C253" i="4"/>
  <c r="A253" i="4"/>
  <c r="AD252" i="4"/>
  <c r="AC252" i="4"/>
  <c r="AB252" i="4"/>
  <c r="Z252" i="4"/>
  <c r="Y252" i="4"/>
  <c r="X252" i="4"/>
  <c r="W252" i="4"/>
  <c r="V252" i="4"/>
  <c r="U252" i="4"/>
  <c r="T252" i="4"/>
  <c r="S252" i="4"/>
  <c r="R252" i="4"/>
  <c r="Q252" i="4"/>
  <c r="P252" i="4"/>
  <c r="O252" i="4"/>
  <c r="N252" i="4"/>
  <c r="M252" i="4"/>
  <c r="L252" i="4"/>
  <c r="K252" i="4"/>
  <c r="J252" i="4"/>
  <c r="C252" i="4"/>
  <c r="A252" i="4"/>
  <c r="AD251" i="4"/>
  <c r="AC251" i="4"/>
  <c r="AB251" i="4"/>
  <c r="Z251" i="4"/>
  <c r="Y251" i="4"/>
  <c r="X251" i="4"/>
  <c r="W251" i="4"/>
  <c r="V251" i="4"/>
  <c r="U251" i="4"/>
  <c r="T251" i="4"/>
  <c r="S251" i="4"/>
  <c r="R251" i="4"/>
  <c r="Q251" i="4"/>
  <c r="P251" i="4"/>
  <c r="O251" i="4"/>
  <c r="N251" i="4"/>
  <c r="M251" i="4"/>
  <c r="L251" i="4"/>
  <c r="K251" i="4"/>
  <c r="J251" i="4"/>
  <c r="C251" i="4"/>
  <c r="A251" i="4"/>
  <c r="AD250" i="4"/>
  <c r="AC250" i="4"/>
  <c r="AB250" i="4"/>
  <c r="Z250" i="4"/>
  <c r="Y250" i="4"/>
  <c r="X250" i="4"/>
  <c r="W250" i="4"/>
  <c r="V250" i="4"/>
  <c r="U250" i="4"/>
  <c r="T250" i="4"/>
  <c r="S250" i="4"/>
  <c r="R250" i="4"/>
  <c r="Q250" i="4"/>
  <c r="P250" i="4"/>
  <c r="O250" i="4"/>
  <c r="N250" i="4"/>
  <c r="M250" i="4"/>
  <c r="L250" i="4"/>
  <c r="K250" i="4"/>
  <c r="J250" i="4"/>
  <c r="C250" i="4"/>
  <c r="A250" i="4"/>
  <c r="AD249" i="4"/>
  <c r="AC249" i="4"/>
  <c r="AB249" i="4"/>
  <c r="Z249" i="4"/>
  <c r="Y249" i="4"/>
  <c r="X249" i="4"/>
  <c r="W249" i="4"/>
  <c r="V249" i="4"/>
  <c r="U249" i="4"/>
  <c r="T249" i="4"/>
  <c r="S249" i="4"/>
  <c r="R249" i="4"/>
  <c r="Q249" i="4"/>
  <c r="P249" i="4"/>
  <c r="O249" i="4"/>
  <c r="N249" i="4"/>
  <c r="M249" i="4"/>
  <c r="L249" i="4"/>
  <c r="K249" i="4"/>
  <c r="J249" i="4"/>
  <c r="C249" i="4"/>
  <c r="A249" i="4"/>
  <c r="AD248" i="4"/>
  <c r="AC248" i="4"/>
  <c r="AB248" i="4"/>
  <c r="Z248" i="4"/>
  <c r="Y248" i="4"/>
  <c r="X248" i="4"/>
  <c r="W248" i="4"/>
  <c r="V248" i="4"/>
  <c r="U248" i="4"/>
  <c r="T248" i="4"/>
  <c r="S248" i="4"/>
  <c r="R248" i="4"/>
  <c r="Q248" i="4"/>
  <c r="P248" i="4"/>
  <c r="O248" i="4"/>
  <c r="N248" i="4"/>
  <c r="M248" i="4"/>
  <c r="L248" i="4"/>
  <c r="K248" i="4"/>
  <c r="J248" i="4"/>
  <c r="C248" i="4"/>
  <c r="A248" i="4"/>
  <c r="AD247" i="4"/>
  <c r="AC247" i="4"/>
  <c r="AB247" i="4"/>
  <c r="Z247" i="4"/>
  <c r="Y247" i="4"/>
  <c r="X247" i="4"/>
  <c r="W247" i="4"/>
  <c r="V247" i="4"/>
  <c r="U247" i="4"/>
  <c r="T247" i="4"/>
  <c r="S247" i="4"/>
  <c r="R247" i="4"/>
  <c r="Q247" i="4"/>
  <c r="P247" i="4"/>
  <c r="O247" i="4"/>
  <c r="N247" i="4"/>
  <c r="M247" i="4"/>
  <c r="L247" i="4"/>
  <c r="K247" i="4"/>
  <c r="J247" i="4"/>
  <c r="C247" i="4"/>
  <c r="A247" i="4"/>
  <c r="AD246" i="4"/>
  <c r="AC246" i="4"/>
  <c r="AB246" i="4"/>
  <c r="Z246" i="4"/>
  <c r="Y246" i="4"/>
  <c r="X246" i="4"/>
  <c r="W246" i="4"/>
  <c r="V246" i="4"/>
  <c r="U246" i="4"/>
  <c r="T246" i="4"/>
  <c r="S246" i="4"/>
  <c r="R246" i="4"/>
  <c r="Q246" i="4"/>
  <c r="P246" i="4"/>
  <c r="O246" i="4"/>
  <c r="N246" i="4"/>
  <c r="M246" i="4"/>
  <c r="L246" i="4"/>
  <c r="K246" i="4"/>
  <c r="J246" i="4"/>
  <c r="C246" i="4"/>
  <c r="A246" i="4"/>
  <c r="AD245" i="4"/>
  <c r="AC245" i="4"/>
  <c r="AB245" i="4"/>
  <c r="Z245" i="4"/>
  <c r="Y245" i="4"/>
  <c r="X245" i="4"/>
  <c r="W245" i="4"/>
  <c r="V245" i="4"/>
  <c r="U245" i="4"/>
  <c r="T245" i="4"/>
  <c r="S245" i="4"/>
  <c r="R245" i="4"/>
  <c r="Q245" i="4"/>
  <c r="P245" i="4"/>
  <c r="O245" i="4"/>
  <c r="N245" i="4"/>
  <c r="M245" i="4"/>
  <c r="L245" i="4"/>
  <c r="K245" i="4"/>
  <c r="J245" i="4"/>
  <c r="C245" i="4"/>
  <c r="A245" i="4"/>
  <c r="AD244" i="4"/>
  <c r="AC244" i="4"/>
  <c r="AB244" i="4"/>
  <c r="Z244" i="4"/>
  <c r="Y244" i="4"/>
  <c r="X244" i="4"/>
  <c r="W244" i="4"/>
  <c r="V244" i="4"/>
  <c r="U244" i="4"/>
  <c r="T244" i="4"/>
  <c r="S244" i="4"/>
  <c r="R244" i="4"/>
  <c r="Q244" i="4"/>
  <c r="P244" i="4"/>
  <c r="O244" i="4"/>
  <c r="N244" i="4"/>
  <c r="M244" i="4"/>
  <c r="L244" i="4"/>
  <c r="K244" i="4"/>
  <c r="J244" i="4"/>
  <c r="C244" i="4"/>
  <c r="A244" i="4"/>
  <c r="AD243" i="4"/>
  <c r="AC243" i="4"/>
  <c r="AB243" i="4"/>
  <c r="Z243" i="4"/>
  <c r="Y243" i="4"/>
  <c r="X243" i="4"/>
  <c r="W243" i="4"/>
  <c r="V243" i="4"/>
  <c r="U243" i="4"/>
  <c r="T243" i="4"/>
  <c r="S243" i="4"/>
  <c r="R243" i="4"/>
  <c r="Q243" i="4"/>
  <c r="P243" i="4"/>
  <c r="O243" i="4"/>
  <c r="N243" i="4"/>
  <c r="M243" i="4"/>
  <c r="L243" i="4"/>
  <c r="K243" i="4"/>
  <c r="J243" i="4"/>
  <c r="C243" i="4"/>
  <c r="A243" i="4"/>
  <c r="AD242" i="4"/>
  <c r="AC242" i="4"/>
  <c r="AB242" i="4"/>
  <c r="Z242" i="4"/>
  <c r="Y242" i="4"/>
  <c r="X242" i="4"/>
  <c r="W242" i="4"/>
  <c r="V242" i="4"/>
  <c r="U242" i="4"/>
  <c r="T242" i="4"/>
  <c r="S242" i="4"/>
  <c r="R242" i="4"/>
  <c r="Q242" i="4"/>
  <c r="P242" i="4"/>
  <c r="O242" i="4"/>
  <c r="N242" i="4"/>
  <c r="M242" i="4"/>
  <c r="L242" i="4"/>
  <c r="K242" i="4"/>
  <c r="J242" i="4"/>
  <c r="C242" i="4"/>
  <c r="A242" i="4"/>
  <c r="AD241" i="4"/>
  <c r="AC241" i="4"/>
  <c r="AB241" i="4"/>
  <c r="Z241" i="4"/>
  <c r="Y241" i="4"/>
  <c r="X241" i="4"/>
  <c r="W241" i="4"/>
  <c r="V241" i="4"/>
  <c r="U241" i="4"/>
  <c r="T241" i="4"/>
  <c r="S241" i="4"/>
  <c r="R241" i="4"/>
  <c r="Q241" i="4"/>
  <c r="P241" i="4"/>
  <c r="O241" i="4"/>
  <c r="N241" i="4"/>
  <c r="M241" i="4"/>
  <c r="L241" i="4"/>
  <c r="K241" i="4"/>
  <c r="J241" i="4"/>
  <c r="C241" i="4"/>
  <c r="A241" i="4"/>
  <c r="AD240" i="4"/>
  <c r="AC240" i="4"/>
  <c r="AB240" i="4"/>
  <c r="Z240" i="4"/>
  <c r="Y240" i="4"/>
  <c r="X240" i="4"/>
  <c r="W240" i="4"/>
  <c r="V240" i="4"/>
  <c r="U240" i="4"/>
  <c r="T240" i="4"/>
  <c r="S240" i="4"/>
  <c r="R240" i="4"/>
  <c r="Q240" i="4"/>
  <c r="P240" i="4"/>
  <c r="O240" i="4"/>
  <c r="N240" i="4"/>
  <c r="M240" i="4"/>
  <c r="L240" i="4"/>
  <c r="K240" i="4"/>
  <c r="J240" i="4"/>
  <c r="C240" i="4"/>
  <c r="A240" i="4"/>
  <c r="AD239" i="4"/>
  <c r="AC239" i="4"/>
  <c r="AB239" i="4"/>
  <c r="Z239" i="4"/>
  <c r="Y239" i="4"/>
  <c r="X239" i="4"/>
  <c r="W239" i="4"/>
  <c r="V239" i="4"/>
  <c r="U239" i="4"/>
  <c r="T239" i="4"/>
  <c r="S239" i="4"/>
  <c r="R239" i="4"/>
  <c r="Q239" i="4"/>
  <c r="P239" i="4"/>
  <c r="O239" i="4"/>
  <c r="N239" i="4"/>
  <c r="M239" i="4"/>
  <c r="L239" i="4"/>
  <c r="K239" i="4"/>
  <c r="J239" i="4"/>
  <c r="C239" i="4"/>
  <c r="A239" i="4"/>
  <c r="AD238" i="4"/>
  <c r="AC238" i="4"/>
  <c r="AB238" i="4"/>
  <c r="Z238" i="4"/>
  <c r="Y238" i="4"/>
  <c r="X238" i="4"/>
  <c r="W238" i="4"/>
  <c r="V238" i="4"/>
  <c r="U238" i="4"/>
  <c r="T238" i="4"/>
  <c r="S238" i="4"/>
  <c r="R238" i="4"/>
  <c r="Q238" i="4"/>
  <c r="P238" i="4"/>
  <c r="O238" i="4"/>
  <c r="N238" i="4"/>
  <c r="M238" i="4"/>
  <c r="L238" i="4"/>
  <c r="K238" i="4"/>
  <c r="J238" i="4"/>
  <c r="C238" i="4"/>
  <c r="A238" i="4"/>
  <c r="AD237" i="4"/>
  <c r="AC237" i="4"/>
  <c r="AB237" i="4"/>
  <c r="Z237" i="4"/>
  <c r="Y237" i="4"/>
  <c r="X237" i="4"/>
  <c r="W237" i="4"/>
  <c r="V237" i="4"/>
  <c r="U237" i="4"/>
  <c r="T237" i="4"/>
  <c r="S237" i="4"/>
  <c r="R237" i="4"/>
  <c r="Q237" i="4"/>
  <c r="P237" i="4"/>
  <c r="O237" i="4"/>
  <c r="N237" i="4"/>
  <c r="M237" i="4"/>
  <c r="L237" i="4"/>
  <c r="K237" i="4"/>
  <c r="J237" i="4"/>
  <c r="C237" i="4"/>
  <c r="A237" i="4"/>
  <c r="AD236" i="4"/>
  <c r="AC236" i="4"/>
  <c r="AB236" i="4"/>
  <c r="Z236" i="4"/>
  <c r="Y236" i="4"/>
  <c r="X236" i="4"/>
  <c r="W236" i="4"/>
  <c r="V236" i="4"/>
  <c r="U236" i="4"/>
  <c r="T236" i="4"/>
  <c r="S236" i="4"/>
  <c r="R236" i="4"/>
  <c r="Q236" i="4"/>
  <c r="P236" i="4"/>
  <c r="O236" i="4"/>
  <c r="N236" i="4"/>
  <c r="M236" i="4"/>
  <c r="L236" i="4"/>
  <c r="K236" i="4"/>
  <c r="J236" i="4"/>
  <c r="C236" i="4"/>
  <c r="A236" i="4"/>
  <c r="AD235" i="4"/>
  <c r="AC235" i="4"/>
  <c r="AB235" i="4"/>
  <c r="Z235" i="4"/>
  <c r="Y235" i="4"/>
  <c r="X235" i="4"/>
  <c r="W235" i="4"/>
  <c r="V235" i="4"/>
  <c r="U235" i="4"/>
  <c r="T235" i="4"/>
  <c r="S235" i="4"/>
  <c r="R235" i="4"/>
  <c r="Q235" i="4"/>
  <c r="P235" i="4"/>
  <c r="O235" i="4"/>
  <c r="N235" i="4"/>
  <c r="M235" i="4"/>
  <c r="L235" i="4"/>
  <c r="K235" i="4"/>
  <c r="J235" i="4"/>
  <c r="C235" i="4"/>
  <c r="A235" i="4"/>
  <c r="AD234" i="4"/>
  <c r="AC234" i="4"/>
  <c r="AB234" i="4"/>
  <c r="Z234" i="4"/>
  <c r="Y234" i="4"/>
  <c r="X234" i="4"/>
  <c r="W234" i="4"/>
  <c r="V234" i="4"/>
  <c r="U234" i="4"/>
  <c r="T234" i="4"/>
  <c r="S234" i="4"/>
  <c r="R234" i="4"/>
  <c r="Q234" i="4"/>
  <c r="P234" i="4"/>
  <c r="O234" i="4"/>
  <c r="N234" i="4"/>
  <c r="M234" i="4"/>
  <c r="L234" i="4"/>
  <c r="K234" i="4"/>
  <c r="J234" i="4"/>
  <c r="C234" i="4"/>
  <c r="A234" i="4"/>
  <c r="AD233" i="4"/>
  <c r="AC233" i="4"/>
  <c r="AB233" i="4"/>
  <c r="Z233" i="4"/>
  <c r="Y233" i="4"/>
  <c r="X233" i="4"/>
  <c r="W233" i="4"/>
  <c r="V233" i="4"/>
  <c r="U233" i="4"/>
  <c r="T233" i="4"/>
  <c r="S233" i="4"/>
  <c r="R233" i="4"/>
  <c r="Q233" i="4"/>
  <c r="P233" i="4"/>
  <c r="O233" i="4"/>
  <c r="N233" i="4"/>
  <c r="M233" i="4"/>
  <c r="L233" i="4"/>
  <c r="K233" i="4"/>
  <c r="J233" i="4"/>
  <c r="C233" i="4"/>
  <c r="A233" i="4"/>
  <c r="AD232" i="4"/>
  <c r="AC232" i="4"/>
  <c r="AB232" i="4"/>
  <c r="Z232" i="4"/>
  <c r="Y232" i="4"/>
  <c r="X232" i="4"/>
  <c r="W232" i="4"/>
  <c r="V232" i="4"/>
  <c r="U232" i="4"/>
  <c r="T232" i="4"/>
  <c r="S232" i="4"/>
  <c r="R232" i="4"/>
  <c r="Q232" i="4"/>
  <c r="P232" i="4"/>
  <c r="O232" i="4"/>
  <c r="N232" i="4"/>
  <c r="M232" i="4"/>
  <c r="L232" i="4"/>
  <c r="K232" i="4"/>
  <c r="J232" i="4"/>
  <c r="C232" i="4"/>
  <c r="A232" i="4"/>
  <c r="AD231" i="4"/>
  <c r="AC231" i="4"/>
  <c r="AB231" i="4"/>
  <c r="Z231" i="4"/>
  <c r="Y231" i="4"/>
  <c r="X231" i="4"/>
  <c r="W231" i="4"/>
  <c r="V231" i="4"/>
  <c r="U231" i="4"/>
  <c r="T231" i="4"/>
  <c r="S231" i="4"/>
  <c r="R231" i="4"/>
  <c r="Q231" i="4"/>
  <c r="P231" i="4"/>
  <c r="O231" i="4"/>
  <c r="N231" i="4"/>
  <c r="M231" i="4"/>
  <c r="L231" i="4"/>
  <c r="K231" i="4"/>
  <c r="J231" i="4"/>
  <c r="C231" i="4"/>
  <c r="A231" i="4"/>
  <c r="AD230" i="4"/>
  <c r="AC230" i="4"/>
  <c r="AB230" i="4"/>
  <c r="Z230" i="4"/>
  <c r="Y230" i="4"/>
  <c r="X230" i="4"/>
  <c r="W230" i="4"/>
  <c r="V230" i="4"/>
  <c r="U230" i="4"/>
  <c r="T230" i="4"/>
  <c r="S230" i="4"/>
  <c r="R230" i="4"/>
  <c r="Q230" i="4"/>
  <c r="P230" i="4"/>
  <c r="O230" i="4"/>
  <c r="N230" i="4"/>
  <c r="M230" i="4"/>
  <c r="L230" i="4"/>
  <c r="K230" i="4"/>
  <c r="J230" i="4"/>
  <c r="C230" i="4"/>
  <c r="A230" i="4"/>
  <c r="AD229" i="4"/>
  <c r="AC229" i="4"/>
  <c r="AB229" i="4"/>
  <c r="Z229" i="4"/>
  <c r="Y229" i="4"/>
  <c r="X229" i="4"/>
  <c r="W229" i="4"/>
  <c r="V229" i="4"/>
  <c r="U229" i="4"/>
  <c r="T229" i="4"/>
  <c r="S229" i="4"/>
  <c r="R229" i="4"/>
  <c r="Q229" i="4"/>
  <c r="P229" i="4"/>
  <c r="O229" i="4"/>
  <c r="N229" i="4"/>
  <c r="M229" i="4"/>
  <c r="L229" i="4"/>
  <c r="K229" i="4"/>
  <c r="J229" i="4"/>
  <c r="C229" i="4"/>
  <c r="A229" i="4"/>
  <c r="AD228" i="4"/>
  <c r="AC228" i="4"/>
  <c r="AB228" i="4"/>
  <c r="Z228" i="4"/>
  <c r="Y228" i="4"/>
  <c r="X228" i="4"/>
  <c r="W228" i="4"/>
  <c r="V228" i="4"/>
  <c r="U228" i="4"/>
  <c r="T228" i="4"/>
  <c r="S228" i="4"/>
  <c r="R228" i="4"/>
  <c r="Q228" i="4"/>
  <c r="P228" i="4"/>
  <c r="O228" i="4"/>
  <c r="N228" i="4"/>
  <c r="M228" i="4"/>
  <c r="L228" i="4"/>
  <c r="K228" i="4"/>
  <c r="J228" i="4"/>
  <c r="C228" i="4"/>
  <c r="A228" i="4"/>
  <c r="AD227" i="4"/>
  <c r="AC227" i="4"/>
  <c r="AB227" i="4"/>
  <c r="Z227" i="4"/>
  <c r="Y227" i="4"/>
  <c r="X227" i="4"/>
  <c r="W227" i="4"/>
  <c r="V227" i="4"/>
  <c r="U227" i="4"/>
  <c r="T227" i="4"/>
  <c r="S227" i="4"/>
  <c r="R227" i="4"/>
  <c r="Q227" i="4"/>
  <c r="P227" i="4"/>
  <c r="O227" i="4"/>
  <c r="N227" i="4"/>
  <c r="M227" i="4"/>
  <c r="L227" i="4"/>
  <c r="K227" i="4"/>
  <c r="J227" i="4"/>
  <c r="C227" i="4"/>
  <c r="A227" i="4"/>
  <c r="AD226" i="4"/>
  <c r="AC226" i="4"/>
  <c r="AB226" i="4"/>
  <c r="Z226" i="4"/>
  <c r="Y226" i="4"/>
  <c r="X226" i="4"/>
  <c r="W226" i="4"/>
  <c r="V226" i="4"/>
  <c r="U226" i="4"/>
  <c r="T226" i="4"/>
  <c r="S226" i="4"/>
  <c r="R226" i="4"/>
  <c r="Q226" i="4"/>
  <c r="P226" i="4"/>
  <c r="O226" i="4"/>
  <c r="N226" i="4"/>
  <c r="M226" i="4"/>
  <c r="L226" i="4"/>
  <c r="K226" i="4"/>
  <c r="J226" i="4"/>
  <c r="C226" i="4"/>
  <c r="A226" i="4"/>
  <c r="AD225" i="4"/>
  <c r="AC225" i="4"/>
  <c r="AB225" i="4"/>
  <c r="Z225" i="4"/>
  <c r="Y225" i="4"/>
  <c r="X225" i="4"/>
  <c r="W225" i="4"/>
  <c r="V225" i="4"/>
  <c r="U225" i="4"/>
  <c r="T225" i="4"/>
  <c r="S225" i="4"/>
  <c r="R225" i="4"/>
  <c r="Q225" i="4"/>
  <c r="P225" i="4"/>
  <c r="O225" i="4"/>
  <c r="N225" i="4"/>
  <c r="M225" i="4"/>
  <c r="L225" i="4"/>
  <c r="K225" i="4"/>
  <c r="J225" i="4"/>
  <c r="C225" i="4"/>
  <c r="A225" i="4"/>
  <c r="AD224" i="4"/>
  <c r="AC224" i="4"/>
  <c r="AB224" i="4"/>
  <c r="Z224" i="4"/>
  <c r="Y224" i="4"/>
  <c r="X224" i="4"/>
  <c r="W224" i="4"/>
  <c r="V224" i="4"/>
  <c r="U224" i="4"/>
  <c r="T224" i="4"/>
  <c r="S224" i="4"/>
  <c r="R224" i="4"/>
  <c r="Q224" i="4"/>
  <c r="P224" i="4"/>
  <c r="O224" i="4"/>
  <c r="N224" i="4"/>
  <c r="M224" i="4"/>
  <c r="L224" i="4"/>
  <c r="K224" i="4"/>
  <c r="J224" i="4"/>
  <c r="C224" i="4"/>
  <c r="A224" i="4"/>
  <c r="AD223" i="4"/>
  <c r="AC223" i="4"/>
  <c r="AB223" i="4"/>
  <c r="Z223" i="4"/>
  <c r="Y223" i="4"/>
  <c r="X223" i="4"/>
  <c r="W223" i="4"/>
  <c r="V223" i="4"/>
  <c r="U223" i="4"/>
  <c r="T223" i="4"/>
  <c r="S223" i="4"/>
  <c r="R223" i="4"/>
  <c r="Q223" i="4"/>
  <c r="P223" i="4"/>
  <c r="O223" i="4"/>
  <c r="N223" i="4"/>
  <c r="M223" i="4"/>
  <c r="L223" i="4"/>
  <c r="K223" i="4"/>
  <c r="J223" i="4"/>
  <c r="C223" i="4"/>
  <c r="A223" i="4"/>
  <c r="AD222" i="4"/>
  <c r="AC222" i="4"/>
  <c r="AB222" i="4"/>
  <c r="Z222" i="4"/>
  <c r="Y222" i="4"/>
  <c r="X222" i="4"/>
  <c r="W222" i="4"/>
  <c r="V222" i="4"/>
  <c r="U222" i="4"/>
  <c r="T222" i="4"/>
  <c r="S222" i="4"/>
  <c r="R222" i="4"/>
  <c r="Q222" i="4"/>
  <c r="P222" i="4"/>
  <c r="O222" i="4"/>
  <c r="N222" i="4"/>
  <c r="M222" i="4"/>
  <c r="L222" i="4"/>
  <c r="K222" i="4"/>
  <c r="J222" i="4"/>
  <c r="C222" i="4"/>
  <c r="A222" i="4"/>
  <c r="AD221" i="4"/>
  <c r="AC221" i="4"/>
  <c r="AB221" i="4"/>
  <c r="Z221" i="4"/>
  <c r="Y221" i="4"/>
  <c r="X221" i="4"/>
  <c r="W221" i="4"/>
  <c r="V221" i="4"/>
  <c r="U221" i="4"/>
  <c r="T221" i="4"/>
  <c r="S221" i="4"/>
  <c r="R221" i="4"/>
  <c r="Q221" i="4"/>
  <c r="P221" i="4"/>
  <c r="O221" i="4"/>
  <c r="N221" i="4"/>
  <c r="M221" i="4"/>
  <c r="L221" i="4"/>
  <c r="K221" i="4"/>
  <c r="J221" i="4"/>
  <c r="C221" i="4"/>
  <c r="A221" i="4"/>
  <c r="AD220" i="4"/>
  <c r="AC220" i="4"/>
  <c r="AB220" i="4"/>
  <c r="Z220" i="4"/>
  <c r="Y220" i="4"/>
  <c r="X220" i="4"/>
  <c r="W220" i="4"/>
  <c r="V220" i="4"/>
  <c r="U220" i="4"/>
  <c r="T220" i="4"/>
  <c r="S220" i="4"/>
  <c r="R220" i="4"/>
  <c r="Q220" i="4"/>
  <c r="P220" i="4"/>
  <c r="O220" i="4"/>
  <c r="N220" i="4"/>
  <c r="M220" i="4"/>
  <c r="L220" i="4"/>
  <c r="K220" i="4"/>
  <c r="J220" i="4"/>
  <c r="C220" i="4"/>
  <c r="A220" i="4"/>
  <c r="AD219" i="4"/>
  <c r="AC219" i="4"/>
  <c r="AB219" i="4"/>
  <c r="Z219" i="4"/>
  <c r="Y219" i="4"/>
  <c r="X219" i="4"/>
  <c r="W219" i="4"/>
  <c r="V219" i="4"/>
  <c r="U219" i="4"/>
  <c r="T219" i="4"/>
  <c r="S219" i="4"/>
  <c r="R219" i="4"/>
  <c r="Q219" i="4"/>
  <c r="P219" i="4"/>
  <c r="O219" i="4"/>
  <c r="N219" i="4"/>
  <c r="M219" i="4"/>
  <c r="L219" i="4"/>
  <c r="K219" i="4"/>
  <c r="J219" i="4"/>
  <c r="C219" i="4"/>
  <c r="A219" i="4"/>
  <c r="AD218" i="4"/>
  <c r="AC218" i="4"/>
  <c r="AB218" i="4"/>
  <c r="Z218" i="4"/>
  <c r="Y218" i="4"/>
  <c r="X218" i="4"/>
  <c r="W218" i="4"/>
  <c r="V218" i="4"/>
  <c r="U218" i="4"/>
  <c r="T218" i="4"/>
  <c r="S218" i="4"/>
  <c r="R218" i="4"/>
  <c r="Q218" i="4"/>
  <c r="P218" i="4"/>
  <c r="O218" i="4"/>
  <c r="N218" i="4"/>
  <c r="M218" i="4"/>
  <c r="L218" i="4"/>
  <c r="K218" i="4"/>
  <c r="J218" i="4"/>
  <c r="C218" i="4"/>
  <c r="A218" i="4"/>
  <c r="AD217" i="4"/>
  <c r="AC217" i="4"/>
  <c r="AB217" i="4"/>
  <c r="Z217" i="4"/>
  <c r="Y217" i="4"/>
  <c r="X217" i="4"/>
  <c r="W217" i="4"/>
  <c r="V217" i="4"/>
  <c r="U217" i="4"/>
  <c r="T217" i="4"/>
  <c r="S217" i="4"/>
  <c r="R217" i="4"/>
  <c r="Q217" i="4"/>
  <c r="P217" i="4"/>
  <c r="O217" i="4"/>
  <c r="N217" i="4"/>
  <c r="M217" i="4"/>
  <c r="L217" i="4"/>
  <c r="K217" i="4"/>
  <c r="J217" i="4"/>
  <c r="C217" i="4"/>
  <c r="A217" i="4"/>
  <c r="AD216" i="4"/>
  <c r="AC216" i="4"/>
  <c r="AB216" i="4"/>
  <c r="Z216" i="4"/>
  <c r="Y216" i="4"/>
  <c r="X216" i="4"/>
  <c r="W216" i="4"/>
  <c r="V216" i="4"/>
  <c r="U216" i="4"/>
  <c r="T216" i="4"/>
  <c r="S216" i="4"/>
  <c r="R216" i="4"/>
  <c r="Q216" i="4"/>
  <c r="P216" i="4"/>
  <c r="O216" i="4"/>
  <c r="N216" i="4"/>
  <c r="M216" i="4"/>
  <c r="L216" i="4"/>
  <c r="K216" i="4"/>
  <c r="J216" i="4"/>
  <c r="C216" i="4"/>
  <c r="A216" i="4"/>
  <c r="AD215" i="4"/>
  <c r="AC215" i="4"/>
  <c r="AB215" i="4"/>
  <c r="Z215" i="4"/>
  <c r="Y215" i="4"/>
  <c r="X215" i="4"/>
  <c r="W215" i="4"/>
  <c r="V215" i="4"/>
  <c r="U215" i="4"/>
  <c r="T215" i="4"/>
  <c r="S215" i="4"/>
  <c r="R215" i="4"/>
  <c r="Q215" i="4"/>
  <c r="P215" i="4"/>
  <c r="O215" i="4"/>
  <c r="N215" i="4"/>
  <c r="M215" i="4"/>
  <c r="L215" i="4"/>
  <c r="K215" i="4"/>
  <c r="J215" i="4"/>
  <c r="C215" i="4"/>
  <c r="A215" i="4"/>
  <c r="AD214" i="4"/>
  <c r="AC214" i="4"/>
  <c r="AB214" i="4"/>
  <c r="Z214" i="4"/>
  <c r="Y214" i="4"/>
  <c r="X214" i="4"/>
  <c r="W214" i="4"/>
  <c r="V214" i="4"/>
  <c r="U214" i="4"/>
  <c r="T214" i="4"/>
  <c r="S214" i="4"/>
  <c r="R214" i="4"/>
  <c r="Q214" i="4"/>
  <c r="P214" i="4"/>
  <c r="O214" i="4"/>
  <c r="N214" i="4"/>
  <c r="M214" i="4"/>
  <c r="L214" i="4"/>
  <c r="K214" i="4"/>
  <c r="J214" i="4"/>
  <c r="C214" i="4"/>
  <c r="A214" i="4"/>
  <c r="AD213" i="4"/>
  <c r="AC213" i="4"/>
  <c r="AB213" i="4"/>
  <c r="Z213" i="4"/>
  <c r="Y213" i="4"/>
  <c r="X213" i="4"/>
  <c r="W213" i="4"/>
  <c r="V213" i="4"/>
  <c r="U213" i="4"/>
  <c r="T213" i="4"/>
  <c r="S213" i="4"/>
  <c r="R213" i="4"/>
  <c r="Q213" i="4"/>
  <c r="P213" i="4"/>
  <c r="O213" i="4"/>
  <c r="N213" i="4"/>
  <c r="M213" i="4"/>
  <c r="L213" i="4"/>
  <c r="K213" i="4"/>
  <c r="J213" i="4"/>
  <c r="C213" i="4"/>
  <c r="A213" i="4"/>
  <c r="AD212" i="4"/>
  <c r="AC212" i="4"/>
  <c r="AB212" i="4"/>
  <c r="Z212" i="4"/>
  <c r="Y212" i="4"/>
  <c r="X212" i="4"/>
  <c r="W212" i="4"/>
  <c r="V212" i="4"/>
  <c r="U212" i="4"/>
  <c r="T212" i="4"/>
  <c r="S212" i="4"/>
  <c r="R212" i="4"/>
  <c r="Q212" i="4"/>
  <c r="P212" i="4"/>
  <c r="O212" i="4"/>
  <c r="N212" i="4"/>
  <c r="M212" i="4"/>
  <c r="L212" i="4"/>
  <c r="K212" i="4"/>
  <c r="J212" i="4"/>
  <c r="C212" i="4"/>
  <c r="A212" i="4"/>
  <c r="AD211" i="4"/>
  <c r="AC211" i="4"/>
  <c r="AB211" i="4"/>
  <c r="Z211" i="4"/>
  <c r="Y211" i="4"/>
  <c r="X211" i="4"/>
  <c r="W211" i="4"/>
  <c r="V211" i="4"/>
  <c r="U211" i="4"/>
  <c r="T211" i="4"/>
  <c r="S211" i="4"/>
  <c r="R211" i="4"/>
  <c r="Q211" i="4"/>
  <c r="P211" i="4"/>
  <c r="O211" i="4"/>
  <c r="N211" i="4"/>
  <c r="M211" i="4"/>
  <c r="L211" i="4"/>
  <c r="K211" i="4"/>
  <c r="J211" i="4"/>
  <c r="C211" i="4"/>
  <c r="A211" i="4"/>
  <c r="AD210" i="4"/>
  <c r="AC210" i="4"/>
  <c r="AB210" i="4"/>
  <c r="Z210" i="4"/>
  <c r="Y210" i="4"/>
  <c r="X210" i="4"/>
  <c r="W210" i="4"/>
  <c r="V210" i="4"/>
  <c r="U210" i="4"/>
  <c r="T210" i="4"/>
  <c r="S210" i="4"/>
  <c r="R210" i="4"/>
  <c r="Q210" i="4"/>
  <c r="P210" i="4"/>
  <c r="O210" i="4"/>
  <c r="N210" i="4"/>
  <c r="M210" i="4"/>
  <c r="L210" i="4"/>
  <c r="K210" i="4"/>
  <c r="J210" i="4"/>
  <c r="C210" i="4"/>
  <c r="A210" i="4"/>
  <c r="AD209" i="4"/>
  <c r="AC209" i="4"/>
  <c r="AB209" i="4"/>
  <c r="Z209" i="4"/>
  <c r="Y209" i="4"/>
  <c r="X209" i="4"/>
  <c r="W209" i="4"/>
  <c r="V209" i="4"/>
  <c r="U209" i="4"/>
  <c r="T209" i="4"/>
  <c r="S209" i="4"/>
  <c r="R209" i="4"/>
  <c r="Q209" i="4"/>
  <c r="P209" i="4"/>
  <c r="O209" i="4"/>
  <c r="N209" i="4"/>
  <c r="M209" i="4"/>
  <c r="L209" i="4"/>
  <c r="K209" i="4"/>
  <c r="J209" i="4"/>
  <c r="C209" i="4"/>
  <c r="A209" i="4"/>
  <c r="AD208" i="4"/>
  <c r="AC208" i="4"/>
  <c r="AB208" i="4"/>
  <c r="Z208" i="4"/>
  <c r="Y208" i="4"/>
  <c r="X208" i="4"/>
  <c r="W208" i="4"/>
  <c r="V208" i="4"/>
  <c r="U208" i="4"/>
  <c r="T208" i="4"/>
  <c r="S208" i="4"/>
  <c r="R208" i="4"/>
  <c r="Q208" i="4"/>
  <c r="P208" i="4"/>
  <c r="O208" i="4"/>
  <c r="N208" i="4"/>
  <c r="M208" i="4"/>
  <c r="L208" i="4"/>
  <c r="K208" i="4"/>
  <c r="J208" i="4"/>
  <c r="C208" i="4"/>
  <c r="A208" i="4"/>
  <c r="AD207" i="4"/>
  <c r="AC207" i="4"/>
  <c r="AB207" i="4"/>
  <c r="Z207" i="4"/>
  <c r="Y207" i="4"/>
  <c r="X207" i="4"/>
  <c r="W207" i="4"/>
  <c r="V207" i="4"/>
  <c r="U207" i="4"/>
  <c r="T207" i="4"/>
  <c r="S207" i="4"/>
  <c r="R207" i="4"/>
  <c r="Q207" i="4"/>
  <c r="P207" i="4"/>
  <c r="O207" i="4"/>
  <c r="N207" i="4"/>
  <c r="M207" i="4"/>
  <c r="L207" i="4"/>
  <c r="K207" i="4"/>
  <c r="J207" i="4"/>
  <c r="C207" i="4"/>
  <c r="A207" i="4"/>
  <c r="AD206" i="4"/>
  <c r="AC206" i="4"/>
  <c r="AB206" i="4"/>
  <c r="Z206" i="4"/>
  <c r="Y206" i="4"/>
  <c r="X206" i="4"/>
  <c r="W206" i="4"/>
  <c r="V206" i="4"/>
  <c r="U206" i="4"/>
  <c r="T206" i="4"/>
  <c r="S206" i="4"/>
  <c r="R206" i="4"/>
  <c r="Q206" i="4"/>
  <c r="P206" i="4"/>
  <c r="O206" i="4"/>
  <c r="N206" i="4"/>
  <c r="M206" i="4"/>
  <c r="L206" i="4"/>
  <c r="K206" i="4"/>
  <c r="J206" i="4"/>
  <c r="C206" i="4"/>
  <c r="A206" i="4"/>
  <c r="AD205" i="4"/>
  <c r="AC205" i="4"/>
  <c r="AB205" i="4"/>
  <c r="Z205" i="4"/>
  <c r="Y205" i="4"/>
  <c r="X205" i="4"/>
  <c r="W205" i="4"/>
  <c r="V205" i="4"/>
  <c r="U205" i="4"/>
  <c r="T205" i="4"/>
  <c r="S205" i="4"/>
  <c r="R205" i="4"/>
  <c r="Q205" i="4"/>
  <c r="P205" i="4"/>
  <c r="O205" i="4"/>
  <c r="N205" i="4"/>
  <c r="M205" i="4"/>
  <c r="L205" i="4"/>
  <c r="K205" i="4"/>
  <c r="J205" i="4"/>
  <c r="C205" i="4"/>
  <c r="A205" i="4"/>
  <c r="AD204" i="4"/>
  <c r="AC204" i="4"/>
  <c r="AB204" i="4"/>
  <c r="Z204" i="4"/>
  <c r="Y204" i="4"/>
  <c r="X204" i="4"/>
  <c r="W204" i="4"/>
  <c r="V204" i="4"/>
  <c r="U204" i="4"/>
  <c r="T204" i="4"/>
  <c r="S204" i="4"/>
  <c r="R204" i="4"/>
  <c r="Q204" i="4"/>
  <c r="P204" i="4"/>
  <c r="O204" i="4"/>
  <c r="N204" i="4"/>
  <c r="M204" i="4"/>
  <c r="L204" i="4"/>
  <c r="K204" i="4"/>
  <c r="J204" i="4"/>
  <c r="C204" i="4"/>
  <c r="A204" i="4"/>
  <c r="AD203" i="4"/>
  <c r="AC203" i="4"/>
  <c r="AB203" i="4"/>
  <c r="Z203" i="4"/>
  <c r="Y203" i="4"/>
  <c r="X203" i="4"/>
  <c r="W203" i="4"/>
  <c r="V203" i="4"/>
  <c r="U203" i="4"/>
  <c r="T203" i="4"/>
  <c r="S203" i="4"/>
  <c r="R203" i="4"/>
  <c r="Q203" i="4"/>
  <c r="P203" i="4"/>
  <c r="O203" i="4"/>
  <c r="N203" i="4"/>
  <c r="M203" i="4"/>
  <c r="L203" i="4"/>
  <c r="K203" i="4"/>
  <c r="J203" i="4"/>
  <c r="C203" i="4"/>
  <c r="A203" i="4"/>
  <c r="AD202" i="4"/>
  <c r="AC202" i="4"/>
  <c r="AB202" i="4"/>
  <c r="Z202" i="4"/>
  <c r="Y202" i="4"/>
  <c r="X202" i="4"/>
  <c r="W202" i="4"/>
  <c r="V202" i="4"/>
  <c r="U202" i="4"/>
  <c r="T202" i="4"/>
  <c r="S202" i="4"/>
  <c r="R202" i="4"/>
  <c r="Q202" i="4"/>
  <c r="P202" i="4"/>
  <c r="O202" i="4"/>
  <c r="N202" i="4"/>
  <c r="M202" i="4"/>
  <c r="L202" i="4"/>
  <c r="K202" i="4"/>
  <c r="J202" i="4"/>
  <c r="C202" i="4"/>
  <c r="A202" i="4"/>
  <c r="AD201" i="4"/>
  <c r="AC201" i="4"/>
  <c r="AB201" i="4"/>
  <c r="Z201" i="4"/>
  <c r="Y201" i="4"/>
  <c r="X201" i="4"/>
  <c r="W201" i="4"/>
  <c r="V201" i="4"/>
  <c r="U201" i="4"/>
  <c r="T201" i="4"/>
  <c r="S201" i="4"/>
  <c r="R201" i="4"/>
  <c r="Q201" i="4"/>
  <c r="P201" i="4"/>
  <c r="O201" i="4"/>
  <c r="N201" i="4"/>
  <c r="M201" i="4"/>
  <c r="L201" i="4"/>
  <c r="K201" i="4"/>
  <c r="J201" i="4"/>
  <c r="C201" i="4"/>
  <c r="A201" i="4"/>
  <c r="AD200" i="4"/>
  <c r="AC200" i="4"/>
  <c r="AB200" i="4"/>
  <c r="Z200" i="4"/>
  <c r="Y200" i="4"/>
  <c r="X200" i="4"/>
  <c r="W200" i="4"/>
  <c r="V200" i="4"/>
  <c r="U200" i="4"/>
  <c r="T200" i="4"/>
  <c r="S200" i="4"/>
  <c r="R200" i="4"/>
  <c r="Q200" i="4"/>
  <c r="P200" i="4"/>
  <c r="O200" i="4"/>
  <c r="N200" i="4"/>
  <c r="M200" i="4"/>
  <c r="L200" i="4"/>
  <c r="K200" i="4"/>
  <c r="J200" i="4"/>
  <c r="C200" i="4"/>
  <c r="A200" i="4"/>
  <c r="AD199" i="4"/>
  <c r="AC199" i="4"/>
  <c r="AB199" i="4"/>
  <c r="Z199" i="4"/>
  <c r="Y199" i="4"/>
  <c r="X199" i="4"/>
  <c r="W199" i="4"/>
  <c r="V199" i="4"/>
  <c r="U199" i="4"/>
  <c r="T199" i="4"/>
  <c r="S199" i="4"/>
  <c r="R199" i="4"/>
  <c r="Q199" i="4"/>
  <c r="P199" i="4"/>
  <c r="O199" i="4"/>
  <c r="N199" i="4"/>
  <c r="M199" i="4"/>
  <c r="L199" i="4"/>
  <c r="K199" i="4"/>
  <c r="J199" i="4"/>
  <c r="C199" i="4"/>
  <c r="A199" i="4"/>
  <c r="AD198" i="4"/>
  <c r="AC198" i="4"/>
  <c r="AB198" i="4"/>
  <c r="Z198" i="4"/>
  <c r="Y198" i="4"/>
  <c r="X198" i="4"/>
  <c r="W198" i="4"/>
  <c r="V198" i="4"/>
  <c r="U198" i="4"/>
  <c r="T198" i="4"/>
  <c r="S198" i="4"/>
  <c r="R198" i="4"/>
  <c r="Q198" i="4"/>
  <c r="P198" i="4"/>
  <c r="O198" i="4"/>
  <c r="N198" i="4"/>
  <c r="M198" i="4"/>
  <c r="L198" i="4"/>
  <c r="K198" i="4"/>
  <c r="J198" i="4"/>
  <c r="C198" i="4"/>
  <c r="A198" i="4"/>
  <c r="AD197" i="4"/>
  <c r="AC197" i="4"/>
  <c r="AB197" i="4"/>
  <c r="Z197" i="4"/>
  <c r="Y197" i="4"/>
  <c r="X197" i="4"/>
  <c r="W197" i="4"/>
  <c r="V197" i="4"/>
  <c r="U197" i="4"/>
  <c r="T197" i="4"/>
  <c r="S197" i="4"/>
  <c r="R197" i="4"/>
  <c r="Q197" i="4"/>
  <c r="P197" i="4"/>
  <c r="O197" i="4"/>
  <c r="N197" i="4"/>
  <c r="M197" i="4"/>
  <c r="L197" i="4"/>
  <c r="K197" i="4"/>
  <c r="J197" i="4"/>
  <c r="C197" i="4"/>
  <c r="A197" i="4"/>
  <c r="AD196" i="4"/>
  <c r="AC196" i="4"/>
  <c r="AB196" i="4"/>
  <c r="Z196" i="4"/>
  <c r="Y196" i="4"/>
  <c r="X196" i="4"/>
  <c r="W196" i="4"/>
  <c r="V196" i="4"/>
  <c r="U196" i="4"/>
  <c r="T196" i="4"/>
  <c r="S196" i="4"/>
  <c r="R196" i="4"/>
  <c r="Q196" i="4"/>
  <c r="P196" i="4"/>
  <c r="O196" i="4"/>
  <c r="N196" i="4"/>
  <c r="M196" i="4"/>
  <c r="L196" i="4"/>
  <c r="K196" i="4"/>
  <c r="J196" i="4"/>
  <c r="C196" i="4"/>
  <c r="A196" i="4"/>
  <c r="AD195" i="4"/>
  <c r="AC195" i="4"/>
  <c r="AB195" i="4"/>
  <c r="Z195" i="4"/>
  <c r="Y195" i="4"/>
  <c r="X195" i="4"/>
  <c r="W195" i="4"/>
  <c r="V195" i="4"/>
  <c r="U195" i="4"/>
  <c r="T195" i="4"/>
  <c r="S195" i="4"/>
  <c r="R195" i="4"/>
  <c r="Q195" i="4"/>
  <c r="P195" i="4"/>
  <c r="O195" i="4"/>
  <c r="N195" i="4"/>
  <c r="M195" i="4"/>
  <c r="L195" i="4"/>
  <c r="K195" i="4"/>
  <c r="J195" i="4"/>
  <c r="C195" i="4"/>
  <c r="A195" i="4"/>
  <c r="AD194" i="4"/>
  <c r="AC194" i="4"/>
  <c r="AB194" i="4"/>
  <c r="Z194" i="4"/>
  <c r="Y194" i="4"/>
  <c r="X194" i="4"/>
  <c r="W194" i="4"/>
  <c r="V194" i="4"/>
  <c r="U194" i="4"/>
  <c r="T194" i="4"/>
  <c r="S194" i="4"/>
  <c r="R194" i="4"/>
  <c r="Q194" i="4"/>
  <c r="P194" i="4"/>
  <c r="O194" i="4"/>
  <c r="N194" i="4"/>
  <c r="M194" i="4"/>
  <c r="L194" i="4"/>
  <c r="K194" i="4"/>
  <c r="J194" i="4"/>
  <c r="C194" i="4"/>
  <c r="A194" i="4"/>
  <c r="AD193" i="4"/>
  <c r="AC193" i="4"/>
  <c r="AB193" i="4"/>
  <c r="Z193" i="4"/>
  <c r="Y193" i="4"/>
  <c r="X193" i="4"/>
  <c r="W193" i="4"/>
  <c r="V193" i="4"/>
  <c r="U193" i="4"/>
  <c r="T193" i="4"/>
  <c r="S193" i="4"/>
  <c r="R193" i="4"/>
  <c r="Q193" i="4"/>
  <c r="P193" i="4"/>
  <c r="O193" i="4"/>
  <c r="N193" i="4"/>
  <c r="M193" i="4"/>
  <c r="L193" i="4"/>
  <c r="K193" i="4"/>
  <c r="J193" i="4"/>
  <c r="C193" i="4"/>
  <c r="A193" i="4"/>
  <c r="AD192" i="4"/>
  <c r="AC192" i="4"/>
  <c r="AB192" i="4"/>
  <c r="Z192" i="4"/>
  <c r="Y192" i="4"/>
  <c r="X192" i="4"/>
  <c r="W192" i="4"/>
  <c r="V192" i="4"/>
  <c r="U192" i="4"/>
  <c r="T192" i="4"/>
  <c r="S192" i="4"/>
  <c r="R192" i="4"/>
  <c r="Q192" i="4"/>
  <c r="P192" i="4"/>
  <c r="O192" i="4"/>
  <c r="N192" i="4"/>
  <c r="M192" i="4"/>
  <c r="L192" i="4"/>
  <c r="K192" i="4"/>
  <c r="J192" i="4"/>
  <c r="C192" i="4"/>
  <c r="A192" i="4"/>
  <c r="AD191" i="4"/>
  <c r="AC191" i="4"/>
  <c r="AB191" i="4"/>
  <c r="Z191" i="4"/>
  <c r="Y191" i="4"/>
  <c r="X191" i="4"/>
  <c r="W191" i="4"/>
  <c r="V191" i="4"/>
  <c r="U191" i="4"/>
  <c r="T191" i="4"/>
  <c r="S191" i="4"/>
  <c r="R191" i="4"/>
  <c r="Q191" i="4"/>
  <c r="P191" i="4"/>
  <c r="O191" i="4"/>
  <c r="N191" i="4"/>
  <c r="M191" i="4"/>
  <c r="L191" i="4"/>
  <c r="K191" i="4"/>
  <c r="J191" i="4"/>
  <c r="C191" i="4"/>
  <c r="A191" i="4"/>
  <c r="AD190" i="4"/>
  <c r="AC190" i="4"/>
  <c r="AB190" i="4"/>
  <c r="Z190" i="4"/>
  <c r="Y190" i="4"/>
  <c r="X190" i="4"/>
  <c r="W190" i="4"/>
  <c r="V190" i="4"/>
  <c r="U190" i="4"/>
  <c r="T190" i="4"/>
  <c r="S190" i="4"/>
  <c r="R190" i="4"/>
  <c r="Q190" i="4"/>
  <c r="P190" i="4"/>
  <c r="O190" i="4"/>
  <c r="N190" i="4"/>
  <c r="M190" i="4"/>
  <c r="L190" i="4"/>
  <c r="K190" i="4"/>
  <c r="J190" i="4"/>
  <c r="C190" i="4"/>
  <c r="A190" i="4"/>
  <c r="AD189" i="4"/>
  <c r="AC189" i="4"/>
  <c r="AB189" i="4"/>
  <c r="Z189" i="4"/>
  <c r="Y189" i="4"/>
  <c r="X189" i="4"/>
  <c r="W189" i="4"/>
  <c r="V189" i="4"/>
  <c r="U189" i="4"/>
  <c r="T189" i="4"/>
  <c r="S189" i="4"/>
  <c r="R189" i="4"/>
  <c r="Q189" i="4"/>
  <c r="P189" i="4"/>
  <c r="O189" i="4"/>
  <c r="N189" i="4"/>
  <c r="M189" i="4"/>
  <c r="L189" i="4"/>
  <c r="K189" i="4"/>
  <c r="J189" i="4"/>
  <c r="C189" i="4"/>
  <c r="A189" i="4"/>
  <c r="AD188" i="4"/>
  <c r="AC188" i="4"/>
  <c r="AB188" i="4"/>
  <c r="Z188" i="4"/>
  <c r="Y188" i="4"/>
  <c r="X188" i="4"/>
  <c r="W188" i="4"/>
  <c r="V188" i="4"/>
  <c r="U188" i="4"/>
  <c r="T188" i="4"/>
  <c r="S188" i="4"/>
  <c r="R188" i="4"/>
  <c r="Q188" i="4"/>
  <c r="P188" i="4"/>
  <c r="O188" i="4"/>
  <c r="N188" i="4"/>
  <c r="M188" i="4"/>
  <c r="L188" i="4"/>
  <c r="K188" i="4"/>
  <c r="J188" i="4"/>
  <c r="C188" i="4"/>
  <c r="A188" i="4"/>
  <c r="AD187" i="4"/>
  <c r="AC187" i="4"/>
  <c r="AB187" i="4"/>
  <c r="Z187" i="4"/>
  <c r="Y187" i="4"/>
  <c r="X187" i="4"/>
  <c r="W187" i="4"/>
  <c r="V187" i="4"/>
  <c r="U187" i="4"/>
  <c r="T187" i="4"/>
  <c r="S187" i="4"/>
  <c r="R187" i="4"/>
  <c r="Q187" i="4"/>
  <c r="P187" i="4"/>
  <c r="O187" i="4"/>
  <c r="N187" i="4"/>
  <c r="M187" i="4"/>
  <c r="L187" i="4"/>
  <c r="K187" i="4"/>
  <c r="J187" i="4"/>
  <c r="C187" i="4"/>
  <c r="A187" i="4"/>
  <c r="AD186" i="4"/>
  <c r="AC186" i="4"/>
  <c r="AB186" i="4"/>
  <c r="Z186" i="4"/>
  <c r="Y186" i="4"/>
  <c r="X186" i="4"/>
  <c r="W186" i="4"/>
  <c r="V186" i="4"/>
  <c r="U186" i="4"/>
  <c r="T186" i="4"/>
  <c r="S186" i="4"/>
  <c r="R186" i="4"/>
  <c r="Q186" i="4"/>
  <c r="P186" i="4"/>
  <c r="O186" i="4"/>
  <c r="N186" i="4"/>
  <c r="M186" i="4"/>
  <c r="L186" i="4"/>
  <c r="K186" i="4"/>
  <c r="J186" i="4"/>
  <c r="C186" i="4"/>
  <c r="A186" i="4"/>
  <c r="AD185" i="4"/>
  <c r="AC185" i="4"/>
  <c r="AB185" i="4"/>
  <c r="Z185" i="4"/>
  <c r="Y185" i="4"/>
  <c r="X185" i="4"/>
  <c r="W185" i="4"/>
  <c r="V185" i="4"/>
  <c r="U185" i="4"/>
  <c r="T185" i="4"/>
  <c r="S185" i="4"/>
  <c r="R185" i="4"/>
  <c r="Q185" i="4"/>
  <c r="P185" i="4"/>
  <c r="O185" i="4"/>
  <c r="N185" i="4"/>
  <c r="M185" i="4"/>
  <c r="L185" i="4"/>
  <c r="K185" i="4"/>
  <c r="J185" i="4"/>
  <c r="C185" i="4"/>
  <c r="A185" i="4"/>
  <c r="AD184" i="4"/>
  <c r="AC184" i="4"/>
  <c r="AB184" i="4"/>
  <c r="Z184" i="4"/>
  <c r="Y184" i="4"/>
  <c r="X184" i="4"/>
  <c r="W184" i="4"/>
  <c r="V184" i="4"/>
  <c r="U184" i="4"/>
  <c r="T184" i="4"/>
  <c r="S184" i="4"/>
  <c r="R184" i="4"/>
  <c r="Q184" i="4"/>
  <c r="P184" i="4"/>
  <c r="O184" i="4"/>
  <c r="N184" i="4"/>
  <c r="M184" i="4"/>
  <c r="L184" i="4"/>
  <c r="K184" i="4"/>
  <c r="J184" i="4"/>
  <c r="C184" i="4"/>
  <c r="A184" i="4"/>
  <c r="AD183" i="4"/>
  <c r="AC183" i="4"/>
  <c r="AB183" i="4"/>
  <c r="Z183" i="4"/>
  <c r="Y183" i="4"/>
  <c r="X183" i="4"/>
  <c r="W183" i="4"/>
  <c r="V183" i="4"/>
  <c r="U183" i="4"/>
  <c r="T183" i="4"/>
  <c r="S183" i="4"/>
  <c r="R183" i="4"/>
  <c r="Q183" i="4"/>
  <c r="P183" i="4"/>
  <c r="O183" i="4"/>
  <c r="N183" i="4"/>
  <c r="M183" i="4"/>
  <c r="L183" i="4"/>
  <c r="K183" i="4"/>
  <c r="J183" i="4"/>
  <c r="C183" i="4"/>
  <c r="A183" i="4"/>
  <c r="AD182" i="4"/>
  <c r="AC182" i="4"/>
  <c r="AB182" i="4"/>
  <c r="Z182" i="4"/>
  <c r="Y182" i="4"/>
  <c r="X182" i="4"/>
  <c r="W182" i="4"/>
  <c r="V182" i="4"/>
  <c r="U182" i="4"/>
  <c r="T182" i="4"/>
  <c r="S182" i="4"/>
  <c r="R182" i="4"/>
  <c r="Q182" i="4"/>
  <c r="P182" i="4"/>
  <c r="O182" i="4"/>
  <c r="N182" i="4"/>
  <c r="M182" i="4"/>
  <c r="L182" i="4"/>
  <c r="K182" i="4"/>
  <c r="J182" i="4"/>
  <c r="C182" i="4"/>
  <c r="A182" i="4"/>
  <c r="AD181" i="4"/>
  <c r="AC181" i="4"/>
  <c r="AB181" i="4"/>
  <c r="Z181" i="4"/>
  <c r="Y181" i="4"/>
  <c r="X181" i="4"/>
  <c r="W181" i="4"/>
  <c r="V181" i="4"/>
  <c r="U181" i="4"/>
  <c r="T181" i="4"/>
  <c r="S181" i="4"/>
  <c r="R181" i="4"/>
  <c r="Q181" i="4"/>
  <c r="P181" i="4"/>
  <c r="O181" i="4"/>
  <c r="N181" i="4"/>
  <c r="M181" i="4"/>
  <c r="L181" i="4"/>
  <c r="K181" i="4"/>
  <c r="J181" i="4"/>
  <c r="C181" i="4"/>
  <c r="A181" i="4"/>
  <c r="AD180" i="4"/>
  <c r="AC180" i="4"/>
  <c r="AB180" i="4"/>
  <c r="Z180" i="4"/>
  <c r="Y180" i="4"/>
  <c r="X180" i="4"/>
  <c r="W180" i="4"/>
  <c r="V180" i="4"/>
  <c r="U180" i="4"/>
  <c r="T180" i="4"/>
  <c r="S180" i="4"/>
  <c r="R180" i="4"/>
  <c r="Q180" i="4"/>
  <c r="P180" i="4"/>
  <c r="O180" i="4"/>
  <c r="N180" i="4"/>
  <c r="M180" i="4"/>
  <c r="L180" i="4"/>
  <c r="K180" i="4"/>
  <c r="J180" i="4"/>
  <c r="C180" i="4"/>
  <c r="A180" i="4"/>
  <c r="AD179" i="4"/>
  <c r="AC179" i="4"/>
  <c r="AB179" i="4"/>
  <c r="Z179" i="4"/>
  <c r="Y179" i="4"/>
  <c r="X179" i="4"/>
  <c r="W179" i="4"/>
  <c r="V179" i="4"/>
  <c r="U179" i="4"/>
  <c r="T179" i="4"/>
  <c r="S179" i="4"/>
  <c r="R179" i="4"/>
  <c r="Q179" i="4"/>
  <c r="P179" i="4"/>
  <c r="O179" i="4"/>
  <c r="N179" i="4"/>
  <c r="M179" i="4"/>
  <c r="L179" i="4"/>
  <c r="K179" i="4"/>
  <c r="J179" i="4"/>
  <c r="C179" i="4"/>
  <c r="A179" i="4"/>
  <c r="AD178" i="4"/>
  <c r="AC178" i="4"/>
  <c r="AB178" i="4"/>
  <c r="Z178" i="4"/>
  <c r="Y178" i="4"/>
  <c r="X178" i="4"/>
  <c r="W178" i="4"/>
  <c r="V178" i="4"/>
  <c r="U178" i="4"/>
  <c r="T178" i="4"/>
  <c r="S178" i="4"/>
  <c r="R178" i="4"/>
  <c r="Q178" i="4"/>
  <c r="P178" i="4"/>
  <c r="O178" i="4"/>
  <c r="N178" i="4"/>
  <c r="M178" i="4"/>
  <c r="L178" i="4"/>
  <c r="K178" i="4"/>
  <c r="J178" i="4"/>
  <c r="C178" i="4"/>
  <c r="A178" i="4"/>
  <c r="AD177" i="4"/>
  <c r="AC177" i="4"/>
  <c r="AB177" i="4"/>
  <c r="Z177" i="4"/>
  <c r="Y177" i="4"/>
  <c r="X177" i="4"/>
  <c r="W177" i="4"/>
  <c r="V177" i="4"/>
  <c r="U177" i="4"/>
  <c r="T177" i="4"/>
  <c r="S177" i="4"/>
  <c r="R177" i="4"/>
  <c r="Q177" i="4"/>
  <c r="P177" i="4"/>
  <c r="O177" i="4"/>
  <c r="N177" i="4"/>
  <c r="M177" i="4"/>
  <c r="L177" i="4"/>
  <c r="K177" i="4"/>
  <c r="J177" i="4"/>
  <c r="C177" i="4"/>
  <c r="A177" i="4"/>
  <c r="AD176" i="4"/>
  <c r="AC176" i="4"/>
  <c r="AB176" i="4"/>
  <c r="Z176" i="4"/>
  <c r="Y176" i="4"/>
  <c r="X176" i="4"/>
  <c r="W176" i="4"/>
  <c r="V176" i="4"/>
  <c r="U176" i="4"/>
  <c r="T176" i="4"/>
  <c r="S176" i="4"/>
  <c r="R176" i="4"/>
  <c r="Q176" i="4"/>
  <c r="P176" i="4"/>
  <c r="O176" i="4"/>
  <c r="N176" i="4"/>
  <c r="M176" i="4"/>
  <c r="L176" i="4"/>
  <c r="K176" i="4"/>
  <c r="J176" i="4"/>
  <c r="C176" i="4"/>
  <c r="A176" i="4"/>
  <c r="AD175" i="4"/>
  <c r="AC175" i="4"/>
  <c r="AB175" i="4"/>
  <c r="Z175" i="4"/>
  <c r="Y175" i="4"/>
  <c r="X175" i="4"/>
  <c r="W175" i="4"/>
  <c r="V175" i="4"/>
  <c r="U175" i="4"/>
  <c r="T175" i="4"/>
  <c r="S175" i="4"/>
  <c r="R175" i="4"/>
  <c r="Q175" i="4"/>
  <c r="P175" i="4"/>
  <c r="O175" i="4"/>
  <c r="N175" i="4"/>
  <c r="M175" i="4"/>
  <c r="L175" i="4"/>
  <c r="K175" i="4"/>
  <c r="J175" i="4"/>
  <c r="C175" i="4"/>
  <c r="A175" i="4"/>
  <c r="AD174" i="4"/>
  <c r="AC174" i="4"/>
  <c r="AB174" i="4"/>
  <c r="Z174" i="4"/>
  <c r="Y174" i="4"/>
  <c r="X174" i="4"/>
  <c r="W174" i="4"/>
  <c r="V174" i="4"/>
  <c r="U174" i="4"/>
  <c r="T174" i="4"/>
  <c r="S174" i="4"/>
  <c r="R174" i="4"/>
  <c r="Q174" i="4"/>
  <c r="P174" i="4"/>
  <c r="O174" i="4"/>
  <c r="N174" i="4"/>
  <c r="M174" i="4"/>
  <c r="L174" i="4"/>
  <c r="K174" i="4"/>
  <c r="J174" i="4"/>
  <c r="C174" i="4"/>
  <c r="A174" i="4"/>
  <c r="AD173" i="4"/>
  <c r="AC173" i="4"/>
  <c r="AB173" i="4"/>
  <c r="Z173" i="4"/>
  <c r="Y173" i="4"/>
  <c r="X173" i="4"/>
  <c r="W173" i="4"/>
  <c r="V173" i="4"/>
  <c r="U173" i="4"/>
  <c r="T173" i="4"/>
  <c r="S173" i="4"/>
  <c r="R173" i="4"/>
  <c r="Q173" i="4"/>
  <c r="P173" i="4"/>
  <c r="O173" i="4"/>
  <c r="N173" i="4"/>
  <c r="M173" i="4"/>
  <c r="L173" i="4"/>
  <c r="K173" i="4"/>
  <c r="J173" i="4"/>
  <c r="C173" i="4"/>
  <c r="A173" i="4"/>
  <c r="AD172" i="4"/>
  <c r="AC172" i="4"/>
  <c r="AB172" i="4"/>
  <c r="Z172" i="4"/>
  <c r="Y172" i="4"/>
  <c r="X172" i="4"/>
  <c r="W172" i="4"/>
  <c r="V172" i="4"/>
  <c r="U172" i="4"/>
  <c r="T172" i="4"/>
  <c r="S172" i="4"/>
  <c r="R172" i="4"/>
  <c r="Q172" i="4"/>
  <c r="P172" i="4"/>
  <c r="O172" i="4"/>
  <c r="N172" i="4"/>
  <c r="M172" i="4"/>
  <c r="L172" i="4"/>
  <c r="K172" i="4"/>
  <c r="J172" i="4"/>
  <c r="C172" i="4"/>
  <c r="A172" i="4"/>
  <c r="AD171" i="4"/>
  <c r="AC171" i="4"/>
  <c r="AB171" i="4"/>
  <c r="Z171" i="4"/>
  <c r="Y171" i="4"/>
  <c r="X171" i="4"/>
  <c r="W171" i="4"/>
  <c r="V171" i="4"/>
  <c r="U171" i="4"/>
  <c r="T171" i="4"/>
  <c r="S171" i="4"/>
  <c r="R171" i="4"/>
  <c r="Q171" i="4"/>
  <c r="P171" i="4"/>
  <c r="O171" i="4"/>
  <c r="N171" i="4"/>
  <c r="M171" i="4"/>
  <c r="L171" i="4"/>
  <c r="K171" i="4"/>
  <c r="J171" i="4"/>
  <c r="C171" i="4"/>
  <c r="A171" i="4"/>
  <c r="AD170" i="4"/>
  <c r="AC170" i="4"/>
  <c r="AB170" i="4"/>
  <c r="Z170" i="4"/>
  <c r="Y170" i="4"/>
  <c r="X170" i="4"/>
  <c r="W170" i="4"/>
  <c r="V170" i="4"/>
  <c r="U170" i="4"/>
  <c r="T170" i="4"/>
  <c r="S170" i="4"/>
  <c r="R170" i="4"/>
  <c r="Q170" i="4"/>
  <c r="P170" i="4"/>
  <c r="O170" i="4"/>
  <c r="N170" i="4"/>
  <c r="M170" i="4"/>
  <c r="L170" i="4"/>
  <c r="K170" i="4"/>
  <c r="J170" i="4"/>
  <c r="C170" i="4"/>
  <c r="A170" i="4"/>
  <c r="AD169" i="4"/>
  <c r="AC169" i="4"/>
  <c r="AB169" i="4"/>
  <c r="Z169" i="4"/>
  <c r="Y169" i="4"/>
  <c r="X169" i="4"/>
  <c r="W169" i="4"/>
  <c r="V169" i="4"/>
  <c r="U169" i="4"/>
  <c r="T169" i="4"/>
  <c r="S169" i="4"/>
  <c r="R169" i="4"/>
  <c r="Q169" i="4"/>
  <c r="P169" i="4"/>
  <c r="O169" i="4"/>
  <c r="N169" i="4"/>
  <c r="M169" i="4"/>
  <c r="L169" i="4"/>
  <c r="K169" i="4"/>
  <c r="J169" i="4"/>
  <c r="C169" i="4"/>
  <c r="A169" i="4"/>
  <c r="AD168" i="4"/>
  <c r="AC168" i="4"/>
  <c r="AB168" i="4"/>
  <c r="Z168" i="4"/>
  <c r="Y168" i="4"/>
  <c r="X168" i="4"/>
  <c r="W168" i="4"/>
  <c r="V168" i="4"/>
  <c r="U168" i="4"/>
  <c r="T168" i="4"/>
  <c r="S168" i="4"/>
  <c r="R168" i="4"/>
  <c r="Q168" i="4"/>
  <c r="P168" i="4"/>
  <c r="O168" i="4"/>
  <c r="N168" i="4"/>
  <c r="M168" i="4"/>
  <c r="L168" i="4"/>
  <c r="K168" i="4"/>
  <c r="J168" i="4"/>
  <c r="C168" i="4"/>
  <c r="A168" i="4"/>
  <c r="AD167" i="4"/>
  <c r="AC167" i="4"/>
  <c r="AB167" i="4"/>
  <c r="Z167" i="4"/>
  <c r="Y167" i="4"/>
  <c r="X167" i="4"/>
  <c r="W167" i="4"/>
  <c r="V167" i="4"/>
  <c r="U167" i="4"/>
  <c r="T167" i="4"/>
  <c r="S167" i="4"/>
  <c r="R167" i="4"/>
  <c r="Q167" i="4"/>
  <c r="P167" i="4"/>
  <c r="O167" i="4"/>
  <c r="N167" i="4"/>
  <c r="M167" i="4"/>
  <c r="L167" i="4"/>
  <c r="K167" i="4"/>
  <c r="J167" i="4"/>
  <c r="C167" i="4"/>
  <c r="A167" i="4"/>
  <c r="AD166" i="4"/>
  <c r="AC166" i="4"/>
  <c r="AB166" i="4"/>
  <c r="Z166" i="4"/>
  <c r="Y166" i="4"/>
  <c r="X166" i="4"/>
  <c r="W166" i="4"/>
  <c r="V166" i="4"/>
  <c r="U166" i="4"/>
  <c r="T166" i="4"/>
  <c r="S166" i="4"/>
  <c r="R166" i="4"/>
  <c r="Q166" i="4"/>
  <c r="P166" i="4"/>
  <c r="O166" i="4"/>
  <c r="N166" i="4"/>
  <c r="M166" i="4"/>
  <c r="L166" i="4"/>
  <c r="K166" i="4"/>
  <c r="J166" i="4"/>
  <c r="C166" i="4"/>
  <c r="A166" i="4"/>
  <c r="AD165" i="4"/>
  <c r="AC165" i="4"/>
  <c r="AB165" i="4"/>
  <c r="Z165" i="4"/>
  <c r="Y165" i="4"/>
  <c r="X165" i="4"/>
  <c r="W165" i="4"/>
  <c r="V165" i="4"/>
  <c r="U165" i="4"/>
  <c r="T165" i="4"/>
  <c r="S165" i="4"/>
  <c r="R165" i="4"/>
  <c r="Q165" i="4"/>
  <c r="P165" i="4"/>
  <c r="O165" i="4"/>
  <c r="N165" i="4"/>
  <c r="M165" i="4"/>
  <c r="L165" i="4"/>
  <c r="K165" i="4"/>
  <c r="J165" i="4"/>
  <c r="C165" i="4"/>
  <c r="A165" i="4"/>
  <c r="AD164" i="4"/>
  <c r="AC164" i="4"/>
  <c r="AB164" i="4"/>
  <c r="Z164" i="4"/>
  <c r="Y164" i="4"/>
  <c r="X164" i="4"/>
  <c r="W164" i="4"/>
  <c r="V164" i="4"/>
  <c r="U164" i="4"/>
  <c r="T164" i="4"/>
  <c r="S164" i="4"/>
  <c r="R164" i="4"/>
  <c r="Q164" i="4"/>
  <c r="P164" i="4"/>
  <c r="O164" i="4"/>
  <c r="N164" i="4"/>
  <c r="M164" i="4"/>
  <c r="L164" i="4"/>
  <c r="K164" i="4"/>
  <c r="J164" i="4"/>
  <c r="C164" i="4"/>
  <c r="A164" i="4"/>
  <c r="AD163" i="4"/>
  <c r="AC163" i="4"/>
  <c r="AB163" i="4"/>
  <c r="Z163" i="4"/>
  <c r="Y163" i="4"/>
  <c r="X163" i="4"/>
  <c r="W163" i="4"/>
  <c r="V163" i="4"/>
  <c r="U163" i="4"/>
  <c r="T163" i="4"/>
  <c r="S163" i="4"/>
  <c r="R163" i="4"/>
  <c r="Q163" i="4"/>
  <c r="P163" i="4"/>
  <c r="O163" i="4"/>
  <c r="N163" i="4"/>
  <c r="M163" i="4"/>
  <c r="L163" i="4"/>
  <c r="K163" i="4"/>
  <c r="J163" i="4"/>
  <c r="C163" i="4"/>
  <c r="A163" i="4"/>
  <c r="AD162" i="4"/>
  <c r="AC162" i="4"/>
  <c r="AB162" i="4"/>
  <c r="Z162" i="4"/>
  <c r="Y162" i="4"/>
  <c r="X162" i="4"/>
  <c r="W162" i="4"/>
  <c r="V162" i="4"/>
  <c r="U162" i="4"/>
  <c r="T162" i="4"/>
  <c r="S162" i="4"/>
  <c r="R162" i="4"/>
  <c r="Q162" i="4"/>
  <c r="P162" i="4"/>
  <c r="O162" i="4"/>
  <c r="N162" i="4"/>
  <c r="M162" i="4"/>
  <c r="L162" i="4"/>
  <c r="K162" i="4"/>
  <c r="J162" i="4"/>
  <c r="C162" i="4"/>
  <c r="A162" i="4"/>
  <c r="AD161" i="4"/>
  <c r="AC161" i="4"/>
  <c r="AB161" i="4"/>
  <c r="Z161" i="4"/>
  <c r="Y161" i="4"/>
  <c r="X161" i="4"/>
  <c r="W161" i="4"/>
  <c r="V161" i="4"/>
  <c r="U161" i="4"/>
  <c r="T161" i="4"/>
  <c r="S161" i="4"/>
  <c r="R161" i="4"/>
  <c r="Q161" i="4"/>
  <c r="P161" i="4"/>
  <c r="O161" i="4"/>
  <c r="N161" i="4"/>
  <c r="M161" i="4"/>
  <c r="L161" i="4"/>
  <c r="K161" i="4"/>
  <c r="J161" i="4"/>
  <c r="C161" i="4"/>
  <c r="A161" i="4"/>
  <c r="AD160" i="4"/>
  <c r="AC160" i="4"/>
  <c r="AB160" i="4"/>
  <c r="Z160" i="4"/>
  <c r="Y160" i="4"/>
  <c r="X160" i="4"/>
  <c r="W160" i="4"/>
  <c r="V160" i="4"/>
  <c r="U160" i="4"/>
  <c r="T160" i="4"/>
  <c r="S160" i="4"/>
  <c r="R160" i="4"/>
  <c r="Q160" i="4"/>
  <c r="P160" i="4"/>
  <c r="O160" i="4"/>
  <c r="N160" i="4"/>
  <c r="M160" i="4"/>
  <c r="L160" i="4"/>
  <c r="K160" i="4"/>
  <c r="J160" i="4"/>
  <c r="C160" i="4"/>
  <c r="A160" i="4"/>
  <c r="AD159" i="4"/>
  <c r="AC159" i="4"/>
  <c r="AB159" i="4"/>
  <c r="Z159" i="4"/>
  <c r="Y159" i="4"/>
  <c r="X159" i="4"/>
  <c r="W159" i="4"/>
  <c r="V159" i="4"/>
  <c r="U159" i="4"/>
  <c r="T159" i="4"/>
  <c r="S159" i="4"/>
  <c r="R159" i="4"/>
  <c r="Q159" i="4"/>
  <c r="P159" i="4"/>
  <c r="O159" i="4"/>
  <c r="N159" i="4"/>
  <c r="M159" i="4"/>
  <c r="L159" i="4"/>
  <c r="K159" i="4"/>
  <c r="J159" i="4"/>
  <c r="C159" i="4"/>
  <c r="A159" i="4"/>
  <c r="AD158" i="4"/>
  <c r="AC158" i="4"/>
  <c r="AB158" i="4"/>
  <c r="Z158" i="4"/>
  <c r="Y158" i="4"/>
  <c r="X158" i="4"/>
  <c r="W158" i="4"/>
  <c r="V158" i="4"/>
  <c r="U158" i="4"/>
  <c r="T158" i="4"/>
  <c r="S158" i="4"/>
  <c r="R158" i="4"/>
  <c r="Q158" i="4"/>
  <c r="P158" i="4"/>
  <c r="O158" i="4"/>
  <c r="N158" i="4"/>
  <c r="M158" i="4"/>
  <c r="L158" i="4"/>
  <c r="K158" i="4"/>
  <c r="J158" i="4"/>
  <c r="C158" i="4"/>
  <c r="A158" i="4"/>
  <c r="AD157" i="4"/>
  <c r="AC157" i="4"/>
  <c r="AB157" i="4"/>
  <c r="Z157" i="4"/>
  <c r="Y157" i="4"/>
  <c r="X157" i="4"/>
  <c r="W157" i="4"/>
  <c r="V157" i="4"/>
  <c r="U157" i="4"/>
  <c r="T157" i="4"/>
  <c r="S157" i="4"/>
  <c r="R157" i="4"/>
  <c r="Q157" i="4"/>
  <c r="P157" i="4"/>
  <c r="O157" i="4"/>
  <c r="N157" i="4"/>
  <c r="M157" i="4"/>
  <c r="L157" i="4"/>
  <c r="K157" i="4"/>
  <c r="J157" i="4"/>
  <c r="C157" i="4"/>
  <c r="A157" i="4"/>
  <c r="AD156" i="4"/>
  <c r="AC156" i="4"/>
  <c r="AB156" i="4"/>
  <c r="Z156" i="4"/>
  <c r="Y156" i="4"/>
  <c r="X156" i="4"/>
  <c r="W156" i="4"/>
  <c r="V156" i="4"/>
  <c r="U156" i="4"/>
  <c r="T156" i="4"/>
  <c r="S156" i="4"/>
  <c r="R156" i="4"/>
  <c r="Q156" i="4"/>
  <c r="P156" i="4"/>
  <c r="O156" i="4"/>
  <c r="N156" i="4"/>
  <c r="M156" i="4"/>
  <c r="L156" i="4"/>
  <c r="K156" i="4"/>
  <c r="J156" i="4"/>
  <c r="C156" i="4"/>
  <c r="A156" i="4"/>
  <c r="AD155" i="4"/>
  <c r="AC155" i="4"/>
  <c r="AB155" i="4"/>
  <c r="Z155" i="4"/>
  <c r="Y155" i="4"/>
  <c r="X155" i="4"/>
  <c r="W155" i="4"/>
  <c r="V155" i="4"/>
  <c r="U155" i="4"/>
  <c r="T155" i="4"/>
  <c r="S155" i="4"/>
  <c r="R155" i="4"/>
  <c r="Q155" i="4"/>
  <c r="P155" i="4"/>
  <c r="O155" i="4"/>
  <c r="N155" i="4"/>
  <c r="M155" i="4"/>
  <c r="L155" i="4"/>
  <c r="K155" i="4"/>
  <c r="J155" i="4"/>
  <c r="C155" i="4"/>
  <c r="A155" i="4"/>
  <c r="AD154" i="4"/>
  <c r="AC154" i="4"/>
  <c r="AB154" i="4"/>
  <c r="Z154" i="4"/>
  <c r="Y154" i="4"/>
  <c r="X154" i="4"/>
  <c r="W154" i="4"/>
  <c r="V154" i="4"/>
  <c r="U154" i="4"/>
  <c r="T154" i="4"/>
  <c r="S154" i="4"/>
  <c r="R154" i="4"/>
  <c r="Q154" i="4"/>
  <c r="P154" i="4"/>
  <c r="O154" i="4"/>
  <c r="N154" i="4"/>
  <c r="M154" i="4"/>
  <c r="L154" i="4"/>
  <c r="K154" i="4"/>
  <c r="J154" i="4"/>
  <c r="C154" i="4"/>
  <c r="A154" i="4"/>
  <c r="AD153" i="4"/>
  <c r="AC153" i="4"/>
  <c r="AB153" i="4"/>
  <c r="Z153" i="4"/>
  <c r="Y153" i="4"/>
  <c r="X153" i="4"/>
  <c r="W153" i="4"/>
  <c r="V153" i="4"/>
  <c r="U153" i="4"/>
  <c r="T153" i="4"/>
  <c r="S153" i="4"/>
  <c r="R153" i="4"/>
  <c r="Q153" i="4"/>
  <c r="P153" i="4"/>
  <c r="O153" i="4"/>
  <c r="N153" i="4"/>
  <c r="M153" i="4"/>
  <c r="L153" i="4"/>
  <c r="K153" i="4"/>
  <c r="J153" i="4"/>
  <c r="C153" i="4"/>
  <c r="A153" i="4"/>
  <c r="AD152" i="4"/>
  <c r="AC152" i="4"/>
  <c r="AB152" i="4"/>
  <c r="Z152" i="4"/>
  <c r="Y152" i="4"/>
  <c r="X152" i="4"/>
  <c r="W152" i="4"/>
  <c r="V152" i="4"/>
  <c r="U152" i="4"/>
  <c r="T152" i="4"/>
  <c r="S152" i="4"/>
  <c r="R152" i="4"/>
  <c r="Q152" i="4"/>
  <c r="P152" i="4"/>
  <c r="O152" i="4"/>
  <c r="N152" i="4"/>
  <c r="M152" i="4"/>
  <c r="L152" i="4"/>
  <c r="K152" i="4"/>
  <c r="J152" i="4"/>
  <c r="C152" i="4"/>
  <c r="A152" i="4"/>
  <c r="AD151" i="4"/>
  <c r="AC151" i="4"/>
  <c r="AB151" i="4"/>
  <c r="Z151" i="4"/>
  <c r="Y151" i="4"/>
  <c r="X151" i="4"/>
  <c r="W151" i="4"/>
  <c r="V151" i="4"/>
  <c r="U151" i="4"/>
  <c r="T151" i="4"/>
  <c r="S151" i="4"/>
  <c r="R151" i="4"/>
  <c r="Q151" i="4"/>
  <c r="P151" i="4"/>
  <c r="O151" i="4"/>
  <c r="N151" i="4"/>
  <c r="M151" i="4"/>
  <c r="L151" i="4"/>
  <c r="K151" i="4"/>
  <c r="J151" i="4"/>
  <c r="C151" i="4"/>
  <c r="A151" i="4"/>
  <c r="AD150" i="4"/>
  <c r="AC150" i="4"/>
  <c r="AB150" i="4"/>
  <c r="Z150" i="4"/>
  <c r="Y150" i="4"/>
  <c r="X150" i="4"/>
  <c r="W150" i="4"/>
  <c r="V150" i="4"/>
  <c r="U150" i="4"/>
  <c r="T150" i="4"/>
  <c r="S150" i="4"/>
  <c r="R150" i="4"/>
  <c r="Q150" i="4"/>
  <c r="P150" i="4"/>
  <c r="O150" i="4"/>
  <c r="N150" i="4"/>
  <c r="M150" i="4"/>
  <c r="L150" i="4"/>
  <c r="K150" i="4"/>
  <c r="J150" i="4"/>
  <c r="C150" i="4"/>
  <c r="A150" i="4"/>
  <c r="AD149" i="4"/>
  <c r="AC149" i="4"/>
  <c r="AB149" i="4"/>
  <c r="Z149" i="4"/>
  <c r="Y149" i="4"/>
  <c r="X149" i="4"/>
  <c r="W149" i="4"/>
  <c r="V149" i="4"/>
  <c r="U149" i="4"/>
  <c r="T149" i="4"/>
  <c r="S149" i="4"/>
  <c r="R149" i="4"/>
  <c r="Q149" i="4"/>
  <c r="P149" i="4"/>
  <c r="O149" i="4"/>
  <c r="N149" i="4"/>
  <c r="M149" i="4"/>
  <c r="L149" i="4"/>
  <c r="K149" i="4"/>
  <c r="J149" i="4"/>
  <c r="C149" i="4"/>
  <c r="A149" i="4"/>
  <c r="AD148" i="4"/>
  <c r="AC148" i="4"/>
  <c r="AB148" i="4"/>
  <c r="Z148" i="4"/>
  <c r="Y148" i="4"/>
  <c r="X148" i="4"/>
  <c r="W148" i="4"/>
  <c r="V148" i="4"/>
  <c r="U148" i="4"/>
  <c r="T148" i="4"/>
  <c r="S148" i="4"/>
  <c r="R148" i="4"/>
  <c r="Q148" i="4"/>
  <c r="P148" i="4"/>
  <c r="O148" i="4"/>
  <c r="N148" i="4"/>
  <c r="M148" i="4"/>
  <c r="L148" i="4"/>
  <c r="K148" i="4"/>
  <c r="J148" i="4"/>
  <c r="C148" i="4"/>
  <c r="A148" i="4"/>
  <c r="AD147" i="4"/>
  <c r="AC147" i="4"/>
  <c r="AB147" i="4"/>
  <c r="Z147" i="4"/>
  <c r="Y147" i="4"/>
  <c r="X147" i="4"/>
  <c r="W147" i="4"/>
  <c r="V147" i="4"/>
  <c r="U147" i="4"/>
  <c r="T147" i="4"/>
  <c r="S147" i="4"/>
  <c r="R147" i="4"/>
  <c r="Q147" i="4"/>
  <c r="P147" i="4"/>
  <c r="O147" i="4"/>
  <c r="N147" i="4"/>
  <c r="M147" i="4"/>
  <c r="L147" i="4"/>
  <c r="K147" i="4"/>
  <c r="J147" i="4"/>
  <c r="C147" i="4"/>
  <c r="A147" i="4"/>
  <c r="AD146" i="4"/>
  <c r="AC146" i="4"/>
  <c r="AB146" i="4"/>
  <c r="Z146" i="4"/>
  <c r="Y146" i="4"/>
  <c r="X146" i="4"/>
  <c r="W146" i="4"/>
  <c r="V146" i="4"/>
  <c r="U146" i="4"/>
  <c r="T146" i="4"/>
  <c r="S146" i="4"/>
  <c r="R146" i="4"/>
  <c r="Q146" i="4"/>
  <c r="P146" i="4"/>
  <c r="O146" i="4"/>
  <c r="N146" i="4"/>
  <c r="M146" i="4"/>
  <c r="L146" i="4"/>
  <c r="K146" i="4"/>
  <c r="J146" i="4"/>
  <c r="C146" i="4"/>
  <c r="A146" i="4"/>
  <c r="AD145" i="4"/>
  <c r="AC145" i="4"/>
  <c r="AB145" i="4"/>
  <c r="Z145" i="4"/>
  <c r="Y145" i="4"/>
  <c r="X145" i="4"/>
  <c r="W145" i="4"/>
  <c r="V145" i="4"/>
  <c r="U145" i="4"/>
  <c r="T145" i="4"/>
  <c r="S145" i="4"/>
  <c r="R145" i="4"/>
  <c r="Q145" i="4"/>
  <c r="P145" i="4"/>
  <c r="O145" i="4"/>
  <c r="N145" i="4"/>
  <c r="M145" i="4"/>
  <c r="L145" i="4"/>
  <c r="K145" i="4"/>
  <c r="J145" i="4"/>
  <c r="C145" i="4"/>
  <c r="A145" i="4"/>
  <c r="AD144" i="4"/>
  <c r="AC144" i="4"/>
  <c r="AB144" i="4"/>
  <c r="Z144" i="4"/>
  <c r="Y144" i="4"/>
  <c r="X144" i="4"/>
  <c r="W144" i="4"/>
  <c r="V144" i="4"/>
  <c r="U144" i="4"/>
  <c r="T144" i="4"/>
  <c r="S144" i="4"/>
  <c r="R144" i="4"/>
  <c r="Q144" i="4"/>
  <c r="P144" i="4"/>
  <c r="O144" i="4"/>
  <c r="N144" i="4"/>
  <c r="M144" i="4"/>
  <c r="L144" i="4"/>
  <c r="K144" i="4"/>
  <c r="J144" i="4"/>
  <c r="C144" i="4"/>
  <c r="A144" i="4"/>
  <c r="AD143" i="4"/>
  <c r="AC143" i="4"/>
  <c r="AB143" i="4"/>
  <c r="Z143" i="4"/>
  <c r="Y143" i="4"/>
  <c r="X143" i="4"/>
  <c r="W143" i="4"/>
  <c r="V143" i="4"/>
  <c r="U143" i="4"/>
  <c r="T143" i="4"/>
  <c r="S143" i="4"/>
  <c r="R143" i="4"/>
  <c r="Q143" i="4"/>
  <c r="P143" i="4"/>
  <c r="O143" i="4"/>
  <c r="N143" i="4"/>
  <c r="M143" i="4"/>
  <c r="L143" i="4"/>
  <c r="K143" i="4"/>
  <c r="J143" i="4"/>
  <c r="C143" i="4"/>
  <c r="A143" i="4"/>
  <c r="AD142" i="4"/>
  <c r="AC142" i="4"/>
  <c r="AB142" i="4"/>
  <c r="Z142" i="4"/>
  <c r="Y142" i="4"/>
  <c r="X142" i="4"/>
  <c r="W142" i="4"/>
  <c r="V142" i="4"/>
  <c r="U142" i="4"/>
  <c r="T142" i="4"/>
  <c r="S142" i="4"/>
  <c r="R142" i="4"/>
  <c r="Q142" i="4"/>
  <c r="P142" i="4"/>
  <c r="O142" i="4"/>
  <c r="N142" i="4"/>
  <c r="M142" i="4"/>
  <c r="L142" i="4"/>
  <c r="K142" i="4"/>
  <c r="J142" i="4"/>
  <c r="C142" i="4"/>
  <c r="A142" i="4"/>
  <c r="AD141" i="4"/>
  <c r="AC141" i="4"/>
  <c r="AB141" i="4"/>
  <c r="Z141" i="4"/>
  <c r="Y141" i="4"/>
  <c r="X141" i="4"/>
  <c r="W141" i="4"/>
  <c r="V141" i="4"/>
  <c r="U141" i="4"/>
  <c r="T141" i="4"/>
  <c r="S141" i="4"/>
  <c r="R141" i="4"/>
  <c r="Q141" i="4"/>
  <c r="P141" i="4"/>
  <c r="O141" i="4"/>
  <c r="N141" i="4"/>
  <c r="M141" i="4"/>
  <c r="L141" i="4"/>
  <c r="K141" i="4"/>
  <c r="J141" i="4"/>
  <c r="C141" i="4"/>
  <c r="A141" i="4"/>
  <c r="AD140" i="4"/>
  <c r="AC140" i="4"/>
  <c r="AB140" i="4"/>
  <c r="Z140" i="4"/>
  <c r="Y140" i="4"/>
  <c r="X140" i="4"/>
  <c r="W140" i="4"/>
  <c r="V140" i="4"/>
  <c r="U140" i="4"/>
  <c r="T140" i="4"/>
  <c r="S140" i="4"/>
  <c r="R140" i="4"/>
  <c r="Q140" i="4"/>
  <c r="P140" i="4"/>
  <c r="O140" i="4"/>
  <c r="N140" i="4"/>
  <c r="M140" i="4"/>
  <c r="L140" i="4"/>
  <c r="K140" i="4"/>
  <c r="J140" i="4"/>
  <c r="C140" i="4"/>
  <c r="A140" i="4"/>
  <c r="AD139" i="4"/>
  <c r="AC139" i="4"/>
  <c r="AB139" i="4"/>
  <c r="Z139" i="4"/>
  <c r="Y139" i="4"/>
  <c r="X139" i="4"/>
  <c r="W139" i="4"/>
  <c r="V139" i="4"/>
  <c r="U139" i="4"/>
  <c r="T139" i="4"/>
  <c r="S139" i="4"/>
  <c r="R139" i="4"/>
  <c r="Q139" i="4"/>
  <c r="P139" i="4"/>
  <c r="O139" i="4"/>
  <c r="N139" i="4"/>
  <c r="M139" i="4"/>
  <c r="L139" i="4"/>
  <c r="K139" i="4"/>
  <c r="J139" i="4"/>
  <c r="C139" i="4"/>
  <c r="A139" i="4"/>
  <c r="AD138" i="4"/>
  <c r="AC138" i="4"/>
  <c r="AB138" i="4"/>
  <c r="Z138" i="4"/>
  <c r="Y138" i="4"/>
  <c r="X138" i="4"/>
  <c r="W138" i="4"/>
  <c r="V138" i="4"/>
  <c r="U138" i="4"/>
  <c r="T138" i="4"/>
  <c r="S138" i="4"/>
  <c r="R138" i="4"/>
  <c r="Q138" i="4"/>
  <c r="P138" i="4"/>
  <c r="O138" i="4"/>
  <c r="N138" i="4"/>
  <c r="M138" i="4"/>
  <c r="L138" i="4"/>
  <c r="K138" i="4"/>
  <c r="J138" i="4"/>
  <c r="C138" i="4"/>
  <c r="A138" i="4"/>
  <c r="AD137" i="4"/>
  <c r="AC137" i="4"/>
  <c r="AB137" i="4"/>
  <c r="Z137" i="4"/>
  <c r="Y137" i="4"/>
  <c r="X137" i="4"/>
  <c r="W137" i="4"/>
  <c r="V137" i="4"/>
  <c r="U137" i="4"/>
  <c r="T137" i="4"/>
  <c r="S137" i="4"/>
  <c r="R137" i="4"/>
  <c r="Q137" i="4"/>
  <c r="P137" i="4"/>
  <c r="O137" i="4"/>
  <c r="N137" i="4"/>
  <c r="M137" i="4"/>
  <c r="L137" i="4"/>
  <c r="K137" i="4"/>
  <c r="J137" i="4"/>
  <c r="C137" i="4"/>
  <c r="A137" i="4"/>
  <c r="AD136" i="4"/>
  <c r="AC136" i="4"/>
  <c r="AB136" i="4"/>
  <c r="Z136" i="4"/>
  <c r="Y136" i="4"/>
  <c r="X136" i="4"/>
  <c r="W136" i="4"/>
  <c r="V136" i="4"/>
  <c r="U136" i="4"/>
  <c r="T136" i="4"/>
  <c r="S136" i="4"/>
  <c r="R136" i="4"/>
  <c r="Q136" i="4"/>
  <c r="P136" i="4"/>
  <c r="O136" i="4"/>
  <c r="N136" i="4"/>
  <c r="M136" i="4"/>
  <c r="L136" i="4"/>
  <c r="K136" i="4"/>
  <c r="J136" i="4"/>
  <c r="C136" i="4"/>
  <c r="A136" i="4"/>
  <c r="AD135" i="4"/>
  <c r="AC135" i="4"/>
  <c r="AB135" i="4"/>
  <c r="Z135" i="4"/>
  <c r="Y135" i="4"/>
  <c r="X135" i="4"/>
  <c r="W135" i="4"/>
  <c r="V135" i="4"/>
  <c r="U135" i="4"/>
  <c r="T135" i="4"/>
  <c r="S135" i="4"/>
  <c r="R135" i="4"/>
  <c r="Q135" i="4"/>
  <c r="P135" i="4"/>
  <c r="O135" i="4"/>
  <c r="N135" i="4"/>
  <c r="M135" i="4"/>
  <c r="L135" i="4"/>
  <c r="K135" i="4"/>
  <c r="J135" i="4"/>
  <c r="C135" i="4"/>
  <c r="A135" i="4"/>
  <c r="AD134" i="4"/>
  <c r="AC134" i="4"/>
  <c r="AB134" i="4"/>
  <c r="Z134" i="4"/>
  <c r="Y134" i="4"/>
  <c r="X134" i="4"/>
  <c r="W134" i="4"/>
  <c r="V134" i="4"/>
  <c r="U134" i="4"/>
  <c r="T134" i="4"/>
  <c r="S134" i="4"/>
  <c r="R134" i="4"/>
  <c r="Q134" i="4"/>
  <c r="P134" i="4"/>
  <c r="O134" i="4"/>
  <c r="N134" i="4"/>
  <c r="M134" i="4"/>
  <c r="L134" i="4"/>
  <c r="K134" i="4"/>
  <c r="J134" i="4"/>
  <c r="C134" i="4"/>
  <c r="A134" i="4"/>
  <c r="AD133" i="4"/>
  <c r="AC133" i="4"/>
  <c r="AB133" i="4"/>
  <c r="Z133" i="4"/>
  <c r="Y133" i="4"/>
  <c r="X133" i="4"/>
  <c r="W133" i="4"/>
  <c r="V133" i="4"/>
  <c r="U133" i="4"/>
  <c r="T133" i="4"/>
  <c r="S133" i="4"/>
  <c r="R133" i="4"/>
  <c r="Q133" i="4"/>
  <c r="P133" i="4"/>
  <c r="O133" i="4"/>
  <c r="N133" i="4"/>
  <c r="M133" i="4"/>
  <c r="L133" i="4"/>
  <c r="K133" i="4"/>
  <c r="J133" i="4"/>
  <c r="C133" i="4"/>
  <c r="A133" i="4"/>
  <c r="AD132" i="4"/>
  <c r="AC132" i="4"/>
  <c r="AB132" i="4"/>
  <c r="Z132" i="4"/>
  <c r="Y132" i="4"/>
  <c r="X132" i="4"/>
  <c r="W132" i="4"/>
  <c r="V132" i="4"/>
  <c r="U132" i="4"/>
  <c r="T132" i="4"/>
  <c r="S132" i="4"/>
  <c r="R132" i="4"/>
  <c r="Q132" i="4"/>
  <c r="P132" i="4"/>
  <c r="O132" i="4"/>
  <c r="N132" i="4"/>
  <c r="M132" i="4"/>
  <c r="L132" i="4"/>
  <c r="K132" i="4"/>
  <c r="J132" i="4"/>
  <c r="C132" i="4"/>
  <c r="A132" i="4"/>
  <c r="AD131" i="4"/>
  <c r="AC131" i="4"/>
  <c r="AB131" i="4"/>
  <c r="Z131" i="4"/>
  <c r="Y131" i="4"/>
  <c r="X131" i="4"/>
  <c r="W131" i="4"/>
  <c r="V131" i="4"/>
  <c r="U131" i="4"/>
  <c r="T131" i="4"/>
  <c r="S131" i="4"/>
  <c r="R131" i="4"/>
  <c r="Q131" i="4"/>
  <c r="P131" i="4"/>
  <c r="O131" i="4"/>
  <c r="N131" i="4"/>
  <c r="M131" i="4"/>
  <c r="L131" i="4"/>
  <c r="K131" i="4"/>
  <c r="J131" i="4"/>
  <c r="C131" i="4"/>
  <c r="A131" i="4"/>
  <c r="AD130" i="4"/>
  <c r="AC130" i="4"/>
  <c r="AB130" i="4"/>
  <c r="Z130" i="4"/>
  <c r="Y130" i="4"/>
  <c r="X130" i="4"/>
  <c r="W130" i="4"/>
  <c r="V130" i="4"/>
  <c r="U130" i="4"/>
  <c r="T130" i="4"/>
  <c r="S130" i="4"/>
  <c r="R130" i="4"/>
  <c r="Q130" i="4"/>
  <c r="P130" i="4"/>
  <c r="O130" i="4"/>
  <c r="N130" i="4"/>
  <c r="M130" i="4"/>
  <c r="L130" i="4"/>
  <c r="K130" i="4"/>
  <c r="J130" i="4"/>
  <c r="C130" i="4"/>
  <c r="A130" i="4"/>
  <c r="AD129" i="4"/>
  <c r="AC129" i="4"/>
  <c r="AB129" i="4"/>
  <c r="Z129" i="4"/>
  <c r="Y129" i="4"/>
  <c r="X129" i="4"/>
  <c r="W129" i="4"/>
  <c r="V129" i="4"/>
  <c r="U129" i="4"/>
  <c r="T129" i="4"/>
  <c r="S129" i="4"/>
  <c r="R129" i="4"/>
  <c r="Q129" i="4"/>
  <c r="P129" i="4"/>
  <c r="O129" i="4"/>
  <c r="N129" i="4"/>
  <c r="M129" i="4"/>
  <c r="L129" i="4"/>
  <c r="K129" i="4"/>
  <c r="J129" i="4"/>
  <c r="C129" i="4"/>
  <c r="A129" i="4"/>
  <c r="AD128" i="4"/>
  <c r="AC128" i="4"/>
  <c r="AB128" i="4"/>
  <c r="Z128" i="4"/>
  <c r="Y128" i="4"/>
  <c r="X128" i="4"/>
  <c r="W128" i="4"/>
  <c r="V128" i="4"/>
  <c r="U128" i="4"/>
  <c r="T128" i="4"/>
  <c r="S128" i="4"/>
  <c r="R128" i="4"/>
  <c r="Q128" i="4"/>
  <c r="P128" i="4"/>
  <c r="O128" i="4"/>
  <c r="N128" i="4"/>
  <c r="M128" i="4"/>
  <c r="L128" i="4"/>
  <c r="K128" i="4"/>
  <c r="J128" i="4"/>
  <c r="C128" i="4"/>
  <c r="A128" i="4"/>
  <c r="AD127" i="4"/>
  <c r="AC127" i="4"/>
  <c r="AB127" i="4"/>
  <c r="Z127" i="4"/>
  <c r="Y127" i="4"/>
  <c r="X127" i="4"/>
  <c r="W127" i="4"/>
  <c r="V127" i="4"/>
  <c r="U127" i="4"/>
  <c r="T127" i="4"/>
  <c r="S127" i="4"/>
  <c r="R127" i="4"/>
  <c r="Q127" i="4"/>
  <c r="P127" i="4"/>
  <c r="O127" i="4"/>
  <c r="N127" i="4"/>
  <c r="M127" i="4"/>
  <c r="L127" i="4"/>
  <c r="K127" i="4"/>
  <c r="J127" i="4"/>
  <c r="C127" i="4"/>
  <c r="A127" i="4"/>
  <c r="AD126" i="4"/>
  <c r="AC126" i="4"/>
  <c r="AB126" i="4"/>
  <c r="Z126" i="4"/>
  <c r="Y126" i="4"/>
  <c r="X126" i="4"/>
  <c r="W126" i="4"/>
  <c r="V126" i="4"/>
  <c r="U126" i="4"/>
  <c r="T126" i="4"/>
  <c r="S126" i="4"/>
  <c r="R126" i="4"/>
  <c r="Q126" i="4"/>
  <c r="P126" i="4"/>
  <c r="O126" i="4"/>
  <c r="N126" i="4"/>
  <c r="M126" i="4"/>
  <c r="L126" i="4"/>
  <c r="K126" i="4"/>
  <c r="J126" i="4"/>
  <c r="C126" i="4"/>
  <c r="A126" i="4"/>
  <c r="AD125" i="4"/>
  <c r="AC125" i="4"/>
  <c r="AB125" i="4"/>
  <c r="Z125" i="4"/>
  <c r="Y125" i="4"/>
  <c r="X125" i="4"/>
  <c r="W125" i="4"/>
  <c r="V125" i="4"/>
  <c r="U125" i="4"/>
  <c r="T125" i="4"/>
  <c r="S125" i="4"/>
  <c r="R125" i="4"/>
  <c r="Q125" i="4"/>
  <c r="P125" i="4"/>
  <c r="O125" i="4"/>
  <c r="N125" i="4"/>
  <c r="M125" i="4"/>
  <c r="L125" i="4"/>
  <c r="K125" i="4"/>
  <c r="J125" i="4"/>
  <c r="C125" i="4"/>
  <c r="A125" i="4"/>
  <c r="AD124" i="4"/>
  <c r="AC124" i="4"/>
  <c r="AB124" i="4"/>
  <c r="Z124" i="4"/>
  <c r="Y124" i="4"/>
  <c r="X124" i="4"/>
  <c r="W124" i="4"/>
  <c r="V124" i="4"/>
  <c r="U124" i="4"/>
  <c r="T124" i="4"/>
  <c r="S124" i="4"/>
  <c r="R124" i="4"/>
  <c r="Q124" i="4"/>
  <c r="P124" i="4"/>
  <c r="O124" i="4"/>
  <c r="N124" i="4"/>
  <c r="M124" i="4"/>
  <c r="L124" i="4"/>
  <c r="K124" i="4"/>
  <c r="J124" i="4"/>
  <c r="C124" i="4"/>
  <c r="A124" i="4"/>
  <c r="AD123" i="4"/>
  <c r="AC123" i="4"/>
  <c r="AB123" i="4"/>
  <c r="Z123" i="4"/>
  <c r="Y123" i="4"/>
  <c r="X123" i="4"/>
  <c r="W123" i="4"/>
  <c r="V123" i="4"/>
  <c r="U123" i="4"/>
  <c r="T123" i="4"/>
  <c r="S123" i="4"/>
  <c r="R123" i="4"/>
  <c r="Q123" i="4"/>
  <c r="P123" i="4"/>
  <c r="O123" i="4"/>
  <c r="N123" i="4"/>
  <c r="M123" i="4"/>
  <c r="L123" i="4"/>
  <c r="K123" i="4"/>
  <c r="J123" i="4"/>
  <c r="C123" i="4"/>
  <c r="A123" i="4"/>
  <c r="AD122" i="4"/>
  <c r="AC122" i="4"/>
  <c r="AB122" i="4"/>
  <c r="Z122" i="4"/>
  <c r="Y122" i="4"/>
  <c r="X122" i="4"/>
  <c r="W122" i="4"/>
  <c r="V122" i="4"/>
  <c r="U122" i="4"/>
  <c r="T122" i="4"/>
  <c r="S122" i="4"/>
  <c r="R122" i="4"/>
  <c r="Q122" i="4"/>
  <c r="P122" i="4"/>
  <c r="O122" i="4"/>
  <c r="N122" i="4"/>
  <c r="M122" i="4"/>
  <c r="L122" i="4"/>
  <c r="K122" i="4"/>
  <c r="J122" i="4"/>
  <c r="C122" i="4"/>
  <c r="A122" i="4"/>
  <c r="AD121" i="4"/>
  <c r="AC121" i="4"/>
  <c r="AB121" i="4"/>
  <c r="Z121" i="4"/>
  <c r="Y121" i="4"/>
  <c r="X121" i="4"/>
  <c r="W121" i="4"/>
  <c r="V121" i="4"/>
  <c r="U121" i="4"/>
  <c r="T121" i="4"/>
  <c r="S121" i="4"/>
  <c r="R121" i="4"/>
  <c r="Q121" i="4"/>
  <c r="P121" i="4"/>
  <c r="O121" i="4"/>
  <c r="N121" i="4"/>
  <c r="M121" i="4"/>
  <c r="L121" i="4"/>
  <c r="K121" i="4"/>
  <c r="J121" i="4"/>
  <c r="C121" i="4"/>
  <c r="A121" i="4"/>
  <c r="AD120" i="4"/>
  <c r="AC120" i="4"/>
  <c r="AB120" i="4"/>
  <c r="Z120" i="4"/>
  <c r="Y120" i="4"/>
  <c r="X120" i="4"/>
  <c r="W120" i="4"/>
  <c r="V120" i="4"/>
  <c r="U120" i="4"/>
  <c r="T120" i="4"/>
  <c r="S120" i="4"/>
  <c r="R120" i="4"/>
  <c r="Q120" i="4"/>
  <c r="P120" i="4"/>
  <c r="O120" i="4"/>
  <c r="N120" i="4"/>
  <c r="M120" i="4"/>
  <c r="L120" i="4"/>
  <c r="K120" i="4"/>
  <c r="J120" i="4"/>
  <c r="C120" i="4"/>
  <c r="A120" i="4"/>
  <c r="AD119" i="4"/>
  <c r="AC119" i="4"/>
  <c r="AB119" i="4"/>
  <c r="Z119" i="4"/>
  <c r="Y119" i="4"/>
  <c r="X119" i="4"/>
  <c r="W119" i="4"/>
  <c r="V119" i="4"/>
  <c r="U119" i="4"/>
  <c r="T119" i="4"/>
  <c r="S119" i="4"/>
  <c r="R119" i="4"/>
  <c r="Q119" i="4"/>
  <c r="P119" i="4"/>
  <c r="O119" i="4"/>
  <c r="N119" i="4"/>
  <c r="M119" i="4"/>
  <c r="L119" i="4"/>
  <c r="K119" i="4"/>
  <c r="J119" i="4"/>
  <c r="C119" i="4"/>
  <c r="A119" i="4"/>
  <c r="AD118" i="4"/>
  <c r="AC118" i="4"/>
  <c r="AB118" i="4"/>
  <c r="Z118" i="4"/>
  <c r="Y118" i="4"/>
  <c r="X118" i="4"/>
  <c r="W118" i="4"/>
  <c r="V118" i="4"/>
  <c r="U118" i="4"/>
  <c r="T118" i="4"/>
  <c r="S118" i="4"/>
  <c r="R118" i="4"/>
  <c r="Q118" i="4"/>
  <c r="P118" i="4"/>
  <c r="O118" i="4"/>
  <c r="N118" i="4"/>
  <c r="M118" i="4"/>
  <c r="L118" i="4"/>
  <c r="K118" i="4"/>
  <c r="J118" i="4"/>
  <c r="C118" i="4"/>
  <c r="A118" i="4"/>
  <c r="AD117" i="4"/>
  <c r="AC117" i="4"/>
  <c r="AB117" i="4"/>
  <c r="Z117" i="4"/>
  <c r="Y117" i="4"/>
  <c r="X117" i="4"/>
  <c r="W117" i="4"/>
  <c r="V117" i="4"/>
  <c r="U117" i="4"/>
  <c r="T117" i="4"/>
  <c r="S117" i="4"/>
  <c r="R117" i="4"/>
  <c r="Q117" i="4"/>
  <c r="P117" i="4"/>
  <c r="O117" i="4"/>
  <c r="N117" i="4"/>
  <c r="M117" i="4"/>
  <c r="L117" i="4"/>
  <c r="K117" i="4"/>
  <c r="J117" i="4"/>
  <c r="C117" i="4"/>
  <c r="A117" i="4"/>
  <c r="AD116" i="4"/>
  <c r="AC116" i="4"/>
  <c r="AB116" i="4"/>
  <c r="Z116" i="4"/>
  <c r="Y116" i="4"/>
  <c r="X116" i="4"/>
  <c r="W116" i="4"/>
  <c r="V116" i="4"/>
  <c r="U116" i="4"/>
  <c r="T116" i="4"/>
  <c r="S116" i="4"/>
  <c r="R116" i="4"/>
  <c r="Q116" i="4"/>
  <c r="P116" i="4"/>
  <c r="O116" i="4"/>
  <c r="N116" i="4"/>
  <c r="M116" i="4"/>
  <c r="L116" i="4"/>
  <c r="K116" i="4"/>
  <c r="J116" i="4"/>
  <c r="C116" i="4"/>
  <c r="A116" i="4"/>
  <c r="AD115" i="4"/>
  <c r="AC115" i="4"/>
  <c r="AB115" i="4"/>
  <c r="Z115" i="4"/>
  <c r="Y115" i="4"/>
  <c r="X115" i="4"/>
  <c r="W115" i="4"/>
  <c r="V115" i="4"/>
  <c r="U115" i="4"/>
  <c r="T115" i="4"/>
  <c r="S115" i="4"/>
  <c r="R115" i="4"/>
  <c r="Q115" i="4"/>
  <c r="P115" i="4"/>
  <c r="O115" i="4"/>
  <c r="N115" i="4"/>
  <c r="M115" i="4"/>
  <c r="L115" i="4"/>
  <c r="K115" i="4"/>
  <c r="J115" i="4"/>
  <c r="C115" i="4"/>
  <c r="A115" i="4"/>
  <c r="AD114" i="4"/>
  <c r="AC114" i="4"/>
  <c r="AB114" i="4"/>
  <c r="Z114" i="4"/>
  <c r="Y114" i="4"/>
  <c r="X114" i="4"/>
  <c r="W114" i="4"/>
  <c r="V114" i="4"/>
  <c r="U114" i="4"/>
  <c r="T114" i="4"/>
  <c r="S114" i="4"/>
  <c r="R114" i="4"/>
  <c r="Q114" i="4"/>
  <c r="P114" i="4"/>
  <c r="O114" i="4"/>
  <c r="N114" i="4"/>
  <c r="M114" i="4"/>
  <c r="L114" i="4"/>
  <c r="K114" i="4"/>
  <c r="J114" i="4"/>
  <c r="C114" i="4"/>
  <c r="A114" i="4"/>
  <c r="AD113" i="4"/>
  <c r="AC113" i="4"/>
  <c r="AB113" i="4"/>
  <c r="Z113" i="4"/>
  <c r="Y113" i="4"/>
  <c r="X113" i="4"/>
  <c r="W113" i="4"/>
  <c r="V113" i="4"/>
  <c r="U113" i="4"/>
  <c r="T113" i="4"/>
  <c r="S113" i="4"/>
  <c r="R113" i="4"/>
  <c r="Q113" i="4"/>
  <c r="P113" i="4"/>
  <c r="O113" i="4"/>
  <c r="N113" i="4"/>
  <c r="M113" i="4"/>
  <c r="L113" i="4"/>
  <c r="K113" i="4"/>
  <c r="J113" i="4"/>
  <c r="C113" i="4"/>
  <c r="A113" i="4"/>
  <c r="AD112" i="4"/>
  <c r="AC112" i="4"/>
  <c r="AB112" i="4"/>
  <c r="Z112" i="4"/>
  <c r="Y112" i="4"/>
  <c r="X112" i="4"/>
  <c r="W112" i="4"/>
  <c r="V112" i="4"/>
  <c r="U112" i="4"/>
  <c r="T112" i="4"/>
  <c r="S112" i="4"/>
  <c r="R112" i="4"/>
  <c r="Q112" i="4"/>
  <c r="P112" i="4"/>
  <c r="O112" i="4"/>
  <c r="N112" i="4"/>
  <c r="M112" i="4"/>
  <c r="L112" i="4"/>
  <c r="K112" i="4"/>
  <c r="J112" i="4"/>
  <c r="C112" i="4"/>
  <c r="A112" i="4"/>
  <c r="AD111" i="4"/>
  <c r="AC111" i="4"/>
  <c r="AB111" i="4"/>
  <c r="Z111" i="4"/>
  <c r="Y111" i="4"/>
  <c r="X111" i="4"/>
  <c r="W111" i="4"/>
  <c r="V111" i="4"/>
  <c r="U111" i="4"/>
  <c r="T111" i="4"/>
  <c r="S111" i="4"/>
  <c r="R111" i="4"/>
  <c r="Q111" i="4"/>
  <c r="P111" i="4"/>
  <c r="O111" i="4"/>
  <c r="N111" i="4"/>
  <c r="M111" i="4"/>
  <c r="L111" i="4"/>
  <c r="K111" i="4"/>
  <c r="J111" i="4"/>
  <c r="C111" i="4"/>
  <c r="A111" i="4"/>
  <c r="AD110" i="4"/>
  <c r="AC110" i="4"/>
  <c r="AB110" i="4"/>
  <c r="Z110" i="4"/>
  <c r="Y110" i="4"/>
  <c r="X110" i="4"/>
  <c r="W110" i="4"/>
  <c r="V110" i="4"/>
  <c r="U110" i="4"/>
  <c r="T110" i="4"/>
  <c r="S110" i="4"/>
  <c r="R110" i="4"/>
  <c r="Q110" i="4"/>
  <c r="P110" i="4"/>
  <c r="O110" i="4"/>
  <c r="N110" i="4"/>
  <c r="M110" i="4"/>
  <c r="L110" i="4"/>
  <c r="K110" i="4"/>
  <c r="J110" i="4"/>
  <c r="C110" i="4"/>
  <c r="A110" i="4"/>
  <c r="AD109" i="4"/>
  <c r="AC109" i="4"/>
  <c r="AB109" i="4"/>
  <c r="Z109" i="4"/>
  <c r="Y109" i="4"/>
  <c r="X109" i="4"/>
  <c r="W109" i="4"/>
  <c r="V109" i="4"/>
  <c r="U109" i="4"/>
  <c r="T109" i="4"/>
  <c r="S109" i="4"/>
  <c r="R109" i="4"/>
  <c r="Q109" i="4"/>
  <c r="P109" i="4"/>
  <c r="O109" i="4"/>
  <c r="N109" i="4"/>
  <c r="M109" i="4"/>
  <c r="L109" i="4"/>
  <c r="K109" i="4"/>
  <c r="J109" i="4"/>
  <c r="C109" i="4"/>
  <c r="A109" i="4"/>
  <c r="AD108" i="4"/>
  <c r="AC108" i="4"/>
  <c r="AB108" i="4"/>
  <c r="Z108" i="4"/>
  <c r="Y108" i="4"/>
  <c r="X108" i="4"/>
  <c r="W108" i="4"/>
  <c r="V108" i="4"/>
  <c r="U108" i="4"/>
  <c r="T108" i="4"/>
  <c r="S108" i="4"/>
  <c r="R108" i="4"/>
  <c r="Q108" i="4"/>
  <c r="P108" i="4"/>
  <c r="O108" i="4"/>
  <c r="N108" i="4"/>
  <c r="M108" i="4"/>
  <c r="L108" i="4"/>
  <c r="K108" i="4"/>
  <c r="J108" i="4"/>
  <c r="C108" i="4"/>
  <c r="A108" i="4"/>
  <c r="AD107" i="4"/>
  <c r="AC107" i="4"/>
  <c r="AB107" i="4"/>
  <c r="Z107" i="4"/>
  <c r="Y107" i="4"/>
  <c r="X107" i="4"/>
  <c r="W107" i="4"/>
  <c r="V107" i="4"/>
  <c r="U107" i="4"/>
  <c r="T107" i="4"/>
  <c r="S107" i="4"/>
  <c r="R107" i="4"/>
  <c r="Q107" i="4"/>
  <c r="P107" i="4"/>
  <c r="O107" i="4"/>
  <c r="N107" i="4"/>
  <c r="M107" i="4"/>
  <c r="L107" i="4"/>
  <c r="K107" i="4"/>
  <c r="J107" i="4"/>
  <c r="C107" i="4"/>
  <c r="A107" i="4"/>
  <c r="AD106" i="4"/>
  <c r="AC106" i="4"/>
  <c r="AB106" i="4"/>
  <c r="Z106" i="4"/>
  <c r="Y106" i="4"/>
  <c r="X106" i="4"/>
  <c r="W106" i="4"/>
  <c r="V106" i="4"/>
  <c r="U106" i="4"/>
  <c r="T106" i="4"/>
  <c r="S106" i="4"/>
  <c r="R106" i="4"/>
  <c r="Q106" i="4"/>
  <c r="P106" i="4"/>
  <c r="O106" i="4"/>
  <c r="N106" i="4"/>
  <c r="M106" i="4"/>
  <c r="L106" i="4"/>
  <c r="K106" i="4"/>
  <c r="J106" i="4"/>
  <c r="C106" i="4"/>
  <c r="A106" i="4"/>
  <c r="AD105" i="4"/>
  <c r="AC105" i="4"/>
  <c r="AB105" i="4"/>
  <c r="Z105" i="4"/>
  <c r="Y105" i="4"/>
  <c r="X105" i="4"/>
  <c r="W105" i="4"/>
  <c r="V105" i="4"/>
  <c r="U105" i="4"/>
  <c r="T105" i="4"/>
  <c r="S105" i="4"/>
  <c r="R105" i="4"/>
  <c r="Q105" i="4"/>
  <c r="P105" i="4"/>
  <c r="O105" i="4"/>
  <c r="N105" i="4"/>
  <c r="M105" i="4"/>
  <c r="L105" i="4"/>
  <c r="K105" i="4"/>
  <c r="J105" i="4"/>
  <c r="C105" i="4"/>
  <c r="A105" i="4"/>
  <c r="AD104" i="4"/>
  <c r="AC104" i="4"/>
  <c r="AB104" i="4"/>
  <c r="Z104" i="4"/>
  <c r="Y104" i="4"/>
  <c r="X104" i="4"/>
  <c r="W104" i="4"/>
  <c r="V104" i="4"/>
  <c r="U104" i="4"/>
  <c r="T104" i="4"/>
  <c r="S104" i="4"/>
  <c r="R104" i="4"/>
  <c r="Q104" i="4"/>
  <c r="P104" i="4"/>
  <c r="O104" i="4"/>
  <c r="N104" i="4"/>
  <c r="M104" i="4"/>
  <c r="L104" i="4"/>
  <c r="K104" i="4"/>
  <c r="J104" i="4"/>
  <c r="C104" i="4"/>
  <c r="A104" i="4"/>
  <c r="AD103" i="4"/>
  <c r="AC103" i="4"/>
  <c r="AB103" i="4"/>
  <c r="Z103" i="4"/>
  <c r="Y103" i="4"/>
  <c r="X103" i="4"/>
  <c r="W103" i="4"/>
  <c r="V103" i="4"/>
  <c r="U103" i="4"/>
  <c r="T103" i="4"/>
  <c r="S103" i="4"/>
  <c r="R103" i="4"/>
  <c r="Q103" i="4"/>
  <c r="P103" i="4"/>
  <c r="O103" i="4"/>
  <c r="N103" i="4"/>
  <c r="M103" i="4"/>
  <c r="L103" i="4"/>
  <c r="K103" i="4"/>
  <c r="J103" i="4"/>
  <c r="C103" i="4"/>
  <c r="A103" i="4"/>
  <c r="AD102" i="4"/>
  <c r="AC102" i="4"/>
  <c r="AB102" i="4"/>
  <c r="Z102" i="4"/>
  <c r="Y102" i="4"/>
  <c r="X102" i="4"/>
  <c r="W102" i="4"/>
  <c r="V102" i="4"/>
  <c r="U102" i="4"/>
  <c r="T102" i="4"/>
  <c r="S102" i="4"/>
  <c r="R102" i="4"/>
  <c r="Q102" i="4"/>
  <c r="P102" i="4"/>
  <c r="O102" i="4"/>
  <c r="N102" i="4"/>
  <c r="M102" i="4"/>
  <c r="L102" i="4"/>
  <c r="K102" i="4"/>
  <c r="J102" i="4"/>
  <c r="C102" i="4"/>
  <c r="A102" i="4"/>
  <c r="AD101" i="4"/>
  <c r="AC101" i="4"/>
  <c r="AB101" i="4"/>
  <c r="Z101" i="4"/>
  <c r="Y101" i="4"/>
  <c r="X101" i="4"/>
  <c r="W101" i="4"/>
  <c r="V101" i="4"/>
  <c r="U101" i="4"/>
  <c r="T101" i="4"/>
  <c r="S101" i="4"/>
  <c r="R101" i="4"/>
  <c r="Q101" i="4"/>
  <c r="P101" i="4"/>
  <c r="O101" i="4"/>
  <c r="N101" i="4"/>
  <c r="M101" i="4"/>
  <c r="L101" i="4"/>
  <c r="K101" i="4"/>
  <c r="J101" i="4"/>
  <c r="C101" i="4"/>
  <c r="A101" i="4"/>
  <c r="AD100" i="4"/>
  <c r="AC100" i="4"/>
  <c r="AB100" i="4"/>
  <c r="Z100" i="4"/>
  <c r="Y100" i="4"/>
  <c r="X100" i="4"/>
  <c r="W100" i="4"/>
  <c r="V100" i="4"/>
  <c r="U100" i="4"/>
  <c r="T100" i="4"/>
  <c r="S100" i="4"/>
  <c r="R100" i="4"/>
  <c r="Q100" i="4"/>
  <c r="P100" i="4"/>
  <c r="O100" i="4"/>
  <c r="N100" i="4"/>
  <c r="M100" i="4"/>
  <c r="L100" i="4"/>
  <c r="K100" i="4"/>
  <c r="J100" i="4"/>
  <c r="C100" i="4"/>
  <c r="A100" i="4"/>
  <c r="AD99" i="4"/>
  <c r="AC99" i="4"/>
  <c r="AB99" i="4"/>
  <c r="Z99" i="4"/>
  <c r="Y99" i="4"/>
  <c r="X99" i="4"/>
  <c r="W99" i="4"/>
  <c r="V99" i="4"/>
  <c r="U99" i="4"/>
  <c r="T99" i="4"/>
  <c r="S99" i="4"/>
  <c r="R99" i="4"/>
  <c r="Q99" i="4"/>
  <c r="P99" i="4"/>
  <c r="O99" i="4"/>
  <c r="N99" i="4"/>
  <c r="M99" i="4"/>
  <c r="L99" i="4"/>
  <c r="K99" i="4"/>
  <c r="J99" i="4"/>
  <c r="C99" i="4"/>
  <c r="A99" i="4"/>
  <c r="AD98" i="4"/>
  <c r="AC98" i="4"/>
  <c r="AB98" i="4"/>
  <c r="Z98" i="4"/>
  <c r="Y98" i="4"/>
  <c r="X98" i="4"/>
  <c r="W98" i="4"/>
  <c r="V98" i="4"/>
  <c r="U98" i="4"/>
  <c r="T98" i="4"/>
  <c r="S98" i="4"/>
  <c r="R98" i="4"/>
  <c r="Q98" i="4"/>
  <c r="P98" i="4"/>
  <c r="O98" i="4"/>
  <c r="N98" i="4"/>
  <c r="M98" i="4"/>
  <c r="L98" i="4"/>
  <c r="K98" i="4"/>
  <c r="J98" i="4"/>
  <c r="C98" i="4"/>
  <c r="A98" i="4"/>
  <c r="AD97" i="4"/>
  <c r="AC97" i="4"/>
  <c r="AB97" i="4"/>
  <c r="Z97" i="4"/>
  <c r="Y97" i="4"/>
  <c r="X97" i="4"/>
  <c r="W97" i="4"/>
  <c r="V97" i="4"/>
  <c r="U97" i="4"/>
  <c r="T97" i="4"/>
  <c r="S97" i="4"/>
  <c r="R97" i="4"/>
  <c r="Q97" i="4"/>
  <c r="P97" i="4"/>
  <c r="O97" i="4"/>
  <c r="N97" i="4"/>
  <c r="M97" i="4"/>
  <c r="L97" i="4"/>
  <c r="K97" i="4"/>
  <c r="J97" i="4"/>
  <c r="C97" i="4"/>
  <c r="A97" i="4"/>
  <c r="AD96" i="4"/>
  <c r="AC96" i="4"/>
  <c r="AB96" i="4"/>
  <c r="Z96" i="4"/>
  <c r="Y96" i="4"/>
  <c r="X96" i="4"/>
  <c r="W96" i="4"/>
  <c r="V96" i="4"/>
  <c r="U96" i="4"/>
  <c r="T96" i="4"/>
  <c r="S96" i="4"/>
  <c r="R96" i="4"/>
  <c r="Q96" i="4"/>
  <c r="P96" i="4"/>
  <c r="O96" i="4"/>
  <c r="N96" i="4"/>
  <c r="M96" i="4"/>
  <c r="L96" i="4"/>
  <c r="K96" i="4"/>
  <c r="J96" i="4"/>
  <c r="C96" i="4"/>
  <c r="A96" i="4"/>
  <c r="AD95" i="4"/>
  <c r="AC95" i="4"/>
  <c r="AB95" i="4"/>
  <c r="Z95" i="4"/>
  <c r="Y95" i="4"/>
  <c r="X95" i="4"/>
  <c r="W95" i="4"/>
  <c r="V95" i="4"/>
  <c r="U95" i="4"/>
  <c r="T95" i="4"/>
  <c r="S95" i="4"/>
  <c r="R95" i="4"/>
  <c r="Q95" i="4"/>
  <c r="P95" i="4"/>
  <c r="O95" i="4"/>
  <c r="N95" i="4"/>
  <c r="M95" i="4"/>
  <c r="L95" i="4"/>
  <c r="K95" i="4"/>
  <c r="J95" i="4"/>
  <c r="C95" i="4"/>
  <c r="A95" i="4"/>
  <c r="AD94" i="4"/>
  <c r="AC94" i="4"/>
  <c r="AB94" i="4"/>
  <c r="Z94" i="4"/>
  <c r="Y94" i="4"/>
  <c r="X94" i="4"/>
  <c r="W94" i="4"/>
  <c r="V94" i="4"/>
  <c r="U94" i="4"/>
  <c r="T94" i="4"/>
  <c r="S94" i="4"/>
  <c r="R94" i="4"/>
  <c r="Q94" i="4"/>
  <c r="P94" i="4"/>
  <c r="O94" i="4"/>
  <c r="N94" i="4"/>
  <c r="M94" i="4"/>
  <c r="L94" i="4"/>
  <c r="K94" i="4"/>
  <c r="J94" i="4"/>
  <c r="C94" i="4"/>
  <c r="A94" i="4"/>
  <c r="AD93" i="4"/>
  <c r="AC93" i="4"/>
  <c r="AB93" i="4"/>
  <c r="Z93" i="4"/>
  <c r="Y93" i="4"/>
  <c r="X93" i="4"/>
  <c r="W93" i="4"/>
  <c r="V93" i="4"/>
  <c r="U93" i="4"/>
  <c r="T93" i="4"/>
  <c r="S93" i="4"/>
  <c r="R93" i="4"/>
  <c r="Q93" i="4"/>
  <c r="P93" i="4"/>
  <c r="O93" i="4"/>
  <c r="N93" i="4"/>
  <c r="M93" i="4"/>
  <c r="L93" i="4"/>
  <c r="K93" i="4"/>
  <c r="J93" i="4"/>
  <c r="C93" i="4"/>
  <c r="A93" i="4"/>
  <c r="AD92" i="4"/>
  <c r="AC92" i="4"/>
  <c r="AB92" i="4"/>
  <c r="Z92" i="4"/>
  <c r="Y92" i="4"/>
  <c r="X92" i="4"/>
  <c r="W92" i="4"/>
  <c r="V92" i="4"/>
  <c r="U92" i="4"/>
  <c r="T92" i="4"/>
  <c r="S92" i="4"/>
  <c r="R92" i="4"/>
  <c r="Q92" i="4"/>
  <c r="P92" i="4"/>
  <c r="O92" i="4"/>
  <c r="N92" i="4"/>
  <c r="M92" i="4"/>
  <c r="L92" i="4"/>
  <c r="K92" i="4"/>
  <c r="J92" i="4"/>
  <c r="C92" i="4"/>
  <c r="A92" i="4"/>
  <c r="AD91" i="4"/>
  <c r="AC91" i="4"/>
  <c r="AB91" i="4"/>
  <c r="Z91" i="4"/>
  <c r="Y91" i="4"/>
  <c r="X91" i="4"/>
  <c r="W91" i="4"/>
  <c r="V91" i="4"/>
  <c r="U91" i="4"/>
  <c r="T91" i="4"/>
  <c r="S91" i="4"/>
  <c r="R91" i="4"/>
  <c r="Q91" i="4"/>
  <c r="P91" i="4"/>
  <c r="O91" i="4"/>
  <c r="N91" i="4"/>
  <c r="M91" i="4"/>
  <c r="L91" i="4"/>
  <c r="K91" i="4"/>
  <c r="J91" i="4"/>
  <c r="C91" i="4"/>
  <c r="A91" i="4"/>
  <c r="AD90" i="4"/>
  <c r="AC90" i="4"/>
  <c r="AB90" i="4"/>
  <c r="Z90" i="4"/>
  <c r="Y90" i="4"/>
  <c r="X90" i="4"/>
  <c r="W90" i="4"/>
  <c r="V90" i="4"/>
  <c r="U90" i="4"/>
  <c r="T90" i="4"/>
  <c r="S90" i="4"/>
  <c r="R90" i="4"/>
  <c r="Q90" i="4"/>
  <c r="P90" i="4"/>
  <c r="O90" i="4"/>
  <c r="N90" i="4"/>
  <c r="M90" i="4"/>
  <c r="L90" i="4"/>
  <c r="K90" i="4"/>
  <c r="J90" i="4"/>
  <c r="C90" i="4"/>
  <c r="A90" i="4"/>
  <c r="AD89" i="4"/>
  <c r="AC89" i="4"/>
  <c r="AB89" i="4"/>
  <c r="Z89" i="4"/>
  <c r="Y89" i="4"/>
  <c r="X89" i="4"/>
  <c r="W89" i="4"/>
  <c r="V89" i="4"/>
  <c r="U89" i="4"/>
  <c r="T89" i="4"/>
  <c r="S89" i="4"/>
  <c r="R89" i="4"/>
  <c r="Q89" i="4"/>
  <c r="P89" i="4"/>
  <c r="O89" i="4"/>
  <c r="N89" i="4"/>
  <c r="M89" i="4"/>
  <c r="L89" i="4"/>
  <c r="K89" i="4"/>
  <c r="J89" i="4"/>
  <c r="C89" i="4"/>
  <c r="A89" i="4"/>
  <c r="AD88" i="4"/>
  <c r="AC88" i="4"/>
  <c r="AB88" i="4"/>
  <c r="Z88" i="4"/>
  <c r="Y88" i="4"/>
  <c r="X88" i="4"/>
  <c r="W88" i="4"/>
  <c r="V88" i="4"/>
  <c r="U88" i="4"/>
  <c r="T88" i="4"/>
  <c r="S88" i="4"/>
  <c r="R88" i="4"/>
  <c r="Q88" i="4"/>
  <c r="P88" i="4"/>
  <c r="O88" i="4"/>
  <c r="N88" i="4"/>
  <c r="M88" i="4"/>
  <c r="L88" i="4"/>
  <c r="K88" i="4"/>
  <c r="J88" i="4"/>
  <c r="C88" i="4"/>
  <c r="A88" i="4"/>
  <c r="AD87" i="4"/>
  <c r="AC87" i="4"/>
  <c r="AB87" i="4"/>
  <c r="Z87" i="4"/>
  <c r="Y87" i="4"/>
  <c r="X87" i="4"/>
  <c r="W87" i="4"/>
  <c r="V87" i="4"/>
  <c r="U87" i="4"/>
  <c r="T87" i="4"/>
  <c r="S87" i="4"/>
  <c r="R87" i="4"/>
  <c r="Q87" i="4"/>
  <c r="P87" i="4"/>
  <c r="O87" i="4"/>
  <c r="N87" i="4"/>
  <c r="M87" i="4"/>
  <c r="L87" i="4"/>
  <c r="K87" i="4"/>
  <c r="J87" i="4"/>
  <c r="C87" i="4"/>
  <c r="A87" i="4"/>
  <c r="AD86" i="4"/>
  <c r="AC86" i="4"/>
  <c r="AB86" i="4"/>
  <c r="Z86" i="4"/>
  <c r="Y86" i="4"/>
  <c r="X86" i="4"/>
  <c r="W86" i="4"/>
  <c r="V86" i="4"/>
  <c r="U86" i="4"/>
  <c r="T86" i="4"/>
  <c r="S86" i="4"/>
  <c r="R86" i="4"/>
  <c r="Q86" i="4"/>
  <c r="P86" i="4"/>
  <c r="O86" i="4"/>
  <c r="N86" i="4"/>
  <c r="M86" i="4"/>
  <c r="L86" i="4"/>
  <c r="K86" i="4"/>
  <c r="J86" i="4"/>
  <c r="C86" i="4"/>
  <c r="A86" i="4"/>
  <c r="AD85" i="4"/>
  <c r="AC85" i="4"/>
  <c r="AB85" i="4"/>
  <c r="Z85" i="4"/>
  <c r="Y85" i="4"/>
  <c r="X85" i="4"/>
  <c r="W85" i="4"/>
  <c r="V85" i="4"/>
  <c r="U85" i="4"/>
  <c r="T85" i="4"/>
  <c r="S85" i="4"/>
  <c r="R85" i="4"/>
  <c r="Q85" i="4"/>
  <c r="P85" i="4"/>
  <c r="O85" i="4"/>
  <c r="N85" i="4"/>
  <c r="M85" i="4"/>
  <c r="L85" i="4"/>
  <c r="K85" i="4"/>
  <c r="J85" i="4"/>
  <c r="C85" i="4"/>
  <c r="A85" i="4"/>
  <c r="AD84" i="4"/>
  <c r="AC84" i="4"/>
  <c r="AB84" i="4"/>
  <c r="Z84" i="4"/>
  <c r="Y84" i="4"/>
  <c r="X84" i="4"/>
  <c r="W84" i="4"/>
  <c r="V84" i="4"/>
  <c r="U84" i="4"/>
  <c r="T84" i="4"/>
  <c r="S84" i="4"/>
  <c r="R84" i="4"/>
  <c r="Q84" i="4"/>
  <c r="P84" i="4"/>
  <c r="O84" i="4"/>
  <c r="N84" i="4"/>
  <c r="M84" i="4"/>
  <c r="L84" i="4"/>
  <c r="K84" i="4"/>
  <c r="J84" i="4"/>
  <c r="C84" i="4"/>
  <c r="A84" i="4"/>
  <c r="AD83" i="4"/>
  <c r="AC83" i="4"/>
  <c r="AB83" i="4"/>
  <c r="Z83" i="4"/>
  <c r="Y83" i="4"/>
  <c r="X83" i="4"/>
  <c r="W83" i="4"/>
  <c r="V83" i="4"/>
  <c r="U83" i="4"/>
  <c r="T83" i="4"/>
  <c r="S83" i="4"/>
  <c r="R83" i="4"/>
  <c r="Q83" i="4"/>
  <c r="P83" i="4"/>
  <c r="O83" i="4"/>
  <c r="N83" i="4"/>
  <c r="M83" i="4"/>
  <c r="L83" i="4"/>
  <c r="K83" i="4"/>
  <c r="J83" i="4"/>
  <c r="C83" i="4"/>
  <c r="A83" i="4"/>
  <c r="AD82" i="4"/>
  <c r="AC82" i="4"/>
  <c r="AB82" i="4"/>
  <c r="Z82" i="4"/>
  <c r="Y82" i="4"/>
  <c r="X82" i="4"/>
  <c r="W82" i="4"/>
  <c r="V82" i="4"/>
  <c r="U82" i="4"/>
  <c r="T82" i="4"/>
  <c r="S82" i="4"/>
  <c r="R82" i="4"/>
  <c r="Q82" i="4"/>
  <c r="P82" i="4"/>
  <c r="O82" i="4"/>
  <c r="N82" i="4"/>
  <c r="M82" i="4"/>
  <c r="L82" i="4"/>
  <c r="K82" i="4"/>
  <c r="J82" i="4"/>
  <c r="C82" i="4"/>
  <c r="A82" i="4"/>
  <c r="AD81" i="4"/>
  <c r="AC81" i="4"/>
  <c r="AB81" i="4"/>
  <c r="Z81" i="4"/>
  <c r="Y81" i="4"/>
  <c r="X81" i="4"/>
  <c r="W81" i="4"/>
  <c r="V81" i="4"/>
  <c r="U81" i="4"/>
  <c r="T81" i="4"/>
  <c r="S81" i="4"/>
  <c r="R81" i="4"/>
  <c r="Q81" i="4"/>
  <c r="P81" i="4"/>
  <c r="O81" i="4"/>
  <c r="N81" i="4"/>
  <c r="M81" i="4"/>
  <c r="L81" i="4"/>
  <c r="K81" i="4"/>
  <c r="J81" i="4"/>
  <c r="C81" i="4"/>
  <c r="A81" i="4"/>
  <c r="AD80" i="4"/>
  <c r="AC80" i="4"/>
  <c r="AB80" i="4"/>
  <c r="Z80" i="4"/>
  <c r="Y80" i="4"/>
  <c r="X80" i="4"/>
  <c r="W80" i="4"/>
  <c r="V80" i="4"/>
  <c r="U80" i="4"/>
  <c r="T80" i="4"/>
  <c r="S80" i="4"/>
  <c r="R80" i="4"/>
  <c r="Q80" i="4"/>
  <c r="P80" i="4"/>
  <c r="O80" i="4"/>
  <c r="N80" i="4"/>
  <c r="M80" i="4"/>
  <c r="L80" i="4"/>
  <c r="K80" i="4"/>
  <c r="J80" i="4"/>
  <c r="C80" i="4"/>
  <c r="A80" i="4"/>
  <c r="AD79" i="4"/>
  <c r="AC79" i="4"/>
  <c r="AB79" i="4"/>
  <c r="Z79" i="4"/>
  <c r="Y79" i="4"/>
  <c r="X79" i="4"/>
  <c r="W79" i="4"/>
  <c r="V79" i="4"/>
  <c r="U79" i="4"/>
  <c r="T79" i="4"/>
  <c r="S79" i="4"/>
  <c r="R79" i="4"/>
  <c r="Q79" i="4"/>
  <c r="P79" i="4"/>
  <c r="O79" i="4"/>
  <c r="N79" i="4"/>
  <c r="M79" i="4"/>
  <c r="L79" i="4"/>
  <c r="K79" i="4"/>
  <c r="J79" i="4"/>
  <c r="C79" i="4"/>
  <c r="A79" i="4"/>
  <c r="AD78" i="4"/>
  <c r="AC78" i="4"/>
  <c r="AB78" i="4"/>
  <c r="Z78" i="4"/>
  <c r="Y78" i="4"/>
  <c r="X78" i="4"/>
  <c r="W78" i="4"/>
  <c r="V78" i="4"/>
  <c r="U78" i="4"/>
  <c r="T78" i="4"/>
  <c r="S78" i="4"/>
  <c r="R78" i="4"/>
  <c r="Q78" i="4"/>
  <c r="P78" i="4"/>
  <c r="O78" i="4"/>
  <c r="N78" i="4"/>
  <c r="M78" i="4"/>
  <c r="L78" i="4"/>
  <c r="K78" i="4"/>
  <c r="J78" i="4"/>
  <c r="C78" i="4"/>
  <c r="A78" i="4"/>
  <c r="AD77" i="4"/>
  <c r="AC77" i="4"/>
  <c r="AB77" i="4"/>
  <c r="Z77" i="4"/>
  <c r="Y77" i="4"/>
  <c r="X77" i="4"/>
  <c r="W77" i="4"/>
  <c r="V77" i="4"/>
  <c r="U77" i="4"/>
  <c r="T77" i="4"/>
  <c r="S77" i="4"/>
  <c r="R77" i="4"/>
  <c r="Q77" i="4"/>
  <c r="P77" i="4"/>
  <c r="O77" i="4"/>
  <c r="N77" i="4"/>
  <c r="M77" i="4"/>
  <c r="L77" i="4"/>
  <c r="K77" i="4"/>
  <c r="J77" i="4"/>
  <c r="C77" i="4"/>
  <c r="A77" i="4"/>
  <c r="AD76" i="4"/>
  <c r="AC76" i="4"/>
  <c r="AB76" i="4"/>
  <c r="Z76" i="4"/>
  <c r="Y76" i="4"/>
  <c r="X76" i="4"/>
  <c r="W76" i="4"/>
  <c r="V76" i="4"/>
  <c r="U76" i="4"/>
  <c r="T76" i="4"/>
  <c r="S76" i="4"/>
  <c r="R76" i="4"/>
  <c r="Q76" i="4"/>
  <c r="P76" i="4"/>
  <c r="O76" i="4"/>
  <c r="N76" i="4"/>
  <c r="M76" i="4"/>
  <c r="L76" i="4"/>
  <c r="K76" i="4"/>
  <c r="J76" i="4"/>
  <c r="C76" i="4"/>
  <c r="A76" i="4"/>
  <c r="AD75" i="4"/>
  <c r="AC75" i="4"/>
  <c r="AB75" i="4"/>
  <c r="Z75" i="4"/>
  <c r="Y75" i="4"/>
  <c r="X75" i="4"/>
  <c r="W75" i="4"/>
  <c r="V75" i="4"/>
  <c r="U75" i="4"/>
  <c r="T75" i="4"/>
  <c r="S75" i="4"/>
  <c r="R75" i="4"/>
  <c r="Q75" i="4"/>
  <c r="P75" i="4"/>
  <c r="O75" i="4"/>
  <c r="N75" i="4"/>
  <c r="M75" i="4"/>
  <c r="L75" i="4"/>
  <c r="K75" i="4"/>
  <c r="J75" i="4"/>
  <c r="C75" i="4"/>
  <c r="A75" i="4"/>
  <c r="AD74" i="4"/>
  <c r="AC74" i="4"/>
  <c r="AB74" i="4"/>
  <c r="Z74" i="4"/>
  <c r="Y74" i="4"/>
  <c r="X74" i="4"/>
  <c r="W74" i="4"/>
  <c r="V74" i="4"/>
  <c r="U74" i="4"/>
  <c r="T74" i="4"/>
  <c r="S74" i="4"/>
  <c r="R74" i="4"/>
  <c r="Q74" i="4"/>
  <c r="P74" i="4"/>
  <c r="O74" i="4"/>
  <c r="N74" i="4"/>
  <c r="M74" i="4"/>
  <c r="L74" i="4"/>
  <c r="K74" i="4"/>
  <c r="J74" i="4"/>
  <c r="C74" i="4"/>
  <c r="A74" i="4"/>
  <c r="AD73" i="4"/>
  <c r="AC73" i="4"/>
  <c r="AB73" i="4"/>
  <c r="Z73" i="4"/>
  <c r="Y73" i="4"/>
  <c r="X73" i="4"/>
  <c r="W73" i="4"/>
  <c r="V73" i="4"/>
  <c r="U73" i="4"/>
  <c r="T73" i="4"/>
  <c r="S73" i="4"/>
  <c r="R73" i="4"/>
  <c r="Q73" i="4"/>
  <c r="P73" i="4"/>
  <c r="O73" i="4"/>
  <c r="N73" i="4"/>
  <c r="M73" i="4"/>
  <c r="L73" i="4"/>
  <c r="K73" i="4"/>
  <c r="J73" i="4"/>
  <c r="C73" i="4"/>
  <c r="A73" i="4"/>
  <c r="AD72" i="4"/>
  <c r="AC72" i="4"/>
  <c r="AB72" i="4"/>
  <c r="Z72" i="4"/>
  <c r="Y72" i="4"/>
  <c r="X72" i="4"/>
  <c r="W72" i="4"/>
  <c r="V72" i="4"/>
  <c r="U72" i="4"/>
  <c r="T72" i="4"/>
  <c r="S72" i="4"/>
  <c r="R72" i="4"/>
  <c r="Q72" i="4"/>
  <c r="P72" i="4"/>
  <c r="O72" i="4"/>
  <c r="N72" i="4"/>
  <c r="M72" i="4"/>
  <c r="L72" i="4"/>
  <c r="K72" i="4"/>
  <c r="J72" i="4"/>
  <c r="C72" i="4"/>
  <c r="A72" i="4"/>
  <c r="AD71" i="4"/>
  <c r="AC71" i="4"/>
  <c r="AB71" i="4"/>
  <c r="Z71" i="4"/>
  <c r="Y71" i="4"/>
  <c r="X71" i="4"/>
  <c r="W71" i="4"/>
  <c r="V71" i="4"/>
  <c r="U71" i="4"/>
  <c r="T71" i="4"/>
  <c r="S71" i="4"/>
  <c r="R71" i="4"/>
  <c r="Q71" i="4"/>
  <c r="P71" i="4"/>
  <c r="O71" i="4"/>
  <c r="N71" i="4"/>
  <c r="M71" i="4"/>
  <c r="L71" i="4"/>
  <c r="K71" i="4"/>
  <c r="J71" i="4"/>
  <c r="C71" i="4"/>
  <c r="A71" i="4"/>
  <c r="AD70" i="4"/>
  <c r="AC70" i="4"/>
  <c r="AB70" i="4"/>
  <c r="Z70" i="4"/>
  <c r="Y70" i="4"/>
  <c r="X70" i="4"/>
  <c r="W70" i="4"/>
  <c r="V70" i="4"/>
  <c r="U70" i="4"/>
  <c r="T70" i="4"/>
  <c r="S70" i="4"/>
  <c r="R70" i="4"/>
  <c r="Q70" i="4"/>
  <c r="P70" i="4"/>
  <c r="O70" i="4"/>
  <c r="N70" i="4"/>
  <c r="M70" i="4"/>
  <c r="L70" i="4"/>
  <c r="K70" i="4"/>
  <c r="J70" i="4"/>
  <c r="C70" i="4"/>
  <c r="A70" i="4"/>
  <c r="AD69" i="4"/>
  <c r="AC69" i="4"/>
  <c r="AB69" i="4"/>
  <c r="Z69" i="4"/>
  <c r="Y69" i="4"/>
  <c r="X69" i="4"/>
  <c r="W69" i="4"/>
  <c r="V69" i="4"/>
  <c r="U69" i="4"/>
  <c r="T69" i="4"/>
  <c r="S69" i="4"/>
  <c r="R69" i="4"/>
  <c r="Q69" i="4"/>
  <c r="P69" i="4"/>
  <c r="O69" i="4"/>
  <c r="N69" i="4"/>
  <c r="M69" i="4"/>
  <c r="L69" i="4"/>
  <c r="K69" i="4"/>
  <c r="J69" i="4"/>
  <c r="C69" i="4"/>
  <c r="A69" i="4"/>
  <c r="AD68" i="4"/>
  <c r="AC68" i="4"/>
  <c r="AB68" i="4"/>
  <c r="Z68" i="4"/>
  <c r="Y68" i="4"/>
  <c r="X68" i="4"/>
  <c r="W68" i="4"/>
  <c r="V68" i="4"/>
  <c r="U68" i="4"/>
  <c r="T68" i="4"/>
  <c r="S68" i="4"/>
  <c r="R68" i="4"/>
  <c r="Q68" i="4"/>
  <c r="P68" i="4"/>
  <c r="O68" i="4"/>
  <c r="N68" i="4"/>
  <c r="M68" i="4"/>
  <c r="L68" i="4"/>
  <c r="K68" i="4"/>
  <c r="J68" i="4"/>
  <c r="C68" i="4"/>
  <c r="A68" i="4"/>
  <c r="AD67" i="4"/>
  <c r="AC67" i="4"/>
  <c r="AB67" i="4"/>
  <c r="Z67" i="4"/>
  <c r="Y67" i="4"/>
  <c r="X67" i="4"/>
  <c r="W67" i="4"/>
  <c r="V67" i="4"/>
  <c r="U67" i="4"/>
  <c r="T67" i="4"/>
  <c r="S67" i="4"/>
  <c r="R67" i="4"/>
  <c r="Q67" i="4"/>
  <c r="P67" i="4"/>
  <c r="O67" i="4"/>
  <c r="N67" i="4"/>
  <c r="M67" i="4"/>
  <c r="L67" i="4"/>
  <c r="K67" i="4"/>
  <c r="J67" i="4"/>
  <c r="C67" i="4"/>
  <c r="A67" i="4"/>
  <c r="AD66" i="4"/>
  <c r="AC66" i="4"/>
  <c r="AB66" i="4"/>
  <c r="Z66" i="4"/>
  <c r="Y66" i="4"/>
  <c r="X66" i="4"/>
  <c r="W66" i="4"/>
  <c r="V66" i="4"/>
  <c r="U66" i="4"/>
  <c r="T66" i="4"/>
  <c r="S66" i="4"/>
  <c r="R66" i="4"/>
  <c r="Q66" i="4"/>
  <c r="P66" i="4"/>
  <c r="O66" i="4"/>
  <c r="N66" i="4"/>
  <c r="M66" i="4"/>
  <c r="L66" i="4"/>
  <c r="K66" i="4"/>
  <c r="J66" i="4"/>
  <c r="C66" i="4"/>
  <c r="A66" i="4"/>
  <c r="AD65" i="4"/>
  <c r="AC65" i="4"/>
  <c r="AB65" i="4"/>
  <c r="Z65" i="4"/>
  <c r="Y65" i="4"/>
  <c r="X65" i="4"/>
  <c r="W65" i="4"/>
  <c r="V65" i="4"/>
  <c r="U65" i="4"/>
  <c r="T65" i="4"/>
  <c r="S65" i="4"/>
  <c r="R65" i="4"/>
  <c r="Q65" i="4"/>
  <c r="P65" i="4"/>
  <c r="O65" i="4"/>
  <c r="N65" i="4"/>
  <c r="M65" i="4"/>
  <c r="L65" i="4"/>
  <c r="K65" i="4"/>
  <c r="J65" i="4"/>
  <c r="C65" i="4"/>
  <c r="A65" i="4"/>
  <c r="AD64" i="4"/>
  <c r="AC64" i="4"/>
  <c r="AB64" i="4"/>
  <c r="Z64" i="4"/>
  <c r="Y64" i="4"/>
  <c r="X64" i="4"/>
  <c r="W64" i="4"/>
  <c r="V64" i="4"/>
  <c r="U64" i="4"/>
  <c r="T64" i="4"/>
  <c r="S64" i="4"/>
  <c r="R64" i="4"/>
  <c r="Q64" i="4"/>
  <c r="P64" i="4"/>
  <c r="O64" i="4"/>
  <c r="N64" i="4"/>
  <c r="M64" i="4"/>
  <c r="L64" i="4"/>
  <c r="K64" i="4"/>
  <c r="J64" i="4"/>
  <c r="C64" i="4"/>
  <c r="A64" i="4"/>
  <c r="AD63" i="4"/>
  <c r="AC63" i="4"/>
  <c r="AB63" i="4"/>
  <c r="Z63" i="4"/>
  <c r="Y63" i="4"/>
  <c r="X63" i="4"/>
  <c r="W63" i="4"/>
  <c r="V63" i="4"/>
  <c r="U63" i="4"/>
  <c r="T63" i="4"/>
  <c r="S63" i="4"/>
  <c r="R63" i="4"/>
  <c r="Q63" i="4"/>
  <c r="P63" i="4"/>
  <c r="O63" i="4"/>
  <c r="N63" i="4"/>
  <c r="M63" i="4"/>
  <c r="L63" i="4"/>
  <c r="K63" i="4"/>
  <c r="J63" i="4"/>
  <c r="C63" i="4"/>
  <c r="A63" i="4"/>
  <c r="AD62" i="4"/>
  <c r="AC62" i="4"/>
  <c r="AB62" i="4"/>
  <c r="Z62" i="4"/>
  <c r="Y62" i="4"/>
  <c r="X62" i="4"/>
  <c r="W62" i="4"/>
  <c r="V62" i="4"/>
  <c r="U62" i="4"/>
  <c r="T62" i="4"/>
  <c r="S62" i="4"/>
  <c r="R62" i="4"/>
  <c r="Q62" i="4"/>
  <c r="P62" i="4"/>
  <c r="O62" i="4"/>
  <c r="N62" i="4"/>
  <c r="M62" i="4"/>
  <c r="L62" i="4"/>
  <c r="K62" i="4"/>
  <c r="J62" i="4"/>
  <c r="C62" i="4"/>
  <c r="A62" i="4"/>
  <c r="AD61" i="4"/>
  <c r="AC61" i="4"/>
  <c r="AB61" i="4"/>
  <c r="Z61" i="4"/>
  <c r="Y61" i="4"/>
  <c r="X61" i="4"/>
  <c r="W61" i="4"/>
  <c r="V61" i="4"/>
  <c r="U61" i="4"/>
  <c r="T61" i="4"/>
  <c r="S61" i="4"/>
  <c r="R61" i="4"/>
  <c r="Q61" i="4"/>
  <c r="P61" i="4"/>
  <c r="O61" i="4"/>
  <c r="N61" i="4"/>
  <c r="M61" i="4"/>
  <c r="L61" i="4"/>
  <c r="K61" i="4"/>
  <c r="J61" i="4"/>
  <c r="C61" i="4"/>
  <c r="A61" i="4"/>
  <c r="AD60" i="4"/>
  <c r="AC60" i="4"/>
  <c r="AB60" i="4"/>
  <c r="Z60" i="4"/>
  <c r="Y60" i="4"/>
  <c r="X60" i="4"/>
  <c r="W60" i="4"/>
  <c r="V60" i="4"/>
  <c r="U60" i="4"/>
  <c r="T60" i="4"/>
  <c r="S60" i="4"/>
  <c r="R60" i="4"/>
  <c r="Q60" i="4"/>
  <c r="P60" i="4"/>
  <c r="O60" i="4"/>
  <c r="N60" i="4"/>
  <c r="M60" i="4"/>
  <c r="L60" i="4"/>
  <c r="K60" i="4"/>
  <c r="J60" i="4"/>
  <c r="C60" i="4"/>
  <c r="A60" i="4"/>
  <c r="AD59" i="4"/>
  <c r="AC59" i="4"/>
  <c r="AB59" i="4"/>
  <c r="Z59" i="4"/>
  <c r="Y59" i="4"/>
  <c r="X59" i="4"/>
  <c r="W59" i="4"/>
  <c r="V59" i="4"/>
  <c r="U59" i="4"/>
  <c r="T59" i="4"/>
  <c r="S59" i="4"/>
  <c r="R59" i="4"/>
  <c r="Q59" i="4"/>
  <c r="P59" i="4"/>
  <c r="O59" i="4"/>
  <c r="N59" i="4"/>
  <c r="M59" i="4"/>
  <c r="L59" i="4"/>
  <c r="K59" i="4"/>
  <c r="J59" i="4"/>
  <c r="C59" i="4"/>
  <c r="A59" i="4"/>
  <c r="AD58" i="4"/>
  <c r="AC58" i="4"/>
  <c r="AB58" i="4"/>
  <c r="Z58" i="4"/>
  <c r="Y58" i="4"/>
  <c r="X58" i="4"/>
  <c r="W58" i="4"/>
  <c r="V58" i="4"/>
  <c r="U58" i="4"/>
  <c r="T58" i="4"/>
  <c r="S58" i="4"/>
  <c r="R58" i="4"/>
  <c r="Q58" i="4"/>
  <c r="P58" i="4"/>
  <c r="O58" i="4"/>
  <c r="N58" i="4"/>
  <c r="M58" i="4"/>
  <c r="L58" i="4"/>
  <c r="K58" i="4"/>
  <c r="J58" i="4"/>
  <c r="C58" i="4"/>
  <c r="A58" i="4"/>
  <c r="AD57" i="4"/>
  <c r="AC57" i="4"/>
  <c r="AB57" i="4"/>
  <c r="Z57" i="4"/>
  <c r="Y57" i="4"/>
  <c r="X57" i="4"/>
  <c r="W57" i="4"/>
  <c r="V57" i="4"/>
  <c r="U57" i="4"/>
  <c r="T57" i="4"/>
  <c r="S57" i="4"/>
  <c r="R57" i="4"/>
  <c r="Q57" i="4"/>
  <c r="P57" i="4"/>
  <c r="O57" i="4"/>
  <c r="N57" i="4"/>
  <c r="M57" i="4"/>
  <c r="L57" i="4"/>
  <c r="K57" i="4"/>
  <c r="J57" i="4"/>
  <c r="C57" i="4"/>
  <c r="A57" i="4"/>
  <c r="AD56" i="4"/>
  <c r="AC56" i="4"/>
  <c r="AB56" i="4"/>
  <c r="Z56" i="4"/>
  <c r="Y56" i="4"/>
  <c r="X56" i="4"/>
  <c r="W56" i="4"/>
  <c r="V56" i="4"/>
  <c r="U56" i="4"/>
  <c r="T56" i="4"/>
  <c r="S56" i="4"/>
  <c r="R56" i="4"/>
  <c r="Q56" i="4"/>
  <c r="P56" i="4"/>
  <c r="O56" i="4"/>
  <c r="N56" i="4"/>
  <c r="M56" i="4"/>
  <c r="L56" i="4"/>
  <c r="K56" i="4"/>
  <c r="J56" i="4"/>
  <c r="C56" i="4"/>
  <c r="A56" i="4"/>
  <c r="AD55" i="4"/>
  <c r="AC55" i="4"/>
  <c r="AB55" i="4"/>
  <c r="Z55" i="4"/>
  <c r="Y55" i="4"/>
  <c r="X55" i="4"/>
  <c r="W55" i="4"/>
  <c r="V55" i="4"/>
  <c r="U55" i="4"/>
  <c r="T55" i="4"/>
  <c r="S55" i="4"/>
  <c r="R55" i="4"/>
  <c r="Q55" i="4"/>
  <c r="P55" i="4"/>
  <c r="O55" i="4"/>
  <c r="N55" i="4"/>
  <c r="M55" i="4"/>
  <c r="L55" i="4"/>
  <c r="K55" i="4"/>
  <c r="J55" i="4"/>
  <c r="C55" i="4"/>
  <c r="A55" i="4"/>
  <c r="AD54" i="4"/>
  <c r="AC54" i="4"/>
  <c r="AB54" i="4"/>
  <c r="Z54" i="4"/>
  <c r="Y54" i="4"/>
  <c r="X54" i="4"/>
  <c r="W54" i="4"/>
  <c r="V54" i="4"/>
  <c r="U54" i="4"/>
  <c r="T54" i="4"/>
  <c r="S54" i="4"/>
  <c r="R54" i="4"/>
  <c r="Q54" i="4"/>
  <c r="P54" i="4"/>
  <c r="O54" i="4"/>
  <c r="N54" i="4"/>
  <c r="M54" i="4"/>
  <c r="L54" i="4"/>
  <c r="K54" i="4"/>
  <c r="J54" i="4"/>
  <c r="C54" i="4"/>
  <c r="A54" i="4"/>
  <c r="AD53" i="4"/>
  <c r="AC53" i="4"/>
  <c r="AB53" i="4"/>
  <c r="Z53" i="4"/>
  <c r="Y53" i="4"/>
  <c r="X53" i="4"/>
  <c r="W53" i="4"/>
  <c r="V53" i="4"/>
  <c r="U53" i="4"/>
  <c r="T53" i="4"/>
  <c r="S53" i="4"/>
  <c r="R53" i="4"/>
  <c r="Q53" i="4"/>
  <c r="P53" i="4"/>
  <c r="O53" i="4"/>
  <c r="N53" i="4"/>
  <c r="M53" i="4"/>
  <c r="L53" i="4"/>
  <c r="K53" i="4"/>
  <c r="J53" i="4"/>
  <c r="C53" i="4"/>
  <c r="A53" i="4"/>
  <c r="AD52" i="4"/>
  <c r="AC52" i="4"/>
  <c r="AB52" i="4"/>
  <c r="Z52" i="4"/>
  <c r="Y52" i="4"/>
  <c r="X52" i="4"/>
  <c r="W52" i="4"/>
  <c r="V52" i="4"/>
  <c r="U52" i="4"/>
  <c r="T52" i="4"/>
  <c r="S52" i="4"/>
  <c r="R52" i="4"/>
  <c r="Q52" i="4"/>
  <c r="P52" i="4"/>
  <c r="O52" i="4"/>
  <c r="N52" i="4"/>
  <c r="M52" i="4"/>
  <c r="L52" i="4"/>
  <c r="K52" i="4"/>
  <c r="J52" i="4"/>
  <c r="C52" i="4"/>
  <c r="A52" i="4"/>
  <c r="AD51" i="4"/>
  <c r="AC51" i="4"/>
  <c r="AB51" i="4"/>
  <c r="Z51" i="4"/>
  <c r="Y51" i="4"/>
  <c r="X51" i="4"/>
  <c r="W51" i="4"/>
  <c r="V51" i="4"/>
  <c r="U51" i="4"/>
  <c r="T51" i="4"/>
  <c r="S51" i="4"/>
  <c r="R51" i="4"/>
  <c r="Q51" i="4"/>
  <c r="P51" i="4"/>
  <c r="O51" i="4"/>
  <c r="N51" i="4"/>
  <c r="M51" i="4"/>
  <c r="L51" i="4"/>
  <c r="K51" i="4"/>
  <c r="J51" i="4"/>
  <c r="C51" i="4"/>
  <c r="A51" i="4"/>
  <c r="AD50" i="4"/>
  <c r="AC50" i="4"/>
  <c r="AB50" i="4"/>
  <c r="Z50" i="4"/>
  <c r="Y50" i="4"/>
  <c r="X50" i="4"/>
  <c r="W50" i="4"/>
  <c r="V50" i="4"/>
  <c r="U50" i="4"/>
  <c r="T50" i="4"/>
  <c r="S50" i="4"/>
  <c r="R50" i="4"/>
  <c r="Q50" i="4"/>
  <c r="P50" i="4"/>
  <c r="O50" i="4"/>
  <c r="N50" i="4"/>
  <c r="M50" i="4"/>
  <c r="L50" i="4"/>
  <c r="K50" i="4"/>
  <c r="J50" i="4"/>
  <c r="C50" i="4"/>
  <c r="A50" i="4"/>
  <c r="AD49" i="4"/>
  <c r="AC49" i="4"/>
  <c r="AB49" i="4"/>
  <c r="Z49" i="4"/>
  <c r="Y49" i="4"/>
  <c r="X49" i="4"/>
  <c r="W49" i="4"/>
  <c r="V49" i="4"/>
  <c r="U49" i="4"/>
  <c r="T49" i="4"/>
  <c r="S49" i="4"/>
  <c r="R49" i="4"/>
  <c r="Q49" i="4"/>
  <c r="P49" i="4"/>
  <c r="O49" i="4"/>
  <c r="N49" i="4"/>
  <c r="M49" i="4"/>
  <c r="L49" i="4"/>
  <c r="K49" i="4"/>
  <c r="J49" i="4"/>
  <c r="C49" i="4"/>
  <c r="A49" i="4"/>
  <c r="AD48" i="4"/>
  <c r="AC48" i="4"/>
  <c r="AB48" i="4"/>
  <c r="Z48" i="4"/>
  <c r="Y48" i="4"/>
  <c r="X48" i="4"/>
  <c r="W48" i="4"/>
  <c r="V48" i="4"/>
  <c r="U48" i="4"/>
  <c r="T48" i="4"/>
  <c r="S48" i="4"/>
  <c r="R48" i="4"/>
  <c r="Q48" i="4"/>
  <c r="P48" i="4"/>
  <c r="O48" i="4"/>
  <c r="N48" i="4"/>
  <c r="M48" i="4"/>
  <c r="L48" i="4"/>
  <c r="K48" i="4"/>
  <c r="J48" i="4"/>
  <c r="C48" i="4"/>
  <c r="A48" i="4"/>
  <c r="AD47" i="4"/>
  <c r="AC47" i="4"/>
  <c r="AB47" i="4"/>
  <c r="Z47" i="4"/>
  <c r="Y47" i="4"/>
  <c r="X47" i="4"/>
  <c r="W47" i="4"/>
  <c r="V47" i="4"/>
  <c r="U47" i="4"/>
  <c r="T47" i="4"/>
  <c r="S47" i="4"/>
  <c r="R47" i="4"/>
  <c r="Q47" i="4"/>
  <c r="P47" i="4"/>
  <c r="O47" i="4"/>
  <c r="N47" i="4"/>
  <c r="M47" i="4"/>
  <c r="L47" i="4"/>
  <c r="K47" i="4"/>
  <c r="J47" i="4"/>
  <c r="C47" i="4"/>
  <c r="A47" i="4"/>
  <c r="AD46" i="4"/>
  <c r="AC46" i="4"/>
  <c r="AB46" i="4"/>
  <c r="Z46" i="4"/>
  <c r="Y46" i="4"/>
  <c r="X46" i="4"/>
  <c r="W46" i="4"/>
  <c r="V46" i="4"/>
  <c r="U46" i="4"/>
  <c r="T46" i="4"/>
  <c r="S46" i="4"/>
  <c r="R46" i="4"/>
  <c r="Q46" i="4"/>
  <c r="P46" i="4"/>
  <c r="O46" i="4"/>
  <c r="N46" i="4"/>
  <c r="M46" i="4"/>
  <c r="L46" i="4"/>
  <c r="K46" i="4"/>
  <c r="J46" i="4"/>
  <c r="C46" i="4"/>
  <c r="A46" i="4"/>
  <c r="AD45" i="4"/>
  <c r="AC45" i="4"/>
  <c r="AB45" i="4"/>
  <c r="Z45" i="4"/>
  <c r="Y45" i="4"/>
  <c r="X45" i="4"/>
  <c r="W45" i="4"/>
  <c r="V45" i="4"/>
  <c r="U45" i="4"/>
  <c r="T45" i="4"/>
  <c r="S45" i="4"/>
  <c r="R45" i="4"/>
  <c r="Q45" i="4"/>
  <c r="P45" i="4"/>
  <c r="O45" i="4"/>
  <c r="N45" i="4"/>
  <c r="M45" i="4"/>
  <c r="L45" i="4"/>
  <c r="K45" i="4"/>
  <c r="J45" i="4"/>
  <c r="C45" i="4"/>
  <c r="A45" i="4"/>
  <c r="AD44" i="4"/>
  <c r="AC44" i="4"/>
  <c r="AB44" i="4"/>
  <c r="Z44" i="4"/>
  <c r="Y44" i="4"/>
  <c r="X44" i="4"/>
  <c r="W44" i="4"/>
  <c r="V44" i="4"/>
  <c r="U44" i="4"/>
  <c r="T44" i="4"/>
  <c r="S44" i="4"/>
  <c r="R44" i="4"/>
  <c r="Q44" i="4"/>
  <c r="P44" i="4"/>
  <c r="O44" i="4"/>
  <c r="N44" i="4"/>
  <c r="M44" i="4"/>
  <c r="L44" i="4"/>
  <c r="K44" i="4"/>
  <c r="J44" i="4"/>
  <c r="C44" i="4"/>
  <c r="A44" i="4"/>
  <c r="AD43" i="4"/>
  <c r="AC43" i="4"/>
  <c r="AB43" i="4"/>
  <c r="Z43" i="4"/>
  <c r="Y43" i="4"/>
  <c r="X43" i="4"/>
  <c r="W43" i="4"/>
  <c r="V43" i="4"/>
  <c r="U43" i="4"/>
  <c r="T43" i="4"/>
  <c r="S43" i="4"/>
  <c r="R43" i="4"/>
  <c r="Q43" i="4"/>
  <c r="P43" i="4"/>
  <c r="O43" i="4"/>
  <c r="N43" i="4"/>
  <c r="M43" i="4"/>
  <c r="L43" i="4"/>
  <c r="K43" i="4"/>
  <c r="J43" i="4"/>
  <c r="C43" i="4"/>
  <c r="A43" i="4"/>
  <c r="AD42" i="4"/>
  <c r="AC42" i="4"/>
  <c r="AB42" i="4"/>
  <c r="Z42" i="4"/>
  <c r="Y42" i="4"/>
  <c r="X42" i="4"/>
  <c r="W42" i="4"/>
  <c r="V42" i="4"/>
  <c r="U42" i="4"/>
  <c r="T42" i="4"/>
  <c r="S42" i="4"/>
  <c r="R42" i="4"/>
  <c r="Q42" i="4"/>
  <c r="P42" i="4"/>
  <c r="O42" i="4"/>
  <c r="N42" i="4"/>
  <c r="M42" i="4"/>
  <c r="L42" i="4"/>
  <c r="K42" i="4"/>
  <c r="J42" i="4"/>
  <c r="C42" i="4"/>
  <c r="A42" i="4"/>
  <c r="AD41" i="4"/>
  <c r="AC41" i="4"/>
  <c r="AB41" i="4"/>
  <c r="Z41" i="4"/>
  <c r="Y41" i="4"/>
  <c r="X41" i="4"/>
  <c r="W41" i="4"/>
  <c r="V41" i="4"/>
  <c r="U41" i="4"/>
  <c r="T41" i="4"/>
  <c r="S41" i="4"/>
  <c r="R41" i="4"/>
  <c r="Q41" i="4"/>
  <c r="P41" i="4"/>
  <c r="O41" i="4"/>
  <c r="N41" i="4"/>
  <c r="M41" i="4"/>
  <c r="L41" i="4"/>
  <c r="K41" i="4"/>
  <c r="J41" i="4"/>
  <c r="C41" i="4"/>
  <c r="A41" i="4"/>
  <c r="AD40" i="4"/>
  <c r="AC40" i="4"/>
  <c r="AB40" i="4"/>
  <c r="Z40" i="4"/>
  <c r="Y40" i="4"/>
  <c r="X40" i="4"/>
  <c r="W40" i="4"/>
  <c r="V40" i="4"/>
  <c r="U40" i="4"/>
  <c r="T40" i="4"/>
  <c r="S40" i="4"/>
  <c r="R40" i="4"/>
  <c r="Q40" i="4"/>
  <c r="P40" i="4"/>
  <c r="O40" i="4"/>
  <c r="N40" i="4"/>
  <c r="M40" i="4"/>
  <c r="L40" i="4"/>
  <c r="K40" i="4"/>
  <c r="J40" i="4"/>
  <c r="C40" i="4"/>
  <c r="A40" i="4"/>
  <c r="AD39" i="4"/>
  <c r="AC39" i="4"/>
  <c r="AB39" i="4"/>
  <c r="Z39" i="4"/>
  <c r="Y39" i="4"/>
  <c r="X39" i="4"/>
  <c r="W39" i="4"/>
  <c r="V39" i="4"/>
  <c r="U39" i="4"/>
  <c r="T39" i="4"/>
  <c r="S39" i="4"/>
  <c r="R39" i="4"/>
  <c r="Q39" i="4"/>
  <c r="P39" i="4"/>
  <c r="O39" i="4"/>
  <c r="N39" i="4"/>
  <c r="M39" i="4"/>
  <c r="L39" i="4"/>
  <c r="K39" i="4"/>
  <c r="J39" i="4"/>
  <c r="C39" i="4"/>
  <c r="A39" i="4"/>
  <c r="AD38" i="4"/>
  <c r="AC38" i="4"/>
  <c r="AB38" i="4"/>
  <c r="Z38" i="4"/>
  <c r="Y38" i="4"/>
  <c r="X38" i="4"/>
  <c r="W38" i="4"/>
  <c r="V38" i="4"/>
  <c r="U38" i="4"/>
  <c r="T38" i="4"/>
  <c r="S38" i="4"/>
  <c r="R38" i="4"/>
  <c r="Q38" i="4"/>
  <c r="P38" i="4"/>
  <c r="O38" i="4"/>
  <c r="N38" i="4"/>
  <c r="M38" i="4"/>
  <c r="L38" i="4"/>
  <c r="K38" i="4"/>
  <c r="J38" i="4"/>
  <c r="C38" i="4"/>
  <c r="A38" i="4"/>
  <c r="AD37" i="4"/>
  <c r="AC37" i="4"/>
  <c r="AB37" i="4"/>
  <c r="Z37" i="4"/>
  <c r="Y37" i="4"/>
  <c r="X37" i="4"/>
  <c r="W37" i="4"/>
  <c r="V37" i="4"/>
  <c r="U37" i="4"/>
  <c r="T37" i="4"/>
  <c r="S37" i="4"/>
  <c r="R37" i="4"/>
  <c r="Q37" i="4"/>
  <c r="P37" i="4"/>
  <c r="O37" i="4"/>
  <c r="N37" i="4"/>
  <c r="M37" i="4"/>
  <c r="L37" i="4"/>
  <c r="K37" i="4"/>
  <c r="J37" i="4"/>
  <c r="C37" i="4"/>
  <c r="A37" i="4"/>
  <c r="AD36" i="4"/>
  <c r="AC36" i="4"/>
  <c r="AB36" i="4"/>
  <c r="Z36" i="4"/>
  <c r="Y36" i="4"/>
  <c r="X36" i="4"/>
  <c r="W36" i="4"/>
  <c r="V36" i="4"/>
  <c r="U36" i="4"/>
  <c r="T36" i="4"/>
  <c r="S36" i="4"/>
  <c r="R36" i="4"/>
  <c r="Q36" i="4"/>
  <c r="P36" i="4"/>
  <c r="O36" i="4"/>
  <c r="N36" i="4"/>
  <c r="M36" i="4"/>
  <c r="L36" i="4"/>
  <c r="K36" i="4"/>
  <c r="J36" i="4"/>
  <c r="C36" i="4"/>
  <c r="A36" i="4"/>
  <c r="AD35" i="4"/>
  <c r="AC35" i="4"/>
  <c r="AB35" i="4"/>
  <c r="Z35" i="4"/>
  <c r="Y35" i="4"/>
  <c r="X35" i="4"/>
  <c r="W35" i="4"/>
  <c r="V35" i="4"/>
  <c r="U35" i="4"/>
  <c r="T35" i="4"/>
  <c r="S35" i="4"/>
  <c r="R35" i="4"/>
  <c r="Q35" i="4"/>
  <c r="P35" i="4"/>
  <c r="O35" i="4"/>
  <c r="N35" i="4"/>
  <c r="M35" i="4"/>
  <c r="L35" i="4"/>
  <c r="K35" i="4"/>
  <c r="J35" i="4"/>
  <c r="C35" i="4"/>
  <c r="A35" i="4"/>
  <c r="AD34" i="4"/>
  <c r="AC34" i="4"/>
  <c r="AB34" i="4"/>
  <c r="Z34" i="4"/>
  <c r="Y34" i="4"/>
  <c r="X34" i="4"/>
  <c r="W34" i="4"/>
  <c r="V34" i="4"/>
  <c r="U34" i="4"/>
  <c r="T34" i="4"/>
  <c r="S34" i="4"/>
  <c r="R34" i="4"/>
  <c r="Q34" i="4"/>
  <c r="P34" i="4"/>
  <c r="O34" i="4"/>
  <c r="N34" i="4"/>
  <c r="M34" i="4"/>
  <c r="L34" i="4"/>
  <c r="K34" i="4"/>
  <c r="J34" i="4"/>
  <c r="C34" i="4"/>
  <c r="A34" i="4"/>
  <c r="AD33" i="4"/>
  <c r="AC33" i="4"/>
  <c r="AB33" i="4"/>
  <c r="Z33" i="4"/>
  <c r="Y33" i="4"/>
  <c r="X33" i="4"/>
  <c r="W33" i="4"/>
  <c r="V33" i="4"/>
  <c r="U33" i="4"/>
  <c r="T33" i="4"/>
  <c r="S33" i="4"/>
  <c r="R33" i="4"/>
  <c r="Q33" i="4"/>
  <c r="P33" i="4"/>
  <c r="O33" i="4"/>
  <c r="N33" i="4"/>
  <c r="M33" i="4"/>
  <c r="L33" i="4"/>
  <c r="K33" i="4"/>
  <c r="J33" i="4"/>
  <c r="C33" i="4"/>
  <c r="A33" i="4"/>
  <c r="AD32" i="4"/>
  <c r="AC32" i="4"/>
  <c r="AB32" i="4"/>
  <c r="Z32" i="4"/>
  <c r="Y32" i="4"/>
  <c r="X32" i="4"/>
  <c r="W32" i="4"/>
  <c r="V32" i="4"/>
  <c r="U32" i="4"/>
  <c r="T32" i="4"/>
  <c r="S32" i="4"/>
  <c r="R32" i="4"/>
  <c r="Q32" i="4"/>
  <c r="P32" i="4"/>
  <c r="O32" i="4"/>
  <c r="N32" i="4"/>
  <c r="M32" i="4"/>
  <c r="L32" i="4"/>
  <c r="K32" i="4"/>
  <c r="J32" i="4"/>
  <c r="C32" i="4"/>
  <c r="A32" i="4"/>
  <c r="AD31" i="4"/>
  <c r="AC31" i="4"/>
  <c r="AB31" i="4"/>
  <c r="Z31" i="4"/>
  <c r="Y31" i="4"/>
  <c r="X31" i="4"/>
  <c r="W31" i="4"/>
  <c r="V31" i="4"/>
  <c r="U31" i="4"/>
  <c r="T31" i="4"/>
  <c r="S31" i="4"/>
  <c r="R31" i="4"/>
  <c r="Q31" i="4"/>
  <c r="P31" i="4"/>
  <c r="O31" i="4"/>
  <c r="N31" i="4"/>
  <c r="M31" i="4"/>
  <c r="L31" i="4"/>
  <c r="K31" i="4"/>
  <c r="J31" i="4"/>
  <c r="C31" i="4"/>
  <c r="A31" i="4"/>
  <c r="AD30" i="4"/>
  <c r="AC30" i="4"/>
  <c r="AB30" i="4"/>
  <c r="Z30" i="4"/>
  <c r="Y30" i="4"/>
  <c r="X30" i="4"/>
  <c r="W30" i="4"/>
  <c r="V30" i="4"/>
  <c r="U30" i="4"/>
  <c r="T30" i="4"/>
  <c r="S30" i="4"/>
  <c r="R30" i="4"/>
  <c r="Q30" i="4"/>
  <c r="P30" i="4"/>
  <c r="O30" i="4"/>
  <c r="N30" i="4"/>
  <c r="M30" i="4"/>
  <c r="L30" i="4"/>
  <c r="K30" i="4"/>
  <c r="J30" i="4"/>
  <c r="C30" i="4"/>
  <c r="A30" i="4"/>
  <c r="AD29" i="4"/>
  <c r="AC29" i="4"/>
  <c r="AB29" i="4"/>
  <c r="Z29" i="4"/>
  <c r="Y29" i="4"/>
  <c r="X29" i="4"/>
  <c r="W29" i="4"/>
  <c r="V29" i="4"/>
  <c r="U29" i="4"/>
  <c r="T29" i="4"/>
  <c r="S29" i="4"/>
  <c r="R29" i="4"/>
  <c r="Q29" i="4"/>
  <c r="P29" i="4"/>
  <c r="O29" i="4"/>
  <c r="N29" i="4"/>
  <c r="M29" i="4"/>
  <c r="L29" i="4"/>
  <c r="K29" i="4"/>
  <c r="J29" i="4"/>
  <c r="C29" i="4"/>
  <c r="A29" i="4"/>
  <c r="AD28" i="4"/>
  <c r="AC28" i="4"/>
  <c r="AB28" i="4"/>
  <c r="Z28" i="4"/>
  <c r="Y28" i="4"/>
  <c r="X28" i="4"/>
  <c r="W28" i="4"/>
  <c r="V28" i="4"/>
  <c r="U28" i="4"/>
  <c r="T28" i="4"/>
  <c r="S28" i="4"/>
  <c r="R28" i="4"/>
  <c r="Q28" i="4"/>
  <c r="P28" i="4"/>
  <c r="O28" i="4"/>
  <c r="N28" i="4"/>
  <c r="M28" i="4"/>
  <c r="L28" i="4"/>
  <c r="K28" i="4"/>
  <c r="J28" i="4"/>
  <c r="C28" i="4"/>
  <c r="A28" i="4"/>
  <c r="AD27" i="4"/>
  <c r="AC27" i="4"/>
  <c r="AB27" i="4"/>
  <c r="Z27" i="4"/>
  <c r="Y27" i="4"/>
  <c r="X27" i="4"/>
  <c r="W27" i="4"/>
  <c r="V27" i="4"/>
  <c r="U27" i="4"/>
  <c r="T27" i="4"/>
  <c r="S27" i="4"/>
  <c r="R27" i="4"/>
  <c r="Q27" i="4"/>
  <c r="P27" i="4"/>
  <c r="O27" i="4"/>
  <c r="N27" i="4"/>
  <c r="M27" i="4"/>
  <c r="L27" i="4"/>
  <c r="K27" i="4"/>
  <c r="J27" i="4"/>
  <c r="C27" i="4"/>
  <c r="A27" i="4"/>
  <c r="AD26" i="4"/>
  <c r="AC26" i="4"/>
  <c r="AB26" i="4"/>
  <c r="Z26" i="4"/>
  <c r="Y26" i="4"/>
  <c r="X26" i="4"/>
  <c r="W26" i="4"/>
  <c r="V26" i="4"/>
  <c r="U26" i="4"/>
  <c r="T26" i="4"/>
  <c r="S26" i="4"/>
  <c r="R26" i="4"/>
  <c r="Q26" i="4"/>
  <c r="P26" i="4"/>
  <c r="O26" i="4"/>
  <c r="N26" i="4"/>
  <c r="M26" i="4"/>
  <c r="L26" i="4"/>
  <c r="K26" i="4"/>
  <c r="J26" i="4"/>
  <c r="C26" i="4"/>
  <c r="A26" i="4"/>
  <c r="AD25" i="4"/>
  <c r="AC25" i="4"/>
  <c r="AB25" i="4"/>
  <c r="Z25" i="4"/>
  <c r="Y25" i="4"/>
  <c r="X25" i="4"/>
  <c r="W25" i="4"/>
  <c r="V25" i="4"/>
  <c r="U25" i="4"/>
  <c r="T25" i="4"/>
  <c r="S25" i="4"/>
  <c r="R25" i="4"/>
  <c r="Q25" i="4"/>
  <c r="P25" i="4"/>
  <c r="O25" i="4"/>
  <c r="N25" i="4"/>
  <c r="M25" i="4"/>
  <c r="L25" i="4"/>
  <c r="K25" i="4"/>
  <c r="J25" i="4"/>
  <c r="C25" i="4"/>
  <c r="A25" i="4"/>
  <c r="AD24" i="4"/>
  <c r="AC24" i="4"/>
  <c r="AB24" i="4"/>
  <c r="Z24" i="4"/>
  <c r="Y24" i="4"/>
  <c r="X24" i="4"/>
  <c r="W24" i="4"/>
  <c r="V24" i="4"/>
  <c r="U24" i="4"/>
  <c r="T24" i="4"/>
  <c r="S24" i="4"/>
  <c r="R24" i="4"/>
  <c r="Q24" i="4"/>
  <c r="P24" i="4"/>
  <c r="O24" i="4"/>
  <c r="N24" i="4"/>
  <c r="M24" i="4"/>
  <c r="L24" i="4"/>
  <c r="K24" i="4"/>
  <c r="J24" i="4"/>
  <c r="C24" i="4"/>
  <c r="A24" i="4"/>
  <c r="AD23" i="4"/>
  <c r="AC23" i="4"/>
  <c r="AB23" i="4"/>
  <c r="Z23" i="4"/>
  <c r="Y23" i="4"/>
  <c r="X23" i="4"/>
  <c r="W23" i="4"/>
  <c r="V23" i="4"/>
  <c r="U23" i="4"/>
  <c r="T23" i="4"/>
  <c r="S23" i="4"/>
  <c r="R23" i="4"/>
  <c r="Q23" i="4"/>
  <c r="P23" i="4"/>
  <c r="O23" i="4"/>
  <c r="N23" i="4"/>
  <c r="M23" i="4"/>
  <c r="L23" i="4"/>
  <c r="K23" i="4"/>
  <c r="J23" i="4"/>
  <c r="C23" i="4"/>
  <c r="A23" i="4"/>
  <c r="AD22" i="4"/>
  <c r="AC22" i="4"/>
  <c r="AB22" i="4"/>
  <c r="Z22" i="4"/>
  <c r="Y22" i="4"/>
  <c r="X22" i="4"/>
  <c r="W22" i="4"/>
  <c r="V22" i="4"/>
  <c r="U22" i="4"/>
  <c r="T22" i="4"/>
  <c r="S22" i="4"/>
  <c r="R22" i="4"/>
  <c r="Q22" i="4"/>
  <c r="P22" i="4"/>
  <c r="O22" i="4"/>
  <c r="N22" i="4"/>
  <c r="M22" i="4"/>
  <c r="L22" i="4"/>
  <c r="K22" i="4"/>
  <c r="J22" i="4"/>
  <c r="C22" i="4"/>
  <c r="A22" i="4"/>
  <c r="AD21" i="4"/>
  <c r="AC21" i="4"/>
  <c r="AB21" i="4"/>
  <c r="Z21" i="4"/>
  <c r="Y21" i="4"/>
  <c r="X21" i="4"/>
  <c r="W21" i="4"/>
  <c r="V21" i="4"/>
  <c r="U21" i="4"/>
  <c r="T21" i="4"/>
  <c r="S21" i="4"/>
  <c r="R21" i="4"/>
  <c r="Q21" i="4"/>
  <c r="P21" i="4"/>
  <c r="O21" i="4"/>
  <c r="N21" i="4"/>
  <c r="M21" i="4"/>
  <c r="L21" i="4"/>
  <c r="K21" i="4"/>
  <c r="J21" i="4"/>
  <c r="C21" i="4"/>
  <c r="A21" i="4"/>
  <c r="AD20" i="4"/>
  <c r="AC20" i="4"/>
  <c r="AB20" i="4"/>
  <c r="Z20" i="4"/>
  <c r="Y20" i="4"/>
  <c r="X20" i="4"/>
  <c r="W20" i="4"/>
  <c r="V20" i="4"/>
  <c r="U20" i="4"/>
  <c r="T20" i="4"/>
  <c r="S20" i="4"/>
  <c r="R20" i="4"/>
  <c r="Q20" i="4"/>
  <c r="P20" i="4"/>
  <c r="O20" i="4"/>
  <c r="N20" i="4"/>
  <c r="M20" i="4"/>
  <c r="L20" i="4"/>
  <c r="K20" i="4"/>
  <c r="J20" i="4"/>
  <c r="C20" i="4"/>
  <c r="A20" i="4"/>
  <c r="AD19" i="4"/>
  <c r="AC19" i="4"/>
  <c r="AB19" i="4"/>
  <c r="Z19" i="4"/>
  <c r="Y19" i="4"/>
  <c r="X19" i="4"/>
  <c r="W19" i="4"/>
  <c r="V19" i="4"/>
  <c r="U19" i="4"/>
  <c r="T19" i="4"/>
  <c r="S19" i="4"/>
  <c r="R19" i="4"/>
  <c r="Q19" i="4"/>
  <c r="P19" i="4"/>
  <c r="O19" i="4"/>
  <c r="N19" i="4"/>
  <c r="M19" i="4"/>
  <c r="L19" i="4"/>
  <c r="K19" i="4"/>
  <c r="J19" i="4"/>
  <c r="C19" i="4"/>
  <c r="A19" i="4"/>
  <c r="AD18" i="4"/>
  <c r="AC18" i="4"/>
  <c r="AB18" i="4"/>
  <c r="Z18" i="4"/>
  <c r="Y18" i="4"/>
  <c r="X18" i="4"/>
  <c r="W18" i="4"/>
  <c r="V18" i="4"/>
  <c r="U18" i="4"/>
  <c r="T18" i="4"/>
  <c r="S18" i="4"/>
  <c r="R18" i="4"/>
  <c r="Q18" i="4"/>
  <c r="P18" i="4"/>
  <c r="O18" i="4"/>
  <c r="N18" i="4"/>
  <c r="M18" i="4"/>
  <c r="L18" i="4"/>
  <c r="K18" i="4"/>
  <c r="J18" i="4"/>
  <c r="C18" i="4"/>
  <c r="A18" i="4"/>
  <c r="AD17" i="4"/>
  <c r="AC17" i="4"/>
  <c r="AB17" i="4"/>
  <c r="Z17" i="4"/>
  <c r="Y17" i="4"/>
  <c r="X17" i="4"/>
  <c r="W17" i="4"/>
  <c r="V17" i="4"/>
  <c r="U17" i="4"/>
  <c r="T17" i="4"/>
  <c r="S17" i="4"/>
  <c r="R17" i="4"/>
  <c r="Q17" i="4"/>
  <c r="P17" i="4"/>
  <c r="O17" i="4"/>
  <c r="N17" i="4"/>
  <c r="M17" i="4"/>
  <c r="L17" i="4"/>
  <c r="K17" i="4"/>
  <c r="J17" i="4"/>
  <c r="C17" i="4"/>
  <c r="A17" i="4"/>
  <c r="AD16" i="4"/>
  <c r="AC16" i="4"/>
  <c r="AB16" i="4"/>
  <c r="Z16" i="4"/>
  <c r="Y16" i="4"/>
  <c r="X16" i="4"/>
  <c r="W16" i="4"/>
  <c r="V16" i="4"/>
  <c r="U16" i="4"/>
  <c r="T16" i="4"/>
  <c r="S16" i="4"/>
  <c r="R16" i="4"/>
  <c r="Q16" i="4"/>
  <c r="P16" i="4"/>
  <c r="O16" i="4"/>
  <c r="N16" i="4"/>
  <c r="M16" i="4"/>
  <c r="L16" i="4"/>
  <c r="K16" i="4"/>
  <c r="J16" i="4"/>
  <c r="C16" i="4"/>
  <c r="A16" i="4"/>
  <c r="AD15" i="4"/>
  <c r="AC15" i="4"/>
  <c r="AB15" i="4"/>
  <c r="Z15" i="4"/>
  <c r="Y15" i="4"/>
  <c r="X15" i="4"/>
  <c r="W15" i="4"/>
  <c r="V15" i="4"/>
  <c r="U15" i="4"/>
  <c r="T15" i="4"/>
  <c r="S15" i="4"/>
  <c r="R15" i="4"/>
  <c r="Q15" i="4"/>
  <c r="P15" i="4"/>
  <c r="O15" i="4"/>
  <c r="N15" i="4"/>
  <c r="M15" i="4"/>
  <c r="L15" i="4"/>
  <c r="K15" i="4"/>
  <c r="J15" i="4"/>
  <c r="C15" i="4"/>
  <c r="A15" i="4"/>
  <c r="AD14" i="4"/>
  <c r="AC14" i="4"/>
  <c r="AB14" i="4"/>
  <c r="Z14" i="4"/>
  <c r="Y14" i="4"/>
  <c r="X14" i="4"/>
  <c r="W14" i="4"/>
  <c r="V14" i="4"/>
  <c r="U14" i="4"/>
  <c r="T14" i="4"/>
  <c r="S14" i="4"/>
  <c r="R14" i="4"/>
  <c r="Q14" i="4"/>
  <c r="P14" i="4"/>
  <c r="O14" i="4"/>
  <c r="N14" i="4"/>
  <c r="M14" i="4"/>
  <c r="L14" i="4"/>
  <c r="K14" i="4"/>
  <c r="J14" i="4"/>
  <c r="C14" i="4"/>
  <c r="A14" i="4"/>
  <c r="AD13" i="4"/>
  <c r="AC13" i="4"/>
  <c r="AB13" i="4"/>
  <c r="Z13" i="4"/>
  <c r="Y13" i="4"/>
  <c r="X13" i="4"/>
  <c r="W13" i="4"/>
  <c r="V13" i="4"/>
  <c r="U13" i="4"/>
  <c r="T13" i="4"/>
  <c r="S13" i="4"/>
  <c r="R13" i="4"/>
  <c r="Q13" i="4"/>
  <c r="P13" i="4"/>
  <c r="O13" i="4"/>
  <c r="N13" i="4"/>
  <c r="M13" i="4"/>
  <c r="L13" i="4"/>
  <c r="K13" i="4"/>
  <c r="J13" i="4"/>
  <c r="C13" i="4"/>
  <c r="A13" i="4"/>
  <c r="AD12" i="4"/>
  <c r="AC12" i="4"/>
  <c r="AB12" i="4"/>
  <c r="Z12" i="4"/>
  <c r="Y12" i="4"/>
  <c r="X12" i="4"/>
  <c r="W12" i="4"/>
  <c r="V12" i="4"/>
  <c r="U12" i="4"/>
  <c r="T12" i="4"/>
  <c r="S12" i="4"/>
  <c r="R12" i="4"/>
  <c r="Q12" i="4"/>
  <c r="P12" i="4"/>
  <c r="O12" i="4"/>
  <c r="N12" i="4"/>
  <c r="M12" i="4"/>
  <c r="L12" i="4"/>
  <c r="K12" i="4"/>
  <c r="J12" i="4"/>
  <c r="C12" i="4"/>
  <c r="A12" i="4"/>
  <c r="AD11" i="4"/>
  <c r="AC11" i="4"/>
  <c r="AB11" i="4"/>
  <c r="Z11" i="4"/>
  <c r="Y11" i="4"/>
  <c r="X11" i="4"/>
  <c r="W11" i="4"/>
  <c r="V11" i="4"/>
  <c r="U11" i="4"/>
  <c r="T11" i="4"/>
  <c r="S11" i="4"/>
  <c r="R11" i="4"/>
  <c r="Q11" i="4"/>
  <c r="P11" i="4"/>
  <c r="O11" i="4"/>
  <c r="N11" i="4"/>
  <c r="M11" i="4"/>
  <c r="L11" i="4"/>
  <c r="K11" i="4"/>
  <c r="J11" i="4"/>
  <c r="C11" i="4"/>
  <c r="A11" i="4"/>
  <c r="AD10" i="4"/>
  <c r="AC10" i="4"/>
  <c r="AB10" i="4"/>
  <c r="Z10" i="4"/>
  <c r="Y10" i="4"/>
  <c r="X10" i="4"/>
  <c r="W10" i="4"/>
  <c r="V10" i="4"/>
  <c r="U10" i="4"/>
  <c r="T10" i="4"/>
  <c r="S10" i="4"/>
  <c r="R10" i="4"/>
  <c r="Q10" i="4"/>
  <c r="P10" i="4"/>
  <c r="O10" i="4"/>
  <c r="N10" i="4"/>
  <c r="M10" i="4"/>
  <c r="L10" i="4"/>
  <c r="K10" i="4"/>
  <c r="J10" i="4"/>
  <c r="C10" i="4"/>
  <c r="A10" i="4"/>
  <c r="AD9" i="4"/>
  <c r="AC9" i="4"/>
  <c r="AB9" i="4"/>
  <c r="Z9" i="4"/>
  <c r="Y9" i="4"/>
  <c r="X9" i="4"/>
  <c r="W9" i="4"/>
  <c r="V9" i="4"/>
  <c r="U9" i="4"/>
  <c r="T9" i="4"/>
  <c r="S9" i="4"/>
  <c r="R9" i="4"/>
  <c r="Q9" i="4"/>
  <c r="P9" i="4"/>
  <c r="O9" i="4"/>
  <c r="N9" i="4"/>
  <c r="M9" i="4"/>
  <c r="L9" i="4"/>
  <c r="K9" i="4"/>
  <c r="J9" i="4"/>
  <c r="C9" i="4"/>
  <c r="A9" i="4"/>
  <c r="AD8" i="4"/>
  <c r="AC8" i="4"/>
  <c r="AB8" i="4"/>
  <c r="Z8" i="4"/>
  <c r="Y8" i="4"/>
  <c r="X8" i="4"/>
  <c r="W8" i="4"/>
  <c r="V8" i="4"/>
  <c r="U8" i="4"/>
  <c r="T8" i="4"/>
  <c r="S8" i="4"/>
  <c r="R8" i="4"/>
  <c r="Q8" i="4"/>
  <c r="P8" i="4"/>
  <c r="O8" i="4"/>
  <c r="N8" i="4"/>
  <c r="M8" i="4"/>
  <c r="L8" i="4"/>
  <c r="K8" i="4"/>
  <c r="J8" i="4"/>
  <c r="C8" i="4"/>
  <c r="A8" i="4"/>
  <c r="AD7" i="4"/>
  <c r="AC7" i="4"/>
  <c r="AB7" i="4"/>
  <c r="Z7" i="4"/>
  <c r="Y7" i="4"/>
  <c r="X7" i="4"/>
  <c r="W7" i="4"/>
  <c r="V7" i="4"/>
  <c r="U7" i="4"/>
  <c r="T7" i="4"/>
  <c r="S7" i="4"/>
  <c r="R7" i="4"/>
  <c r="Q7" i="4"/>
  <c r="P7" i="4"/>
  <c r="O7" i="4"/>
  <c r="N7" i="4"/>
  <c r="M7" i="4"/>
  <c r="L7" i="4"/>
  <c r="K7" i="4"/>
  <c r="J7" i="4"/>
  <c r="C7" i="4"/>
  <c r="A7" i="4"/>
  <c r="AD6" i="4"/>
  <c r="AC6" i="4"/>
  <c r="AB6" i="4"/>
  <c r="Z6" i="4"/>
  <c r="Y6" i="4"/>
  <c r="X6" i="4"/>
  <c r="W6" i="4"/>
  <c r="V6" i="4"/>
  <c r="U6" i="4"/>
  <c r="T6" i="4"/>
  <c r="S6" i="4"/>
  <c r="R6" i="4"/>
  <c r="Q6" i="4"/>
  <c r="P6" i="4"/>
  <c r="O6" i="4"/>
  <c r="N6" i="4"/>
  <c r="M6" i="4"/>
  <c r="L6" i="4"/>
  <c r="K6" i="4"/>
  <c r="J6" i="4"/>
  <c r="C6" i="4"/>
  <c r="A6" i="4"/>
  <c r="AD5" i="4"/>
  <c r="AC5" i="4"/>
  <c r="AB5" i="4"/>
  <c r="Z5" i="4"/>
  <c r="Y5" i="4"/>
  <c r="X5" i="4"/>
  <c r="W5" i="4"/>
  <c r="V5" i="4"/>
  <c r="U5" i="4"/>
  <c r="T5" i="4"/>
  <c r="S5" i="4"/>
  <c r="R5" i="4"/>
  <c r="Q5" i="4"/>
  <c r="P5" i="4"/>
  <c r="O5" i="4"/>
  <c r="N5" i="4"/>
  <c r="M5" i="4"/>
  <c r="L5" i="4"/>
  <c r="K5" i="4"/>
  <c r="J5" i="4"/>
  <c r="C5" i="4"/>
  <c r="A5" i="4"/>
  <c r="A2" i="4"/>
  <c r="O1" i="4"/>
  <c r="J1" i="4"/>
  <c r="A241" i="3" l="1"/>
  <c r="B241" i="3"/>
  <c r="C241" i="3"/>
  <c r="D241" i="3"/>
  <c r="E241" i="3"/>
  <c r="A240" i="3"/>
  <c r="B240" i="3"/>
  <c r="C240" i="3"/>
  <c r="D240" i="3"/>
  <c r="E240" i="3"/>
  <c r="A239" i="3"/>
  <c r="B239" i="3"/>
  <c r="C239" i="3"/>
  <c r="D239" i="3"/>
  <c r="E239" i="3"/>
  <c r="B238" i="3"/>
  <c r="C238" i="3"/>
  <c r="D238" i="3"/>
  <c r="E238" i="3"/>
  <c r="A238" i="3"/>
  <c r="E237" i="3"/>
  <c r="A237" i="3"/>
  <c r="B237" i="3"/>
  <c r="C237" i="3"/>
  <c r="D237" i="3"/>
  <c r="D236" i="3"/>
  <c r="B236" i="3"/>
  <c r="E236" i="3"/>
  <c r="A236" i="3"/>
  <c r="C236" i="3"/>
  <c r="A235" i="3"/>
  <c r="B235" i="3"/>
  <c r="C235" i="3"/>
  <c r="E235" i="3"/>
  <c r="D235" i="3"/>
  <c r="E234" i="3"/>
  <c r="B234" i="3"/>
  <c r="A234" i="3"/>
  <c r="C234" i="3"/>
  <c r="D234" i="3"/>
  <c r="A233" i="3"/>
  <c r="C233" i="3"/>
  <c r="D233" i="3"/>
  <c r="E233" i="3"/>
  <c r="B233" i="3"/>
  <c r="A354" i="3"/>
  <c r="E354" i="3"/>
  <c r="D354" i="3"/>
  <c r="C354" i="3"/>
  <c r="B354" i="3"/>
  <c r="E353" i="3"/>
  <c r="D353" i="3"/>
  <c r="C353" i="3"/>
  <c r="B353" i="3"/>
  <c r="A353" i="3"/>
  <c r="E352" i="3"/>
  <c r="C352" i="3"/>
  <c r="D352" i="3"/>
  <c r="B352" i="3"/>
  <c r="A352" i="3"/>
  <c r="C351" i="3"/>
  <c r="D351" i="3"/>
  <c r="E351" i="3"/>
  <c r="A351" i="3"/>
  <c r="B351" i="3"/>
  <c r="C350" i="3"/>
  <c r="E350" i="3"/>
  <c r="D350" i="3"/>
  <c r="B350" i="3"/>
  <c r="A350" i="3"/>
  <c r="A349" i="3"/>
  <c r="B349" i="3"/>
  <c r="C349" i="3"/>
  <c r="D349" i="3"/>
  <c r="E349" i="3"/>
  <c r="B348" i="3"/>
  <c r="C348" i="3"/>
  <c r="D348" i="3"/>
  <c r="E348" i="3"/>
  <c r="A348" i="3"/>
  <c r="B347" i="3"/>
  <c r="E347" i="3"/>
  <c r="C347" i="3"/>
  <c r="D347" i="3"/>
  <c r="A347" i="3"/>
  <c r="A326" i="3"/>
  <c r="B326" i="3"/>
  <c r="C326" i="3"/>
  <c r="D326" i="3"/>
  <c r="E326" i="3"/>
  <c r="Y327" i="2"/>
  <c r="H326" i="3" s="1"/>
  <c r="AE327" i="2"/>
  <c r="E325" i="3"/>
  <c r="C325" i="3"/>
  <c r="B325" i="3"/>
  <c r="A325" i="3"/>
  <c r="D325" i="3"/>
  <c r="B324" i="3"/>
  <c r="A324" i="3"/>
  <c r="E324" i="3"/>
  <c r="D324" i="3"/>
  <c r="C324" i="3"/>
  <c r="E323" i="3"/>
  <c r="B323" i="3"/>
  <c r="A323" i="3"/>
  <c r="D323" i="3"/>
  <c r="C323" i="3"/>
  <c r="E322" i="3"/>
  <c r="D322" i="3"/>
  <c r="C322" i="3"/>
  <c r="B322" i="3"/>
  <c r="A322" i="3"/>
  <c r="E321" i="3"/>
  <c r="D321" i="3"/>
  <c r="C321" i="3"/>
  <c r="B321" i="3"/>
  <c r="A321" i="3"/>
  <c r="E320" i="3"/>
  <c r="D320" i="3"/>
  <c r="C320" i="3"/>
  <c r="B320" i="3"/>
  <c r="A320" i="3"/>
  <c r="C319" i="3"/>
  <c r="E319" i="3"/>
  <c r="D319" i="3"/>
  <c r="B319" i="3"/>
  <c r="A319" i="3"/>
  <c r="B318" i="3"/>
  <c r="A318" i="3"/>
  <c r="C318" i="3"/>
  <c r="E318" i="3"/>
  <c r="D318" i="3"/>
  <c r="C317" i="3"/>
  <c r="E317" i="3"/>
  <c r="B317" i="3"/>
  <c r="A317" i="3"/>
  <c r="D317" i="3"/>
  <c r="A316" i="3"/>
  <c r="B316" i="3"/>
  <c r="C316" i="3"/>
  <c r="D316" i="3"/>
  <c r="E316" i="3"/>
  <c r="D315" i="3"/>
  <c r="C315" i="3"/>
  <c r="B315" i="3"/>
  <c r="E315" i="3"/>
  <c r="A315" i="3"/>
  <c r="D314" i="3"/>
  <c r="C314" i="3"/>
  <c r="E314" i="3"/>
  <c r="B314" i="3"/>
  <c r="A314" i="3"/>
  <c r="A313" i="3"/>
  <c r="B313" i="3"/>
  <c r="C313" i="3"/>
  <c r="D313" i="3"/>
  <c r="E313" i="3"/>
  <c r="A312" i="3"/>
  <c r="B312" i="3"/>
  <c r="C312" i="3"/>
  <c r="D312" i="3"/>
  <c r="E312" i="3"/>
  <c r="E311" i="3"/>
  <c r="A311" i="3"/>
  <c r="B311" i="3"/>
  <c r="C311" i="3"/>
  <c r="D311" i="3"/>
  <c r="A310" i="3"/>
  <c r="B310" i="3"/>
  <c r="C310" i="3"/>
  <c r="E310" i="3"/>
  <c r="D310" i="3"/>
  <c r="A309" i="3"/>
  <c r="B309" i="3"/>
  <c r="C309" i="3"/>
  <c r="D309" i="3"/>
  <c r="E309" i="3"/>
  <c r="E308" i="3"/>
  <c r="D308" i="3"/>
  <c r="C308" i="3"/>
  <c r="A308" i="3"/>
  <c r="B308" i="3"/>
  <c r="A307" i="3"/>
  <c r="E307" i="3"/>
  <c r="D307" i="3"/>
  <c r="C307" i="3"/>
  <c r="B307" i="3"/>
  <c r="E306" i="3"/>
  <c r="D306" i="3"/>
  <c r="C306" i="3"/>
  <c r="B306" i="3"/>
  <c r="A306" i="3"/>
  <c r="B305" i="3"/>
  <c r="E305" i="3"/>
  <c r="D305" i="3"/>
  <c r="C305" i="3"/>
  <c r="A305" i="3"/>
  <c r="B304" i="3"/>
  <c r="E304" i="3"/>
  <c r="D304" i="3"/>
  <c r="C304" i="3"/>
  <c r="A304" i="3"/>
  <c r="E303" i="3"/>
  <c r="D303" i="3"/>
  <c r="C303" i="3"/>
  <c r="B303" i="3"/>
  <c r="A303" i="3"/>
  <c r="B302" i="3"/>
  <c r="E302" i="3"/>
  <c r="D302" i="3"/>
  <c r="C302" i="3"/>
  <c r="A302" i="3"/>
  <c r="A301" i="3"/>
  <c r="B301" i="3"/>
  <c r="C301" i="3"/>
  <c r="D301" i="3"/>
  <c r="E301" i="3"/>
  <c r="D300" i="3"/>
  <c r="E300" i="3"/>
  <c r="C300" i="3"/>
  <c r="B300" i="3"/>
  <c r="A300" i="3"/>
  <c r="B299" i="3"/>
  <c r="E299" i="3"/>
  <c r="D299" i="3"/>
  <c r="C299" i="3"/>
  <c r="A299" i="3"/>
  <c r="E298" i="3"/>
  <c r="D298" i="3"/>
  <c r="C298" i="3"/>
  <c r="B298" i="3"/>
  <c r="A298" i="3"/>
  <c r="E297" i="3"/>
  <c r="D297" i="3"/>
  <c r="C297" i="3"/>
  <c r="B297" i="3"/>
  <c r="A297" i="3"/>
  <c r="A296" i="3"/>
  <c r="B296" i="3"/>
  <c r="C296" i="3"/>
  <c r="D296" i="3"/>
  <c r="E296" i="3"/>
  <c r="E295" i="3"/>
  <c r="A295" i="3"/>
  <c r="B295" i="3"/>
  <c r="C295" i="3"/>
  <c r="D295" i="3"/>
  <c r="E294" i="3"/>
  <c r="D294" i="3"/>
  <c r="B294" i="3"/>
  <c r="A294" i="3"/>
  <c r="C294" i="3"/>
  <c r="E293" i="3"/>
  <c r="A293" i="3"/>
  <c r="B293" i="3"/>
  <c r="C293" i="3"/>
  <c r="D293" i="3"/>
  <c r="D292" i="3"/>
  <c r="E292" i="3"/>
  <c r="C292" i="3"/>
  <c r="B292" i="3"/>
  <c r="A292" i="3"/>
  <c r="B291" i="3"/>
  <c r="E291" i="3"/>
  <c r="D291" i="3"/>
  <c r="C291" i="3"/>
  <c r="A291" i="3"/>
  <c r="E290" i="3"/>
  <c r="D290" i="3"/>
  <c r="C290" i="3"/>
  <c r="B290" i="3"/>
  <c r="A290" i="3"/>
  <c r="E289" i="3"/>
  <c r="D289" i="3"/>
  <c r="C289" i="3"/>
  <c r="B289" i="3"/>
  <c r="A289" i="3"/>
  <c r="E288" i="3"/>
  <c r="D288" i="3"/>
  <c r="C288" i="3"/>
  <c r="B288" i="3"/>
  <c r="A288" i="3"/>
  <c r="E287" i="3"/>
  <c r="D287" i="3"/>
  <c r="C287" i="3"/>
  <c r="B287" i="3"/>
  <c r="A287" i="3"/>
  <c r="B286" i="3"/>
  <c r="A286" i="3"/>
  <c r="E286" i="3"/>
  <c r="D286" i="3"/>
  <c r="C286" i="3"/>
  <c r="E285" i="3"/>
  <c r="D285" i="3"/>
  <c r="C285" i="3"/>
  <c r="B285" i="3"/>
  <c r="A285" i="3"/>
  <c r="D284" i="3"/>
  <c r="E284" i="3"/>
  <c r="C284" i="3"/>
  <c r="B284" i="3"/>
  <c r="A284" i="3"/>
  <c r="D283" i="3"/>
  <c r="A283" i="3"/>
  <c r="E283" i="3"/>
  <c r="B283" i="3"/>
  <c r="C283" i="3"/>
  <c r="D282" i="3"/>
  <c r="E282" i="3"/>
  <c r="B282" i="3"/>
  <c r="C282" i="3"/>
  <c r="A282" i="3"/>
  <c r="B281" i="3"/>
  <c r="A281" i="3"/>
  <c r="C281" i="3"/>
  <c r="D281" i="3"/>
  <c r="E281" i="3"/>
  <c r="A280" i="3"/>
  <c r="C280" i="3"/>
  <c r="E280" i="3"/>
  <c r="D280" i="3"/>
  <c r="B280" i="3"/>
  <c r="A279" i="3"/>
  <c r="C279" i="3"/>
  <c r="E279" i="3"/>
  <c r="D279" i="3"/>
  <c r="B279" i="3"/>
  <c r="D278" i="3"/>
  <c r="C278" i="3"/>
  <c r="B278" i="3"/>
  <c r="A278" i="3"/>
  <c r="E278" i="3"/>
  <c r="E277" i="3"/>
  <c r="D277" i="3"/>
  <c r="C277" i="3"/>
  <c r="A277" i="3"/>
  <c r="B277" i="3"/>
  <c r="E276" i="3"/>
  <c r="D276" i="3"/>
  <c r="C276" i="3"/>
  <c r="B276" i="3"/>
  <c r="A276" i="3"/>
  <c r="A275" i="3"/>
  <c r="D275" i="3"/>
  <c r="B275" i="3"/>
  <c r="C275" i="3"/>
  <c r="E275" i="3"/>
  <c r="B274" i="3"/>
  <c r="A274" i="3"/>
  <c r="C274" i="3"/>
  <c r="D274" i="3"/>
  <c r="E274" i="3"/>
  <c r="B273" i="3"/>
  <c r="A273" i="3"/>
  <c r="D273" i="3"/>
  <c r="C273" i="3"/>
  <c r="E273" i="3"/>
  <c r="C272" i="3"/>
  <c r="D272" i="3"/>
  <c r="E272" i="3"/>
  <c r="A272" i="3"/>
  <c r="B272" i="3"/>
  <c r="A271" i="3"/>
  <c r="B271" i="3"/>
  <c r="C271" i="3"/>
  <c r="D271" i="3"/>
  <c r="E271" i="3"/>
  <c r="A270" i="3"/>
  <c r="D270" i="3"/>
  <c r="B270" i="3"/>
  <c r="C270" i="3"/>
  <c r="E270" i="3"/>
  <c r="A269" i="3"/>
  <c r="B269" i="3"/>
  <c r="C269" i="3"/>
  <c r="D269" i="3"/>
  <c r="E269" i="3"/>
  <c r="A268" i="3"/>
  <c r="B268" i="3"/>
  <c r="C268" i="3"/>
  <c r="D268" i="3"/>
  <c r="E268" i="3"/>
  <c r="C267" i="3"/>
  <c r="D267" i="3"/>
  <c r="E267" i="3"/>
  <c r="B267" i="3"/>
  <c r="A267" i="3"/>
  <c r="A266" i="3"/>
  <c r="E266" i="3"/>
  <c r="D266" i="3"/>
  <c r="C266" i="3"/>
  <c r="B266" i="3"/>
  <c r="D265" i="3"/>
  <c r="E265" i="3"/>
  <c r="C265" i="3"/>
  <c r="B265" i="3"/>
  <c r="A265" i="3"/>
  <c r="B264" i="3"/>
  <c r="C264" i="3"/>
  <c r="D264" i="3"/>
  <c r="E264" i="3"/>
  <c r="A264" i="3"/>
  <c r="D263" i="3"/>
  <c r="C263" i="3"/>
  <c r="B263" i="3"/>
  <c r="A263" i="3"/>
  <c r="E263" i="3"/>
  <c r="A262" i="3"/>
  <c r="E262" i="3"/>
  <c r="D262" i="3"/>
  <c r="C262" i="3"/>
  <c r="B262" i="3"/>
  <c r="B261" i="3"/>
  <c r="C261" i="3"/>
  <c r="D261" i="3"/>
  <c r="E261" i="3"/>
  <c r="A261" i="3"/>
  <c r="E260" i="3"/>
  <c r="A260" i="3"/>
  <c r="C260" i="3"/>
  <c r="D260" i="3"/>
  <c r="B260" i="3"/>
  <c r="C259" i="3"/>
  <c r="B259" i="3"/>
  <c r="A259" i="3"/>
  <c r="E259" i="3"/>
  <c r="D259" i="3"/>
  <c r="B258" i="3"/>
  <c r="C258" i="3"/>
  <c r="E258" i="3"/>
  <c r="D258" i="3"/>
  <c r="A258" i="3"/>
  <c r="E257" i="3"/>
  <c r="D257" i="3"/>
  <c r="B257" i="3"/>
  <c r="A257" i="3"/>
  <c r="C257" i="3"/>
  <c r="A256" i="3"/>
  <c r="D256" i="3"/>
  <c r="E256" i="3"/>
  <c r="C256" i="3"/>
  <c r="B256" i="3"/>
  <c r="A255" i="3"/>
  <c r="E255" i="3"/>
  <c r="D255" i="3"/>
  <c r="C255" i="3"/>
  <c r="B255" i="3"/>
  <c r="E254" i="3"/>
  <c r="D254" i="3"/>
  <c r="C254" i="3"/>
  <c r="B254" i="3"/>
  <c r="A254" i="3"/>
  <c r="E253" i="3"/>
  <c r="D253" i="3"/>
  <c r="C253" i="3"/>
  <c r="B253" i="3"/>
  <c r="A253" i="3"/>
  <c r="B252" i="3"/>
  <c r="D252" i="3"/>
  <c r="A252" i="3"/>
  <c r="C252" i="3"/>
  <c r="E252" i="3"/>
  <c r="D251" i="3"/>
  <c r="A251" i="3"/>
  <c r="E251" i="3"/>
  <c r="B251" i="3"/>
  <c r="C251" i="3"/>
  <c r="B250" i="3"/>
  <c r="A250" i="3"/>
  <c r="C250" i="3"/>
  <c r="D250" i="3"/>
  <c r="E250" i="3"/>
  <c r="B249" i="3"/>
  <c r="C249" i="3"/>
  <c r="D249" i="3"/>
  <c r="A249" i="3"/>
  <c r="E249" i="3"/>
  <c r="B248" i="3"/>
  <c r="A248" i="3"/>
  <c r="D248" i="3"/>
  <c r="E248" i="3"/>
  <c r="C248" i="3"/>
  <c r="A247" i="3"/>
  <c r="D247" i="3"/>
  <c r="B247" i="3"/>
  <c r="C247" i="3"/>
  <c r="E247" i="3"/>
  <c r="E246" i="3"/>
  <c r="A246" i="3"/>
  <c r="B246" i="3"/>
  <c r="C246" i="3"/>
  <c r="D246" i="3"/>
  <c r="D245" i="3"/>
  <c r="E245" i="3"/>
  <c r="B245" i="3"/>
  <c r="A245" i="3"/>
  <c r="C245" i="3"/>
  <c r="A244" i="3"/>
  <c r="E244" i="3"/>
  <c r="D244" i="3"/>
  <c r="C244" i="3"/>
  <c r="B244" i="3"/>
  <c r="A243" i="3"/>
  <c r="B243" i="3"/>
  <c r="E243" i="3"/>
  <c r="D243" i="3"/>
  <c r="C243" i="3"/>
  <c r="D242" i="3"/>
  <c r="E242" i="3"/>
  <c r="C242" i="3"/>
  <c r="A242" i="3"/>
  <c r="B242" i="3"/>
  <c r="D232" i="3"/>
  <c r="B232" i="3"/>
  <c r="A232" i="3"/>
  <c r="E232" i="3"/>
  <c r="C232" i="3"/>
  <c r="E231" i="3"/>
  <c r="C231" i="3"/>
  <c r="D231" i="3"/>
  <c r="B231" i="3"/>
  <c r="A231" i="3"/>
  <c r="B230" i="3"/>
  <c r="E230" i="3"/>
  <c r="C230" i="3"/>
  <c r="D230" i="3"/>
  <c r="A230" i="3"/>
  <c r="C229" i="3"/>
  <c r="B229" i="3"/>
  <c r="D229" i="3"/>
  <c r="E229" i="3"/>
  <c r="A229" i="3"/>
  <c r="B228" i="3"/>
  <c r="A228" i="3"/>
  <c r="E228" i="3"/>
  <c r="C228" i="3"/>
  <c r="D228" i="3"/>
  <c r="E227" i="3"/>
  <c r="C227" i="3"/>
  <c r="B227" i="3"/>
  <c r="D227" i="3"/>
  <c r="A227" i="3"/>
  <c r="E226" i="3"/>
  <c r="A226" i="3"/>
  <c r="B226" i="3"/>
  <c r="D226" i="3"/>
  <c r="C226" i="3"/>
  <c r="B225" i="3"/>
  <c r="C225" i="3"/>
  <c r="A225" i="3"/>
  <c r="D225" i="3"/>
  <c r="E225" i="3"/>
  <c r="A224" i="3"/>
  <c r="D224" i="3"/>
  <c r="B224" i="3"/>
  <c r="E224" i="3"/>
  <c r="C224" i="3"/>
  <c r="A223" i="3"/>
  <c r="C223" i="3"/>
  <c r="D223" i="3"/>
  <c r="B223" i="3"/>
  <c r="E223" i="3"/>
  <c r="C222" i="3"/>
  <c r="E222" i="3"/>
  <c r="D222" i="3"/>
  <c r="A222" i="3"/>
  <c r="B222" i="3"/>
  <c r="D221" i="3"/>
  <c r="A221" i="3"/>
  <c r="B221" i="3"/>
  <c r="E221" i="3"/>
  <c r="C221" i="3"/>
  <c r="E220" i="3"/>
  <c r="A220" i="3"/>
  <c r="C220" i="3"/>
  <c r="B220" i="3"/>
  <c r="D220" i="3"/>
  <c r="A219" i="3"/>
  <c r="C219" i="3"/>
  <c r="D219" i="3"/>
  <c r="B219" i="3"/>
  <c r="E219" i="3"/>
  <c r="C218" i="3"/>
  <c r="A218" i="3"/>
  <c r="B218" i="3"/>
  <c r="D218" i="3"/>
  <c r="E218" i="3"/>
  <c r="D217" i="3"/>
  <c r="B217" i="3"/>
  <c r="C217" i="3"/>
  <c r="A217" i="3"/>
  <c r="E217" i="3"/>
  <c r="A216" i="3"/>
  <c r="E216" i="3"/>
  <c r="B216" i="3"/>
  <c r="C216" i="3"/>
  <c r="D216" i="3"/>
  <c r="A215" i="3"/>
  <c r="E215" i="3"/>
  <c r="B215" i="3"/>
  <c r="C215" i="3"/>
  <c r="D215" i="3"/>
  <c r="E214" i="3"/>
  <c r="A214" i="3"/>
  <c r="D214" i="3"/>
  <c r="C214" i="3"/>
  <c r="B214" i="3"/>
  <c r="D213" i="3"/>
  <c r="E213" i="3"/>
  <c r="A213" i="3"/>
  <c r="C213" i="3"/>
  <c r="B213" i="3"/>
  <c r="C212" i="3"/>
  <c r="A212" i="3"/>
  <c r="E212" i="3"/>
  <c r="B212" i="3"/>
  <c r="D212" i="3"/>
  <c r="A211" i="3"/>
  <c r="D211" i="3"/>
  <c r="C211" i="3"/>
  <c r="E211" i="3"/>
  <c r="B211" i="3"/>
  <c r="D210" i="3"/>
  <c r="C210" i="3"/>
  <c r="E210" i="3"/>
  <c r="A210" i="3"/>
  <c r="B210" i="3"/>
  <c r="E209" i="3"/>
  <c r="C209" i="3"/>
  <c r="D209" i="3"/>
  <c r="A209" i="3"/>
  <c r="B209" i="3"/>
  <c r="D208" i="3"/>
  <c r="C208" i="3"/>
  <c r="E208" i="3"/>
  <c r="B208" i="3"/>
  <c r="A208" i="3"/>
  <c r="D207" i="3"/>
  <c r="C207" i="3"/>
  <c r="B207" i="3"/>
  <c r="E207" i="3"/>
  <c r="A207" i="3"/>
  <c r="D206" i="3"/>
  <c r="B206" i="3"/>
  <c r="E206" i="3"/>
  <c r="C206" i="3"/>
  <c r="A206" i="3"/>
  <c r="D161" i="3"/>
  <c r="C161" i="3"/>
  <c r="E161" i="3"/>
  <c r="B161" i="3"/>
  <c r="A161" i="3"/>
  <c r="Y162" i="2"/>
  <c r="H161" i="3" s="1"/>
  <c r="AE162" i="2"/>
  <c r="E160" i="3"/>
  <c r="C160" i="3"/>
  <c r="B160" i="3"/>
  <c r="D160" i="3"/>
  <c r="A160" i="3"/>
  <c r="E159" i="3"/>
  <c r="C159" i="3"/>
  <c r="D159" i="3"/>
  <c r="B159" i="3"/>
  <c r="A159" i="3"/>
  <c r="E158" i="3"/>
  <c r="G5" i="3"/>
  <c r="V6" i="2"/>
  <c r="B6" i="2"/>
  <c r="W6" i="2"/>
  <c r="F5" i="3" s="1"/>
  <c r="Y355" i="2"/>
  <c r="H354" i="3" s="1"/>
  <c r="AE355" i="2"/>
  <c r="Y354" i="2"/>
  <c r="H353" i="3" s="1"/>
  <c r="AE354" i="2"/>
  <c r="Y353" i="2"/>
  <c r="H352" i="3" s="1"/>
  <c r="AE353" i="2"/>
  <c r="Y352" i="2"/>
  <c r="H351" i="3" s="1"/>
  <c r="AE352" i="2"/>
  <c r="AE351" i="2"/>
  <c r="Y351" i="2"/>
  <c r="H350" i="3" s="1"/>
  <c r="Y350" i="2"/>
  <c r="H349" i="3" s="1"/>
  <c r="AE350" i="2"/>
  <c r="Y349" i="2"/>
  <c r="H348" i="3" s="1"/>
  <c r="AE349" i="2"/>
  <c r="Y348" i="2"/>
  <c r="H347" i="3" s="1"/>
  <c r="AE348" i="2"/>
  <c r="B346" i="3"/>
  <c r="E346" i="3"/>
  <c r="C346" i="3"/>
  <c r="A346" i="3"/>
  <c r="D346" i="3"/>
  <c r="AE347" i="2"/>
  <c r="Y347" i="2"/>
  <c r="H346" i="3" s="1"/>
  <c r="B345" i="3"/>
  <c r="D345" i="3"/>
  <c r="A345" i="3"/>
  <c r="C345" i="3"/>
  <c r="E345" i="3"/>
  <c r="Y346" i="2"/>
  <c r="H345" i="3" s="1"/>
  <c r="AE346" i="2"/>
  <c r="E344" i="3"/>
  <c r="B344" i="3"/>
  <c r="A344" i="3"/>
  <c r="C344" i="3"/>
  <c r="D344" i="3"/>
  <c r="Y345" i="2"/>
  <c r="H344" i="3" s="1"/>
  <c r="AE345" i="2"/>
  <c r="B343" i="3"/>
  <c r="D343" i="3"/>
  <c r="A343" i="3"/>
  <c r="C343" i="3"/>
  <c r="E343" i="3"/>
  <c r="Y344" i="2"/>
  <c r="H343" i="3" s="1"/>
  <c r="AE344" i="2"/>
  <c r="C342" i="3"/>
  <c r="E342" i="3"/>
  <c r="A342" i="3"/>
  <c r="B342" i="3"/>
  <c r="D342" i="3"/>
  <c r="Y343" i="2"/>
  <c r="H342" i="3" s="1"/>
  <c r="AE343" i="2"/>
  <c r="A341" i="3"/>
  <c r="E341" i="3"/>
  <c r="C341" i="3"/>
  <c r="D341" i="3"/>
  <c r="B341" i="3"/>
  <c r="Y342" i="2"/>
  <c r="H341" i="3" s="1"/>
  <c r="AE342" i="2"/>
  <c r="E340" i="3"/>
  <c r="C340" i="3"/>
  <c r="A340" i="3"/>
  <c r="D340" i="3"/>
  <c r="B340" i="3"/>
  <c r="AE341" i="2"/>
  <c r="Y341" i="2"/>
  <c r="H340" i="3" s="1"/>
  <c r="A339" i="3"/>
  <c r="D339" i="3"/>
  <c r="C339" i="3"/>
  <c r="E339" i="3"/>
  <c r="B339" i="3"/>
  <c r="Y340" i="2"/>
  <c r="H339" i="3" s="1"/>
  <c r="AE340" i="2"/>
  <c r="D338" i="3"/>
  <c r="C338" i="3"/>
  <c r="E338" i="3"/>
  <c r="B338" i="3"/>
  <c r="A338" i="3"/>
  <c r="AE339" i="2"/>
  <c r="Y339" i="2"/>
  <c r="H338" i="3" s="1"/>
  <c r="D337" i="3"/>
  <c r="B337" i="3"/>
  <c r="A337" i="3"/>
  <c r="E337" i="3"/>
  <c r="C337" i="3"/>
  <c r="Y338" i="2"/>
  <c r="H337" i="3" s="1"/>
  <c r="AE338" i="2"/>
  <c r="B336" i="3"/>
  <c r="E336" i="3"/>
  <c r="A336" i="3"/>
  <c r="C336" i="3"/>
  <c r="D336" i="3"/>
  <c r="AE337" i="2"/>
  <c r="Y337" i="2"/>
  <c r="H336" i="3" s="1"/>
  <c r="A335" i="3"/>
  <c r="C335" i="3"/>
  <c r="B335" i="3"/>
  <c r="D335" i="3"/>
  <c r="E335" i="3"/>
  <c r="Y336" i="2"/>
  <c r="H335" i="3" s="1"/>
  <c r="AE336" i="2"/>
  <c r="D334" i="3"/>
  <c r="C334" i="3"/>
  <c r="A334" i="3"/>
  <c r="B334" i="3"/>
  <c r="E334" i="3"/>
  <c r="AE335" i="2"/>
  <c r="Y335" i="2"/>
  <c r="H334" i="3" s="1"/>
  <c r="B333" i="3"/>
  <c r="C333" i="3"/>
  <c r="A333" i="3"/>
  <c r="D333" i="3"/>
  <c r="E333" i="3"/>
  <c r="Y334" i="2"/>
  <c r="H333" i="3" s="1"/>
  <c r="AE334" i="2"/>
  <c r="C332" i="3"/>
  <c r="A332" i="3"/>
  <c r="D332" i="3"/>
  <c r="E332" i="3"/>
  <c r="B332" i="3"/>
  <c r="Y333" i="2"/>
  <c r="H332" i="3" s="1"/>
  <c r="AE333" i="2"/>
  <c r="B331" i="3"/>
  <c r="E331" i="3"/>
  <c r="C331" i="3"/>
  <c r="A331" i="3"/>
  <c r="D331" i="3"/>
  <c r="AE332" i="2"/>
  <c r="Y332" i="2"/>
  <c r="H331" i="3" s="1"/>
  <c r="D330" i="3"/>
  <c r="A330" i="3"/>
  <c r="E330" i="3"/>
  <c r="C330" i="3"/>
  <c r="B330" i="3"/>
  <c r="AE331" i="2"/>
  <c r="Y331" i="2"/>
  <c r="H330" i="3" s="1"/>
  <c r="E329" i="3"/>
  <c r="C329" i="3"/>
  <c r="A329" i="3"/>
  <c r="B329" i="3"/>
  <c r="D329" i="3"/>
  <c r="AE330" i="2"/>
  <c r="Y330" i="2"/>
  <c r="H329" i="3" s="1"/>
  <c r="A328" i="3"/>
  <c r="E328" i="3"/>
  <c r="B328" i="3"/>
  <c r="C328" i="3"/>
  <c r="D328" i="3"/>
  <c r="AE329" i="2"/>
  <c r="Y329" i="2"/>
  <c r="H328" i="3" s="1"/>
  <c r="D327" i="3"/>
  <c r="E327" i="3"/>
  <c r="C327" i="3"/>
  <c r="A327" i="3"/>
  <c r="B327" i="3"/>
  <c r="AE328" i="2"/>
  <c r="Y328" i="2"/>
  <c r="H327" i="3" s="1"/>
  <c r="Y326" i="2"/>
  <c r="H325" i="3" s="1"/>
  <c r="AE326" i="2"/>
  <c r="AE325" i="2"/>
  <c r="Y325" i="2"/>
  <c r="H324" i="3" s="1"/>
  <c r="AE324" i="2"/>
  <c r="Y324" i="2"/>
  <c r="H323" i="3" s="1"/>
  <c r="AE323" i="2"/>
  <c r="Y323" i="2"/>
  <c r="H322" i="3" s="1"/>
  <c r="AE322" i="2"/>
  <c r="Y322" i="2"/>
  <c r="H321" i="3" s="1"/>
  <c r="AE321" i="2"/>
  <c r="Y321" i="2"/>
  <c r="H320" i="3" s="1"/>
  <c r="AE320" i="2"/>
  <c r="Y320" i="2"/>
  <c r="H319" i="3" s="1"/>
  <c r="AE319" i="2"/>
  <c r="Y319" i="2"/>
  <c r="H318" i="3" s="1"/>
  <c r="AE318" i="2"/>
  <c r="Y318" i="2"/>
  <c r="H317" i="3" s="1"/>
  <c r="Y317" i="2"/>
  <c r="H316" i="3" s="1"/>
  <c r="AE317" i="2"/>
  <c r="AE316" i="2"/>
  <c r="Y316" i="2"/>
  <c r="H315" i="3" s="1"/>
  <c r="AE315" i="2"/>
  <c r="Y315" i="2"/>
  <c r="H314" i="3" s="1"/>
  <c r="AE314" i="2"/>
  <c r="Y314" i="2"/>
  <c r="H313" i="3" s="1"/>
  <c r="AE313" i="2"/>
  <c r="Y313" i="2"/>
  <c r="H312" i="3" s="1"/>
  <c r="AE312" i="2"/>
  <c r="Y312" i="2"/>
  <c r="H311" i="3" s="1"/>
  <c r="AE311" i="2"/>
  <c r="Y311" i="2"/>
  <c r="H310" i="3" s="1"/>
  <c r="AE310" i="2"/>
  <c r="Y310" i="2"/>
  <c r="H309" i="3" s="1"/>
  <c r="AE309" i="2"/>
  <c r="Y309" i="2"/>
  <c r="H308" i="3" s="1"/>
  <c r="AE308" i="2"/>
  <c r="Y308" i="2"/>
  <c r="H307" i="3" s="1"/>
  <c r="Y307" i="2"/>
  <c r="H306" i="3" s="1"/>
  <c r="AE307" i="2"/>
  <c r="Y306" i="2"/>
  <c r="H305" i="3" s="1"/>
  <c r="AE306" i="2"/>
  <c r="AE305" i="2"/>
  <c r="Y305" i="2"/>
  <c r="H304" i="3" s="1"/>
  <c r="AE304" i="2"/>
  <c r="Y304" i="2"/>
  <c r="H303" i="3" s="1"/>
  <c r="AE303" i="2"/>
  <c r="Y303" i="2"/>
  <c r="H302" i="3" s="1"/>
  <c r="AE302" i="2"/>
  <c r="Y302" i="2"/>
  <c r="H301" i="3" s="1"/>
  <c r="AE301" i="2"/>
  <c r="Y301" i="2"/>
  <c r="H300" i="3" s="1"/>
  <c r="Y300" i="2"/>
  <c r="H299" i="3" s="1"/>
  <c r="AE300" i="2"/>
  <c r="Y299" i="2"/>
  <c r="H298" i="3" s="1"/>
  <c r="AE299" i="2"/>
  <c r="Y298" i="2"/>
  <c r="H297" i="3" s="1"/>
  <c r="AE298" i="2"/>
  <c r="Y297" i="2"/>
  <c r="H296" i="3" s="1"/>
  <c r="AE297" i="2"/>
  <c r="AE296" i="2"/>
  <c r="Y296" i="2"/>
  <c r="H295" i="3" s="1"/>
  <c r="Y295" i="2"/>
  <c r="H294" i="3" s="1"/>
  <c r="AE295" i="2"/>
  <c r="AE294" i="2"/>
  <c r="Y294" i="2"/>
  <c r="H293" i="3" s="1"/>
  <c r="Y293" i="2"/>
  <c r="H292" i="3" s="1"/>
  <c r="AE293" i="2"/>
  <c r="Y292" i="2"/>
  <c r="H291" i="3" s="1"/>
  <c r="AE292" i="2"/>
  <c r="Y291" i="2"/>
  <c r="H290" i="3" s="1"/>
  <c r="AE291" i="2"/>
  <c r="AE290" i="2"/>
  <c r="Y290" i="2"/>
  <c r="H289" i="3" s="1"/>
  <c r="Y289" i="2"/>
  <c r="H288" i="3" s="1"/>
  <c r="AE289" i="2"/>
  <c r="AE288" i="2"/>
  <c r="Y288" i="2"/>
  <c r="H287" i="3" s="1"/>
  <c r="AE287" i="2"/>
  <c r="Y287" i="2"/>
  <c r="H286" i="3" s="1"/>
  <c r="Y286" i="2"/>
  <c r="H285" i="3" s="1"/>
  <c r="AE286" i="2"/>
  <c r="AE285" i="2"/>
  <c r="Y285" i="2"/>
  <c r="H284" i="3" s="1"/>
  <c r="Y284" i="2"/>
  <c r="H283" i="3" s="1"/>
  <c r="AE284" i="2"/>
  <c r="AE283" i="2"/>
  <c r="Y283" i="2"/>
  <c r="H282" i="3" s="1"/>
  <c r="AE282" i="2"/>
  <c r="Y282" i="2"/>
  <c r="H281" i="3" s="1"/>
  <c r="AE281" i="2"/>
  <c r="Y281" i="2"/>
  <c r="H280" i="3" s="1"/>
  <c r="AE280" i="2"/>
  <c r="Y280" i="2"/>
  <c r="H279" i="3" s="1"/>
  <c r="AE279" i="2"/>
  <c r="Y279" i="2"/>
  <c r="H278" i="3" s="1"/>
  <c r="Y278" i="2"/>
  <c r="H277" i="3" s="1"/>
  <c r="AE278" i="2"/>
  <c r="AE277" i="2"/>
  <c r="Y277" i="2"/>
  <c r="H276" i="3" s="1"/>
  <c r="Y276" i="2"/>
  <c r="H275" i="3" s="1"/>
  <c r="AE276" i="2"/>
  <c r="AE275" i="2"/>
  <c r="Y275" i="2"/>
  <c r="H274" i="3" s="1"/>
  <c r="AE274" i="2"/>
  <c r="Y274" i="2"/>
  <c r="H273" i="3" s="1"/>
  <c r="AE273" i="2"/>
  <c r="Y273" i="2"/>
  <c r="H272" i="3" s="1"/>
  <c r="Y272" i="2"/>
  <c r="H271" i="3" s="1"/>
  <c r="AE272" i="2"/>
  <c r="Y271" i="2"/>
  <c r="H270" i="3" s="1"/>
  <c r="AE271" i="2"/>
  <c r="Y270" i="2"/>
  <c r="H269" i="3" s="1"/>
  <c r="AE270" i="2"/>
  <c r="Y269" i="2"/>
  <c r="H268" i="3" s="1"/>
  <c r="AE269" i="2"/>
  <c r="AE268" i="2"/>
  <c r="Y268" i="2"/>
  <c r="H267" i="3" s="1"/>
  <c r="AE267" i="2"/>
  <c r="Y267" i="2"/>
  <c r="H266" i="3" s="1"/>
  <c r="AE266" i="2"/>
  <c r="Y266" i="2"/>
  <c r="H265" i="3" s="1"/>
  <c r="AE265" i="2"/>
  <c r="Y265" i="2"/>
  <c r="H264" i="3" s="1"/>
  <c r="AE264" i="2"/>
  <c r="Y264" i="2"/>
  <c r="H263" i="3" s="1"/>
  <c r="AE263" i="2"/>
  <c r="Y263" i="2"/>
  <c r="H262" i="3" s="1"/>
  <c r="AE262" i="2"/>
  <c r="Y262" i="2"/>
  <c r="H261" i="3" s="1"/>
  <c r="AE261" i="2"/>
  <c r="Y261" i="2"/>
  <c r="H260" i="3" s="1"/>
  <c r="AE260" i="2"/>
  <c r="Y260" i="2"/>
  <c r="H259" i="3" s="1"/>
  <c r="AE259" i="2"/>
  <c r="Y259" i="2"/>
  <c r="H258" i="3" s="1"/>
  <c r="AE258" i="2"/>
  <c r="Y258" i="2"/>
  <c r="H257" i="3" s="1"/>
  <c r="AE257" i="2"/>
  <c r="Y257" i="2"/>
  <c r="H256" i="3" s="1"/>
  <c r="Y256" i="2"/>
  <c r="H255" i="3" s="1"/>
  <c r="AE256" i="2"/>
  <c r="AE255" i="2"/>
  <c r="Y255" i="2"/>
  <c r="H254" i="3" s="1"/>
  <c r="AE254" i="2"/>
  <c r="Y254" i="2"/>
  <c r="H253" i="3" s="1"/>
  <c r="AE253" i="2"/>
  <c r="Y253" i="2"/>
  <c r="H252" i="3" s="1"/>
  <c r="AE252" i="2"/>
  <c r="Y252" i="2"/>
  <c r="H251" i="3" s="1"/>
  <c r="Y251" i="2"/>
  <c r="H250" i="3" s="1"/>
  <c r="AE251" i="2"/>
  <c r="AE250" i="2"/>
  <c r="Y250" i="2"/>
  <c r="H249" i="3" s="1"/>
  <c r="AE249" i="2"/>
  <c r="Y249" i="2"/>
  <c r="H248" i="3" s="1"/>
  <c r="AE248" i="2"/>
  <c r="Y248" i="2"/>
  <c r="H247" i="3" s="1"/>
  <c r="Y247" i="2"/>
  <c r="H246" i="3" s="1"/>
  <c r="AE247" i="2"/>
  <c r="AE246" i="2"/>
  <c r="Y246" i="2"/>
  <c r="H245" i="3" s="1"/>
  <c r="AE245" i="2"/>
  <c r="Y245" i="2"/>
  <c r="H244" i="3" s="1"/>
  <c r="AE244" i="2"/>
  <c r="Y244" i="2"/>
  <c r="H243" i="3" s="1"/>
  <c r="AE243" i="2"/>
  <c r="Y243" i="2"/>
  <c r="H242" i="3" s="1"/>
  <c r="AE242" i="2"/>
  <c r="Y242" i="2"/>
  <c r="H241" i="3" s="1"/>
  <c r="AE241" i="2"/>
  <c r="Y241" i="2"/>
  <c r="H240" i="3" s="1"/>
  <c r="AE240" i="2"/>
  <c r="Y240" i="2"/>
  <c r="H239" i="3" s="1"/>
  <c r="AE239" i="2"/>
  <c r="Y239" i="2"/>
  <c r="H238" i="3" s="1"/>
  <c r="Y238" i="2"/>
  <c r="H237" i="3" s="1"/>
  <c r="AE238" i="2"/>
  <c r="Y237" i="2"/>
  <c r="H236" i="3" s="1"/>
  <c r="AE237" i="2"/>
  <c r="Y236" i="2"/>
  <c r="H235" i="3" s="1"/>
  <c r="AE236" i="2"/>
  <c r="Y235" i="2"/>
  <c r="H234" i="3" s="1"/>
  <c r="AE235" i="2"/>
  <c r="AE234" i="2"/>
  <c r="Y234" i="2"/>
  <c r="H233" i="3" s="1"/>
  <c r="AE233" i="2"/>
  <c r="Y233" i="2"/>
  <c r="H232" i="3" s="1"/>
  <c r="AE232" i="2"/>
  <c r="Y232" i="2"/>
  <c r="H231" i="3" s="1"/>
  <c r="Y231" i="2"/>
  <c r="H230" i="3" s="1"/>
  <c r="AE231" i="2"/>
  <c r="Y230" i="2"/>
  <c r="H229" i="3" s="1"/>
  <c r="AE230" i="2"/>
  <c r="AE229" i="2"/>
  <c r="Y229" i="2"/>
  <c r="H228" i="3" s="1"/>
  <c r="Y228" i="2"/>
  <c r="H227" i="3" s="1"/>
  <c r="AE228" i="2"/>
  <c r="Y227" i="2"/>
  <c r="H226" i="3" s="1"/>
  <c r="AE227" i="2"/>
  <c r="AE226" i="2"/>
  <c r="Y226" i="2"/>
  <c r="H225" i="3" s="1"/>
  <c r="Y225" i="2"/>
  <c r="H224" i="3" s="1"/>
  <c r="AE225" i="2"/>
  <c r="Y224" i="2"/>
  <c r="H223" i="3" s="1"/>
  <c r="AE224" i="2"/>
  <c r="Y223" i="2"/>
  <c r="H222" i="3" s="1"/>
  <c r="AE223" i="2"/>
  <c r="AE222" i="2"/>
  <c r="Y222" i="2"/>
  <c r="H221" i="3" s="1"/>
  <c r="Y221" i="2"/>
  <c r="H220" i="3" s="1"/>
  <c r="AE221" i="2"/>
  <c r="Y220" i="2"/>
  <c r="H219" i="3" s="1"/>
  <c r="AE220" i="2"/>
  <c r="Y219" i="2"/>
  <c r="H218" i="3" s="1"/>
  <c r="AE219" i="2"/>
  <c r="AE218" i="2"/>
  <c r="Y218" i="2"/>
  <c r="H217" i="3" s="1"/>
  <c r="Y217" i="2"/>
  <c r="H216" i="3" s="1"/>
  <c r="AE217" i="2"/>
  <c r="AE216" i="2"/>
  <c r="Y216" i="2"/>
  <c r="H215" i="3" s="1"/>
  <c r="AE215" i="2"/>
  <c r="Y215" i="2"/>
  <c r="H214" i="3" s="1"/>
  <c r="Y214" i="2"/>
  <c r="H213" i="3" s="1"/>
  <c r="AE214" i="2"/>
  <c r="Y213" i="2"/>
  <c r="H212" i="3" s="1"/>
  <c r="AE213" i="2"/>
  <c r="Y212" i="2"/>
  <c r="H211" i="3" s="1"/>
  <c r="AE212" i="2"/>
  <c r="Y211" i="2"/>
  <c r="H210" i="3" s="1"/>
  <c r="AE211" i="2"/>
  <c r="Y210" i="2"/>
  <c r="H209" i="3" s="1"/>
  <c r="AE210" i="2"/>
  <c r="Y209" i="2"/>
  <c r="H208" i="3" s="1"/>
  <c r="AE209" i="2"/>
  <c r="Y208" i="2"/>
  <c r="H207" i="3" s="1"/>
  <c r="AE208" i="2"/>
  <c r="AE207" i="2"/>
  <c r="Y207" i="2"/>
  <c r="H206" i="3" s="1"/>
  <c r="E205" i="3"/>
  <c r="D205" i="3"/>
  <c r="A205" i="3"/>
  <c r="C205" i="3"/>
  <c r="B205" i="3"/>
  <c r="AE206" i="2"/>
  <c r="Y206" i="2"/>
  <c r="H205" i="3" s="1"/>
  <c r="C204" i="3"/>
  <c r="B204" i="3"/>
  <c r="E204" i="3"/>
  <c r="A204" i="3"/>
  <c r="D204" i="3"/>
  <c r="Y205" i="2"/>
  <c r="H204" i="3" s="1"/>
  <c r="AE205" i="2"/>
  <c r="B203" i="3"/>
  <c r="D203" i="3"/>
  <c r="C203" i="3"/>
  <c r="E203" i="3"/>
  <c r="A203" i="3"/>
  <c r="Y204" i="2"/>
  <c r="H203" i="3" s="1"/>
  <c r="AE204" i="2"/>
  <c r="E202" i="3"/>
  <c r="A202" i="3"/>
  <c r="B202" i="3"/>
  <c r="D202" i="3"/>
  <c r="C202" i="3"/>
  <c r="Y203" i="2"/>
  <c r="H202" i="3" s="1"/>
  <c r="AE203" i="2"/>
  <c r="A201" i="3"/>
  <c r="C201" i="3"/>
  <c r="E201" i="3"/>
  <c r="B201" i="3"/>
  <c r="D201" i="3"/>
  <c r="AE202" i="2"/>
  <c r="Y202" i="2"/>
  <c r="H201" i="3" s="1"/>
  <c r="A200" i="3"/>
  <c r="C200" i="3"/>
  <c r="D200" i="3"/>
  <c r="E200" i="3"/>
  <c r="B200" i="3"/>
  <c r="Y201" i="2"/>
  <c r="H200" i="3" s="1"/>
  <c r="AE201" i="2"/>
  <c r="D199" i="3"/>
  <c r="C199" i="3"/>
  <c r="B199" i="3"/>
  <c r="E199" i="3"/>
  <c r="A199" i="3"/>
  <c r="Y200" i="2"/>
  <c r="H199" i="3" s="1"/>
  <c r="AE200" i="2"/>
  <c r="A198" i="3"/>
  <c r="E198" i="3"/>
  <c r="D198" i="3"/>
  <c r="C198" i="3"/>
  <c r="B198" i="3"/>
  <c r="Y199" i="2"/>
  <c r="H198" i="3" s="1"/>
  <c r="AE199" i="2"/>
  <c r="E197" i="3"/>
  <c r="D197" i="3"/>
  <c r="A197" i="3"/>
  <c r="C197" i="3"/>
  <c r="B197" i="3"/>
  <c r="AE198" i="2"/>
  <c r="Y198" i="2"/>
  <c r="H197" i="3" s="1"/>
  <c r="A196" i="3"/>
  <c r="D196" i="3"/>
  <c r="E196" i="3"/>
  <c r="C196" i="3"/>
  <c r="B196" i="3"/>
  <c r="AE197" i="2"/>
  <c r="Y197" i="2"/>
  <c r="H196" i="3" s="1"/>
  <c r="D195" i="3"/>
  <c r="B195" i="3"/>
  <c r="C195" i="3"/>
  <c r="E195" i="3"/>
  <c r="A195" i="3"/>
  <c r="AE196" i="2"/>
  <c r="Y196" i="2"/>
  <c r="H195" i="3" s="1"/>
  <c r="E194" i="3"/>
  <c r="B194" i="3"/>
  <c r="A194" i="3"/>
  <c r="C194" i="3"/>
  <c r="D194" i="3"/>
  <c r="Y195" i="2"/>
  <c r="H194" i="3" s="1"/>
  <c r="AE195" i="2"/>
  <c r="E193" i="3"/>
  <c r="D193" i="3"/>
  <c r="A193" i="3"/>
  <c r="B193" i="3"/>
  <c r="C193" i="3"/>
  <c r="Y194" i="2"/>
  <c r="H193" i="3" s="1"/>
  <c r="AE194" i="2"/>
  <c r="B192" i="3"/>
  <c r="A192" i="3"/>
  <c r="C192" i="3"/>
  <c r="D192" i="3"/>
  <c r="E192" i="3"/>
  <c r="AE193" i="2"/>
  <c r="Y193" i="2"/>
  <c r="H192" i="3" s="1"/>
  <c r="E191" i="3"/>
  <c r="A191" i="3"/>
  <c r="D191" i="3"/>
  <c r="B191" i="3"/>
  <c r="C191" i="3"/>
  <c r="Y192" i="2"/>
  <c r="H191" i="3" s="1"/>
  <c r="AE192" i="2"/>
  <c r="C190" i="3"/>
  <c r="D190" i="3"/>
  <c r="A190" i="3"/>
  <c r="E190" i="3"/>
  <c r="B190" i="3"/>
  <c r="AE191" i="2"/>
  <c r="Y191" i="2"/>
  <c r="H190" i="3" s="1"/>
  <c r="A189" i="3"/>
  <c r="D189" i="3"/>
  <c r="B189" i="3"/>
  <c r="E189" i="3"/>
  <c r="C189" i="3"/>
  <c r="Y190" i="2"/>
  <c r="H189" i="3" s="1"/>
  <c r="AE190" i="2"/>
  <c r="D188" i="3"/>
  <c r="B188" i="3"/>
  <c r="E188" i="3"/>
  <c r="C188" i="3"/>
  <c r="A188" i="3"/>
  <c r="AE189" i="2"/>
  <c r="Y189" i="2"/>
  <c r="H188" i="3" s="1"/>
  <c r="B187" i="3"/>
  <c r="E187" i="3"/>
  <c r="D187" i="3"/>
  <c r="A187" i="3"/>
  <c r="C187" i="3"/>
  <c r="Y188" i="2"/>
  <c r="H187" i="3" s="1"/>
  <c r="AE188" i="2"/>
  <c r="C186" i="3"/>
  <c r="D186" i="3"/>
  <c r="A186" i="3"/>
  <c r="E186" i="3"/>
  <c r="B186" i="3"/>
  <c r="Y187" i="2"/>
  <c r="H186" i="3" s="1"/>
  <c r="AE187" i="2"/>
  <c r="D185" i="3"/>
  <c r="E185" i="3"/>
  <c r="B185" i="3"/>
  <c r="A185" i="3"/>
  <c r="C185" i="3"/>
  <c r="Y186" i="2"/>
  <c r="H185" i="3" s="1"/>
  <c r="AE186" i="2"/>
  <c r="A184" i="3"/>
  <c r="C184" i="3"/>
  <c r="E184" i="3"/>
  <c r="B184" i="3"/>
  <c r="D184" i="3"/>
  <c r="Y185" i="2"/>
  <c r="H184" i="3" s="1"/>
  <c r="AE185" i="2"/>
  <c r="C183" i="3"/>
  <c r="E183" i="3"/>
  <c r="D183" i="3"/>
  <c r="B183" i="3"/>
  <c r="A183" i="3"/>
  <c r="Y184" i="2"/>
  <c r="H183" i="3" s="1"/>
  <c r="AE184" i="2"/>
  <c r="C182" i="3"/>
  <c r="E182" i="3"/>
  <c r="B182" i="3"/>
  <c r="A182" i="3"/>
  <c r="D182" i="3"/>
  <c r="Y183" i="2"/>
  <c r="H182" i="3" s="1"/>
  <c r="AE183" i="2"/>
  <c r="B181" i="3"/>
  <c r="C181" i="3"/>
  <c r="E181" i="3"/>
  <c r="D181" i="3"/>
  <c r="A181" i="3"/>
  <c r="AE182" i="2"/>
  <c r="Y182" i="2"/>
  <c r="H181" i="3" s="1"/>
  <c r="E180" i="3"/>
  <c r="C180" i="3"/>
  <c r="D180" i="3"/>
  <c r="B180" i="3"/>
  <c r="A180" i="3"/>
  <c r="AE181" i="2"/>
  <c r="Y181" i="2"/>
  <c r="H180" i="3" s="1"/>
  <c r="E179" i="3"/>
  <c r="C179" i="3"/>
  <c r="B179" i="3"/>
  <c r="A179" i="3"/>
  <c r="D179" i="3"/>
  <c r="Y180" i="2"/>
  <c r="H179" i="3" s="1"/>
  <c r="AE180" i="2"/>
  <c r="A178" i="3"/>
  <c r="B178" i="3"/>
  <c r="C178" i="3"/>
  <c r="D178" i="3"/>
  <c r="E178" i="3"/>
  <c r="Y179" i="2"/>
  <c r="H178" i="3" s="1"/>
  <c r="AE179" i="2"/>
  <c r="E177" i="3"/>
  <c r="C177" i="3"/>
  <c r="B177" i="3"/>
  <c r="D177" i="3"/>
  <c r="A177" i="3"/>
  <c r="Y178" i="2"/>
  <c r="H177" i="3" s="1"/>
  <c r="AE178" i="2"/>
  <c r="D176" i="3"/>
  <c r="C176" i="3"/>
  <c r="B176" i="3"/>
  <c r="A176" i="3"/>
  <c r="E176" i="3"/>
  <c r="AE177" i="2"/>
  <c r="Y177" i="2"/>
  <c r="H176" i="3" s="1"/>
  <c r="B175" i="3"/>
  <c r="D175" i="3"/>
  <c r="C175" i="3"/>
  <c r="E175" i="3"/>
  <c r="A175" i="3"/>
  <c r="Y176" i="2"/>
  <c r="H175" i="3" s="1"/>
  <c r="AE176" i="2"/>
  <c r="B174" i="3"/>
  <c r="C174" i="3"/>
  <c r="E174" i="3"/>
  <c r="A174" i="3"/>
  <c r="D174" i="3"/>
  <c r="AE175" i="2"/>
  <c r="Y175" i="2"/>
  <c r="H174" i="3" s="1"/>
  <c r="E173" i="3"/>
  <c r="A173" i="3"/>
  <c r="D173" i="3"/>
  <c r="B173" i="3"/>
  <c r="C173" i="3"/>
  <c r="Y174" i="2"/>
  <c r="H173" i="3" s="1"/>
  <c r="AE174" i="2"/>
  <c r="B172" i="3"/>
  <c r="A172" i="3"/>
  <c r="C172" i="3"/>
  <c r="E172" i="3"/>
  <c r="D172" i="3"/>
  <c r="Y173" i="2"/>
  <c r="H172" i="3" s="1"/>
  <c r="AE173" i="2"/>
  <c r="A171" i="3"/>
  <c r="B171" i="3"/>
  <c r="D171" i="3"/>
  <c r="E171" i="3"/>
  <c r="C171" i="3"/>
  <c r="AE172" i="2"/>
  <c r="Y172" i="2"/>
  <c r="H171" i="3" s="1"/>
  <c r="A170" i="3"/>
  <c r="E170" i="3"/>
  <c r="B170" i="3"/>
  <c r="C170" i="3"/>
  <c r="D170" i="3"/>
  <c r="Y171" i="2"/>
  <c r="H170" i="3" s="1"/>
  <c r="AE171" i="2"/>
  <c r="B169" i="3"/>
  <c r="D169" i="3"/>
  <c r="E169" i="3"/>
  <c r="C169" i="3"/>
  <c r="A169" i="3"/>
  <c r="AE170" i="2"/>
  <c r="Y170" i="2"/>
  <c r="H169" i="3" s="1"/>
  <c r="B168" i="3"/>
  <c r="E168" i="3"/>
  <c r="A168" i="3"/>
  <c r="D168" i="3"/>
  <c r="C168" i="3"/>
  <c r="Y169" i="2"/>
  <c r="H168" i="3" s="1"/>
  <c r="AE169" i="2"/>
  <c r="D167" i="3"/>
  <c r="A167" i="3"/>
  <c r="B167" i="3"/>
  <c r="E167" i="3"/>
  <c r="C167" i="3"/>
  <c r="Y168" i="2"/>
  <c r="H167" i="3" s="1"/>
  <c r="AE168" i="2"/>
  <c r="D166" i="3"/>
  <c r="A166" i="3"/>
  <c r="C166" i="3"/>
  <c r="E166" i="3"/>
  <c r="B166" i="3"/>
  <c r="Y167" i="2"/>
  <c r="H166" i="3" s="1"/>
  <c r="AE167" i="2"/>
  <c r="B165" i="3"/>
  <c r="C165" i="3"/>
  <c r="E165" i="3"/>
  <c r="D165" i="3"/>
  <c r="A165" i="3"/>
  <c r="AE166" i="2"/>
  <c r="Y166" i="2"/>
  <c r="H165" i="3" s="1"/>
  <c r="B164" i="3"/>
  <c r="C164" i="3"/>
  <c r="E164" i="3"/>
  <c r="A164" i="3"/>
  <c r="D164" i="3"/>
  <c r="AE165" i="2"/>
  <c r="Y165" i="2"/>
  <c r="H164" i="3" s="1"/>
  <c r="C163" i="3"/>
  <c r="B163" i="3"/>
  <c r="E163" i="3"/>
  <c r="A163" i="3"/>
  <c r="D163" i="3"/>
  <c r="AE164" i="2"/>
  <c r="Y164" i="2"/>
  <c r="H163" i="3" s="1"/>
  <c r="C162" i="3"/>
  <c r="A162" i="3"/>
  <c r="D162" i="3"/>
  <c r="B162" i="3"/>
  <c r="E162" i="3"/>
  <c r="AE163" i="2"/>
  <c r="Y163" i="2"/>
  <c r="H162" i="3" s="1"/>
  <c r="Y161" i="2"/>
  <c r="H160" i="3" s="1"/>
  <c r="AE161" i="2"/>
  <c r="Y160" i="2"/>
  <c r="H159" i="3" s="1"/>
  <c r="AE160" i="2"/>
  <c r="A158" i="3"/>
  <c r="B158" i="3"/>
  <c r="C158" i="3"/>
  <c r="D158" i="3"/>
  <c r="Y159" i="2"/>
  <c r="H158" i="3" s="1"/>
  <c r="AE159" i="2"/>
  <c r="B157" i="3"/>
  <c r="A157" i="3"/>
  <c r="C157" i="3"/>
  <c r="D157" i="3"/>
  <c r="E157" i="3"/>
  <c r="Y158" i="2"/>
  <c r="H157" i="3" s="1"/>
  <c r="AE158" i="2"/>
  <c r="E156" i="3"/>
  <c r="B156" i="3"/>
  <c r="C156" i="3"/>
  <c r="D156" i="3"/>
  <c r="A156" i="3"/>
  <c r="AE157" i="2"/>
  <c r="Y157" i="2"/>
  <c r="H156" i="3" s="1"/>
  <c r="C155" i="3"/>
  <c r="D155" i="3"/>
  <c r="E155" i="3"/>
  <c r="B155" i="3"/>
  <c r="A155" i="3"/>
  <c r="AE156" i="2"/>
  <c r="Y156" i="2"/>
  <c r="H155" i="3" s="1"/>
  <c r="E154" i="3"/>
  <c r="A154" i="3"/>
  <c r="B154" i="3"/>
  <c r="C154" i="3"/>
  <c r="D154" i="3"/>
  <c r="Y155" i="2"/>
  <c r="H154" i="3" s="1"/>
  <c r="AE155" i="2"/>
  <c r="B153" i="3"/>
  <c r="E153" i="3"/>
  <c r="C153" i="3"/>
  <c r="D153" i="3"/>
  <c r="A153" i="3"/>
  <c r="Y154" i="2"/>
  <c r="H153" i="3" s="1"/>
  <c r="AE154" i="2"/>
  <c r="B152" i="3"/>
  <c r="D152" i="3"/>
  <c r="A152" i="3"/>
  <c r="E152" i="3"/>
  <c r="C152" i="3"/>
  <c r="AE153" i="2"/>
  <c r="Y153" i="2"/>
  <c r="H152" i="3" s="1"/>
  <c r="A151" i="3"/>
  <c r="B151" i="3"/>
  <c r="C151" i="3"/>
  <c r="D151" i="3"/>
  <c r="E151" i="3"/>
  <c r="AE152" i="2"/>
  <c r="Y152" i="2"/>
  <c r="H151" i="3" s="1"/>
  <c r="D150" i="3"/>
  <c r="E150" i="3"/>
  <c r="A150" i="3"/>
  <c r="C150" i="3"/>
  <c r="B150" i="3"/>
  <c r="AE151" i="2"/>
  <c r="Y151" i="2"/>
  <c r="H150" i="3" s="1"/>
  <c r="B149" i="3"/>
  <c r="E149" i="3"/>
  <c r="C149" i="3"/>
  <c r="A149" i="3"/>
  <c r="D149" i="3"/>
  <c r="AE150" i="2"/>
  <c r="Y150" i="2"/>
  <c r="H149" i="3" s="1"/>
  <c r="B148" i="3"/>
  <c r="C148" i="3"/>
  <c r="D148" i="3"/>
  <c r="E148" i="3"/>
  <c r="A148" i="3"/>
  <c r="Y149" i="2"/>
  <c r="H148" i="3" s="1"/>
  <c r="AE149" i="2"/>
  <c r="D147" i="3"/>
  <c r="B147" i="3"/>
  <c r="A147" i="3"/>
  <c r="C147" i="3"/>
  <c r="E147" i="3"/>
  <c r="Y148" i="2"/>
  <c r="H147" i="3" s="1"/>
  <c r="AE148" i="2"/>
  <c r="B146" i="3"/>
  <c r="E146" i="3"/>
  <c r="D146" i="3"/>
  <c r="C146" i="3"/>
  <c r="A146" i="3"/>
  <c r="Y147" i="2"/>
  <c r="H146" i="3" s="1"/>
  <c r="AE147" i="2"/>
  <c r="E145" i="3"/>
  <c r="D145" i="3"/>
  <c r="B145" i="3"/>
  <c r="A145" i="3"/>
  <c r="C145" i="3"/>
  <c r="AE146" i="2"/>
  <c r="Y146" i="2"/>
  <c r="H145" i="3" s="1"/>
  <c r="E144" i="3"/>
  <c r="D144" i="3"/>
  <c r="C144" i="3"/>
  <c r="A144" i="3"/>
  <c r="B144" i="3"/>
  <c r="AE145" i="2"/>
  <c r="Y145" i="2"/>
  <c r="H144" i="3" s="1"/>
  <c r="E143" i="3"/>
  <c r="A143" i="3"/>
  <c r="B143" i="3"/>
  <c r="C143" i="3"/>
  <c r="D143" i="3"/>
  <c r="AE144" i="2"/>
  <c r="Y144" i="2"/>
  <c r="H143" i="3" s="1"/>
  <c r="A142" i="3"/>
  <c r="B142" i="3"/>
  <c r="D142" i="3"/>
  <c r="E142" i="3"/>
  <c r="C142" i="3"/>
  <c r="AE143" i="2"/>
  <c r="Y143" i="2"/>
  <c r="H142" i="3" s="1"/>
  <c r="E141" i="3"/>
  <c r="D141" i="3"/>
  <c r="C141" i="3"/>
  <c r="B141" i="3"/>
  <c r="A141" i="3"/>
  <c r="AE142" i="2"/>
  <c r="Y142" i="2"/>
  <c r="H141" i="3" s="1"/>
  <c r="D140" i="3"/>
  <c r="A140" i="3"/>
  <c r="B140" i="3"/>
  <c r="C140" i="3"/>
  <c r="E140" i="3"/>
  <c r="AE141" i="2"/>
  <c r="Y141" i="2"/>
  <c r="H140" i="3" s="1"/>
  <c r="E139" i="3"/>
  <c r="B139" i="3"/>
  <c r="C139" i="3"/>
  <c r="D139" i="3"/>
  <c r="A139" i="3"/>
  <c r="Y140" i="2"/>
  <c r="H139" i="3" s="1"/>
  <c r="AE140" i="2"/>
  <c r="C138" i="3"/>
  <c r="E138" i="3"/>
  <c r="D138" i="3"/>
  <c r="B138" i="3"/>
  <c r="A138" i="3"/>
  <c r="Y139" i="2"/>
  <c r="H138" i="3" s="1"/>
  <c r="AE139" i="2"/>
  <c r="B137" i="3"/>
  <c r="E137" i="3"/>
  <c r="D137" i="3"/>
  <c r="C137" i="3"/>
  <c r="A137" i="3"/>
  <c r="Y138" i="2"/>
  <c r="H137" i="3" s="1"/>
  <c r="AE138" i="2"/>
  <c r="E136" i="3"/>
  <c r="D136" i="3"/>
  <c r="C136" i="3"/>
  <c r="B136" i="3"/>
  <c r="A136" i="3"/>
  <c r="AE137" i="2"/>
  <c r="Y137" i="2"/>
  <c r="H136" i="3" s="1"/>
  <c r="A135" i="3"/>
  <c r="C135" i="3"/>
  <c r="D135" i="3"/>
  <c r="E135" i="3"/>
  <c r="B135" i="3"/>
  <c r="AE136" i="2"/>
  <c r="Y136" i="2"/>
  <c r="H135" i="3" s="1"/>
  <c r="E134" i="3"/>
  <c r="A134" i="3"/>
  <c r="B134" i="3"/>
  <c r="C134" i="3"/>
  <c r="D134" i="3"/>
  <c r="Y135" i="2"/>
  <c r="H134" i="3" s="1"/>
  <c r="AE135" i="2"/>
  <c r="A133" i="3"/>
  <c r="E133" i="3"/>
  <c r="D133" i="3"/>
  <c r="C133" i="3"/>
  <c r="B133" i="3"/>
  <c r="Y134" i="2"/>
  <c r="H133" i="3" s="1"/>
  <c r="AE134" i="2"/>
  <c r="E132" i="3"/>
  <c r="C132" i="3"/>
  <c r="A132" i="3"/>
  <c r="B132" i="3"/>
  <c r="D132" i="3"/>
  <c r="Y133" i="2"/>
  <c r="H132" i="3" s="1"/>
  <c r="AE133" i="2"/>
  <c r="C131" i="3"/>
  <c r="A131" i="3"/>
  <c r="B131" i="3"/>
  <c r="D131" i="3"/>
  <c r="E131" i="3"/>
  <c r="Y132" i="2"/>
  <c r="H131" i="3" s="1"/>
  <c r="AE132" i="2"/>
  <c r="D130" i="3"/>
  <c r="E130" i="3"/>
  <c r="B130" i="3"/>
  <c r="C130" i="3"/>
  <c r="A130" i="3"/>
  <c r="Y131" i="2"/>
  <c r="H130" i="3" s="1"/>
  <c r="AE131" i="2"/>
  <c r="A129" i="3"/>
  <c r="B129" i="3"/>
  <c r="C129" i="3"/>
  <c r="D129" i="3"/>
  <c r="E129" i="3"/>
  <c r="AE130" i="2"/>
  <c r="Y130" i="2"/>
  <c r="H129" i="3" s="1"/>
  <c r="A128" i="3"/>
  <c r="B128" i="3"/>
  <c r="C128" i="3"/>
  <c r="D128" i="3"/>
  <c r="E128" i="3"/>
  <c r="AE129" i="2"/>
  <c r="Y129" i="2"/>
  <c r="H128" i="3" s="1"/>
  <c r="C127" i="3"/>
  <c r="D127" i="3"/>
  <c r="E127" i="3"/>
  <c r="A127" i="3"/>
  <c r="B127" i="3"/>
  <c r="Y128" i="2"/>
  <c r="H127" i="3" s="1"/>
  <c r="AE128" i="2"/>
  <c r="D126" i="3"/>
  <c r="C126" i="3"/>
  <c r="B126" i="3"/>
  <c r="A126" i="3"/>
  <c r="E126" i="3"/>
  <c r="AE127" i="2"/>
  <c r="Y127" i="2"/>
  <c r="H126" i="3" s="1"/>
  <c r="D125" i="3"/>
  <c r="C125" i="3"/>
  <c r="B125" i="3"/>
  <c r="A125" i="3"/>
  <c r="E125" i="3"/>
  <c r="AE126" i="2"/>
  <c r="Y126" i="2"/>
  <c r="H125" i="3" s="1"/>
  <c r="B124" i="3"/>
  <c r="C124" i="3"/>
  <c r="D124" i="3"/>
  <c r="E124" i="3"/>
  <c r="A124" i="3"/>
  <c r="AE125" i="2"/>
  <c r="Y125" i="2"/>
  <c r="H124" i="3" s="1"/>
  <c r="A123" i="3"/>
  <c r="B123" i="3"/>
  <c r="C123" i="3"/>
  <c r="D123" i="3"/>
  <c r="E123" i="3"/>
  <c r="AE124" i="2"/>
  <c r="Y124" i="2"/>
  <c r="H123" i="3" s="1"/>
  <c r="E122" i="3"/>
  <c r="D122" i="3"/>
  <c r="B122" i="3"/>
  <c r="A122" i="3"/>
  <c r="C122" i="3"/>
  <c r="AE123" i="2"/>
  <c r="Y123" i="2"/>
  <c r="H122" i="3" s="1"/>
  <c r="E121" i="3"/>
  <c r="D121" i="3"/>
  <c r="C121" i="3"/>
  <c r="B121" i="3"/>
  <c r="A121" i="3"/>
  <c r="AE122" i="2"/>
  <c r="Y122" i="2"/>
  <c r="H121" i="3" s="1"/>
  <c r="C120" i="3"/>
  <c r="D120" i="3"/>
  <c r="E120" i="3"/>
  <c r="A120" i="3"/>
  <c r="B120" i="3"/>
  <c r="AE121" i="2"/>
  <c r="Y121" i="2"/>
  <c r="H120" i="3" s="1"/>
  <c r="A119" i="3"/>
  <c r="B119" i="3"/>
  <c r="D119" i="3"/>
  <c r="E119" i="3"/>
  <c r="C119" i="3"/>
  <c r="Y120" i="2"/>
  <c r="H119" i="3" s="1"/>
  <c r="AE120" i="2"/>
  <c r="A118" i="3"/>
  <c r="E118" i="3"/>
  <c r="D118" i="3"/>
  <c r="C118" i="3"/>
  <c r="B118" i="3"/>
  <c r="Y119" i="2"/>
  <c r="H118" i="3" s="1"/>
  <c r="AE119" i="2"/>
  <c r="E117" i="3"/>
  <c r="C117" i="3"/>
  <c r="B117" i="3"/>
  <c r="A117" i="3"/>
  <c r="D117" i="3"/>
  <c r="AE118" i="2"/>
  <c r="Y118" i="2"/>
  <c r="H117" i="3" s="1"/>
  <c r="B116" i="3"/>
  <c r="C116" i="3"/>
  <c r="D116" i="3"/>
  <c r="E116" i="3"/>
  <c r="A116" i="3"/>
  <c r="AE117" i="2"/>
  <c r="Y117" i="2"/>
  <c r="H116" i="3" s="1"/>
  <c r="D115" i="3"/>
  <c r="E115" i="3"/>
  <c r="C115" i="3"/>
  <c r="B115" i="3"/>
  <c r="A115" i="3"/>
  <c r="AE116" i="2"/>
  <c r="Y116" i="2"/>
  <c r="H115" i="3" s="1"/>
  <c r="E114" i="3"/>
  <c r="D114" i="3"/>
  <c r="C114" i="3"/>
  <c r="B114" i="3"/>
  <c r="A114" i="3"/>
  <c r="AE115" i="2"/>
  <c r="Y115" i="2"/>
  <c r="H114" i="3" s="1"/>
  <c r="D113" i="3"/>
  <c r="C113" i="3"/>
  <c r="B113" i="3"/>
  <c r="A113" i="3"/>
  <c r="E113" i="3"/>
  <c r="Y114" i="2"/>
  <c r="H113" i="3" s="1"/>
  <c r="AE114" i="2"/>
  <c r="E112" i="3"/>
  <c r="D112" i="3"/>
  <c r="C112" i="3"/>
  <c r="B112" i="3"/>
  <c r="A112" i="3"/>
  <c r="AE113" i="2"/>
  <c r="Y113" i="2"/>
  <c r="H112" i="3" s="1"/>
  <c r="C111" i="3"/>
  <c r="B111" i="3"/>
  <c r="E111" i="3"/>
  <c r="A111" i="3"/>
  <c r="D111" i="3"/>
  <c r="Y112" i="2"/>
  <c r="H111" i="3" s="1"/>
  <c r="AE112" i="2"/>
  <c r="E110" i="3"/>
  <c r="C110" i="3"/>
  <c r="B110" i="3"/>
  <c r="A110" i="3"/>
  <c r="D110" i="3"/>
  <c r="AE111" i="2"/>
  <c r="Y111" i="2"/>
  <c r="H110" i="3" s="1"/>
  <c r="A109" i="3"/>
  <c r="B109" i="3"/>
  <c r="C109" i="3"/>
  <c r="D109" i="3"/>
  <c r="E109" i="3"/>
  <c r="Y110" i="2"/>
  <c r="H109" i="3" s="1"/>
  <c r="AE110" i="2"/>
  <c r="A108" i="3"/>
  <c r="B108" i="3"/>
  <c r="C108" i="3"/>
  <c r="D108" i="3"/>
  <c r="E108" i="3"/>
  <c r="Y109" i="2"/>
  <c r="H108" i="3" s="1"/>
  <c r="AE109" i="2"/>
  <c r="E107" i="3"/>
  <c r="D107" i="3"/>
  <c r="C107" i="3"/>
  <c r="B107" i="3"/>
  <c r="A107" i="3"/>
  <c r="Y108" i="2"/>
  <c r="H107" i="3" s="1"/>
  <c r="AE108" i="2"/>
  <c r="E106" i="3"/>
  <c r="D106" i="3"/>
  <c r="C106" i="3"/>
  <c r="B106" i="3"/>
  <c r="A106" i="3"/>
  <c r="Y107" i="2"/>
  <c r="H106" i="3" s="1"/>
  <c r="AE107" i="2"/>
  <c r="C105" i="3"/>
  <c r="B105" i="3"/>
  <c r="A105" i="3"/>
  <c r="E105" i="3"/>
  <c r="D105" i="3"/>
  <c r="Y106" i="2"/>
  <c r="H105" i="3" s="1"/>
  <c r="AE106" i="2"/>
  <c r="A104" i="3"/>
  <c r="B104" i="3"/>
  <c r="C104" i="3"/>
  <c r="D104" i="3"/>
  <c r="E104" i="3"/>
  <c r="Y105" i="2"/>
  <c r="H104" i="3" s="1"/>
  <c r="AE105" i="2"/>
  <c r="E103" i="3"/>
  <c r="A103" i="3"/>
  <c r="B103" i="3"/>
  <c r="C103" i="3"/>
  <c r="D103" i="3"/>
  <c r="AE104" i="2"/>
  <c r="Y104" i="2"/>
  <c r="H103" i="3" s="1"/>
  <c r="A102" i="3"/>
  <c r="B102" i="3"/>
  <c r="C102" i="3"/>
  <c r="D102" i="3"/>
  <c r="E102" i="3"/>
  <c r="AE103" i="2"/>
  <c r="Y103" i="2"/>
  <c r="H102" i="3" s="1"/>
  <c r="A101" i="3"/>
  <c r="B101" i="3"/>
  <c r="C101" i="3"/>
  <c r="E101" i="3"/>
  <c r="D101" i="3"/>
  <c r="AE102" i="2"/>
  <c r="Y102" i="2"/>
  <c r="H101" i="3" s="1"/>
  <c r="E100" i="3"/>
  <c r="D100" i="3"/>
  <c r="C100" i="3"/>
  <c r="B100" i="3"/>
  <c r="A100" i="3"/>
  <c r="AE101" i="2"/>
  <c r="Y101" i="2"/>
  <c r="H100" i="3" s="1"/>
  <c r="E99" i="3"/>
  <c r="D99" i="3"/>
  <c r="C99" i="3"/>
  <c r="B99" i="3"/>
  <c r="A99" i="3"/>
  <c r="Y100" i="2"/>
  <c r="H99" i="3" s="1"/>
  <c r="AE100" i="2"/>
  <c r="A98" i="3"/>
  <c r="B98" i="3"/>
  <c r="C98" i="3"/>
  <c r="D98" i="3"/>
  <c r="E98" i="3"/>
  <c r="Y99" i="2"/>
  <c r="H98" i="3" s="1"/>
  <c r="AE99" i="2"/>
  <c r="A97" i="3"/>
  <c r="E97" i="3"/>
  <c r="C97" i="3"/>
  <c r="D97" i="3"/>
  <c r="B97" i="3"/>
  <c r="Y98" i="2"/>
  <c r="H97" i="3" s="1"/>
  <c r="AE98" i="2"/>
  <c r="E96" i="3"/>
  <c r="D96" i="3"/>
  <c r="A96" i="3"/>
  <c r="B96" i="3"/>
  <c r="C96" i="3"/>
  <c r="AE97" i="2"/>
  <c r="Y97" i="2"/>
  <c r="H96" i="3" s="1"/>
  <c r="E95" i="3"/>
  <c r="B95" i="3"/>
  <c r="D95" i="3"/>
  <c r="C95" i="3"/>
  <c r="A95" i="3"/>
  <c r="AE96" i="2"/>
  <c r="Y96" i="2"/>
  <c r="H95" i="3" s="1"/>
  <c r="A94" i="3"/>
  <c r="B94" i="3"/>
  <c r="C94" i="3"/>
  <c r="D94" i="3"/>
  <c r="E94" i="3"/>
  <c r="Y95" i="2"/>
  <c r="H94" i="3" s="1"/>
  <c r="AE95" i="2"/>
  <c r="A93" i="3"/>
  <c r="E93" i="3"/>
  <c r="D93" i="3"/>
  <c r="C93" i="3"/>
  <c r="B93" i="3"/>
  <c r="AE94" i="2"/>
  <c r="Y94" i="2"/>
  <c r="H93" i="3" s="1"/>
  <c r="A92" i="3"/>
  <c r="B92" i="3"/>
  <c r="C92" i="3"/>
  <c r="D92" i="3"/>
  <c r="E92" i="3"/>
  <c r="AE93" i="2"/>
  <c r="Y93" i="2"/>
  <c r="H92" i="3" s="1"/>
  <c r="D91" i="3"/>
  <c r="A91" i="3"/>
  <c r="B91" i="3"/>
  <c r="C91" i="3"/>
  <c r="E91" i="3"/>
  <c r="AE92" i="2"/>
  <c r="Y92" i="2"/>
  <c r="H91" i="3" s="1"/>
  <c r="C90" i="3"/>
  <c r="B90" i="3"/>
  <c r="D90" i="3"/>
  <c r="A90" i="3"/>
  <c r="E90" i="3"/>
  <c r="AE91" i="2"/>
  <c r="Y91" i="2"/>
  <c r="H90" i="3" s="1"/>
  <c r="A89" i="3"/>
  <c r="B89" i="3"/>
  <c r="C89" i="3"/>
  <c r="E89" i="3"/>
  <c r="D89" i="3"/>
  <c r="AE90" i="2"/>
  <c r="Y90" i="2"/>
  <c r="H89" i="3" s="1"/>
  <c r="A88" i="3"/>
  <c r="B88" i="3"/>
  <c r="C88" i="3"/>
  <c r="D88" i="3"/>
  <c r="E88" i="3"/>
  <c r="AE89" i="2"/>
  <c r="Y89" i="2"/>
  <c r="H88" i="3" s="1"/>
  <c r="D87" i="3"/>
  <c r="E87" i="3"/>
  <c r="A87" i="3"/>
  <c r="B87" i="3"/>
  <c r="C87" i="3"/>
  <c r="AE88" i="2"/>
  <c r="Y88" i="2"/>
  <c r="H87" i="3" s="1"/>
  <c r="E86" i="3"/>
  <c r="D86" i="3"/>
  <c r="C86" i="3"/>
  <c r="B86" i="3"/>
  <c r="A86" i="3"/>
  <c r="AE87" i="2"/>
  <c r="Y87" i="2"/>
  <c r="H86" i="3" s="1"/>
  <c r="E85" i="3"/>
  <c r="D85" i="3"/>
  <c r="C85" i="3"/>
  <c r="B85" i="3"/>
  <c r="A85" i="3"/>
  <c r="AE86" i="2"/>
  <c r="Y86" i="2"/>
  <c r="H85" i="3" s="1"/>
  <c r="A84" i="3"/>
  <c r="B84" i="3"/>
  <c r="C84" i="3"/>
  <c r="D84" i="3"/>
  <c r="E84" i="3"/>
  <c r="AE85" i="2"/>
  <c r="Y85" i="2"/>
  <c r="H84" i="3" s="1"/>
  <c r="B83" i="3"/>
  <c r="A83" i="3"/>
  <c r="E83" i="3"/>
  <c r="D83" i="3"/>
  <c r="C83" i="3"/>
  <c r="AE84" i="2"/>
  <c r="Y84" i="2"/>
  <c r="H83" i="3" s="1"/>
  <c r="A82" i="3"/>
  <c r="B82" i="3"/>
  <c r="C82" i="3"/>
  <c r="D82" i="3"/>
  <c r="E82" i="3"/>
  <c r="Y83" i="2"/>
  <c r="H82" i="3" s="1"/>
  <c r="AE83" i="2"/>
  <c r="A81" i="3"/>
  <c r="B81" i="3"/>
  <c r="C81" i="3"/>
  <c r="D81" i="3"/>
  <c r="E81" i="3"/>
  <c r="AE82" i="2"/>
  <c r="Y82" i="2"/>
  <c r="H81" i="3" s="1"/>
  <c r="A80" i="3"/>
  <c r="B80" i="3"/>
  <c r="C80" i="3"/>
  <c r="D80" i="3"/>
  <c r="E80" i="3"/>
  <c r="Y81" i="2"/>
  <c r="H80" i="3" s="1"/>
  <c r="AE81" i="2"/>
  <c r="C79" i="3"/>
  <c r="E79" i="3"/>
  <c r="D79" i="3"/>
  <c r="B79" i="3"/>
  <c r="A79" i="3"/>
  <c r="AE80" i="2"/>
  <c r="Y80" i="2"/>
  <c r="H79" i="3" s="1"/>
  <c r="B78" i="3"/>
  <c r="A78" i="3"/>
  <c r="C78" i="3"/>
  <c r="E78" i="3"/>
  <c r="D78" i="3"/>
  <c r="AE79" i="2"/>
  <c r="Y79" i="2"/>
  <c r="H78" i="3" s="1"/>
  <c r="A77" i="3"/>
  <c r="B77" i="3"/>
  <c r="C77" i="3"/>
  <c r="E77" i="3"/>
  <c r="D77" i="3"/>
  <c r="Y78" i="2"/>
  <c r="H77" i="3" s="1"/>
  <c r="AE78" i="2"/>
  <c r="A76" i="3"/>
  <c r="C76" i="3"/>
  <c r="D76" i="3"/>
  <c r="E76" i="3"/>
  <c r="B76" i="3"/>
  <c r="AE77" i="2"/>
  <c r="Y77" i="2"/>
  <c r="H76" i="3" s="1"/>
  <c r="A75" i="3"/>
  <c r="B75" i="3"/>
  <c r="E75" i="3"/>
  <c r="D75" i="3"/>
  <c r="C75" i="3"/>
  <c r="AE76" i="2"/>
  <c r="Y76" i="2"/>
  <c r="H75" i="3" s="1"/>
  <c r="A74" i="3"/>
  <c r="B74" i="3"/>
  <c r="D74" i="3"/>
  <c r="C74" i="3"/>
  <c r="E74" i="3"/>
  <c r="AE75" i="2"/>
  <c r="Y75" i="2"/>
  <c r="H74" i="3" s="1"/>
  <c r="A73" i="3"/>
  <c r="B73" i="3"/>
  <c r="C73" i="3"/>
  <c r="D73" i="3"/>
  <c r="E73" i="3"/>
  <c r="Y74" i="2"/>
  <c r="H73" i="3" s="1"/>
  <c r="AE74" i="2"/>
  <c r="B72" i="3"/>
  <c r="A72" i="3"/>
  <c r="C72" i="3"/>
  <c r="E72" i="3"/>
  <c r="D72" i="3"/>
  <c r="Y73" i="2"/>
  <c r="H72" i="3" s="1"/>
  <c r="AE73" i="2"/>
  <c r="E71" i="3"/>
  <c r="D71" i="3"/>
  <c r="C71" i="3"/>
  <c r="B71" i="3"/>
  <c r="A71" i="3"/>
  <c r="Y72" i="2"/>
  <c r="H71" i="3" s="1"/>
  <c r="AE72" i="2"/>
  <c r="A70" i="3"/>
  <c r="C70" i="3"/>
  <c r="B70" i="3"/>
  <c r="E70" i="3"/>
  <c r="D70" i="3"/>
  <c r="AE71" i="2"/>
  <c r="Y71" i="2"/>
  <c r="H70" i="3" s="1"/>
  <c r="E69" i="3"/>
  <c r="D69" i="3"/>
  <c r="C69" i="3"/>
  <c r="A69" i="3"/>
  <c r="B69" i="3"/>
  <c r="AE70" i="2"/>
  <c r="Y70" i="2"/>
  <c r="H69" i="3" s="1"/>
  <c r="A68" i="3"/>
  <c r="B68" i="3"/>
  <c r="C68" i="3"/>
  <c r="D68" i="3"/>
  <c r="E68" i="3"/>
  <c r="AE69" i="2"/>
  <c r="Y69" i="2"/>
  <c r="H68" i="3" s="1"/>
  <c r="C67" i="3"/>
  <c r="E67" i="3"/>
  <c r="D67" i="3"/>
  <c r="A67" i="3"/>
  <c r="B67" i="3"/>
  <c r="Y68" i="2"/>
  <c r="H67" i="3" s="1"/>
  <c r="AE68" i="2"/>
  <c r="A66" i="3"/>
  <c r="B66" i="3"/>
  <c r="C66" i="3"/>
  <c r="D66" i="3"/>
  <c r="E66" i="3"/>
  <c r="Y67" i="2"/>
  <c r="H66" i="3" s="1"/>
  <c r="AE67" i="2"/>
  <c r="B65" i="3"/>
  <c r="C65" i="3"/>
  <c r="D65" i="3"/>
  <c r="E65" i="3"/>
  <c r="A65" i="3"/>
  <c r="AE66" i="2"/>
  <c r="Y66" i="2"/>
  <c r="H65" i="3" s="1"/>
  <c r="E64" i="3"/>
  <c r="D64" i="3"/>
  <c r="A64" i="3"/>
  <c r="C64" i="3"/>
  <c r="B64" i="3"/>
  <c r="Y65" i="2"/>
  <c r="H64" i="3" s="1"/>
  <c r="AE65" i="2"/>
  <c r="B63" i="3"/>
  <c r="C63" i="3"/>
  <c r="D63" i="3"/>
  <c r="E63" i="3"/>
  <c r="A63" i="3"/>
  <c r="AE64" i="2"/>
  <c r="Y64" i="2"/>
  <c r="H63" i="3" s="1"/>
  <c r="D62" i="3"/>
  <c r="E62" i="3"/>
  <c r="A62" i="3"/>
  <c r="B62" i="3"/>
  <c r="C62" i="3"/>
  <c r="Y63" i="2"/>
  <c r="H62" i="3" s="1"/>
  <c r="AE63" i="2"/>
  <c r="A61" i="3"/>
  <c r="B61" i="3"/>
  <c r="C61" i="3"/>
  <c r="D61" i="3"/>
  <c r="E61" i="3"/>
  <c r="AE62" i="2"/>
  <c r="Y62" i="2"/>
  <c r="H61" i="3" s="1"/>
  <c r="B60" i="3"/>
  <c r="C60" i="3"/>
  <c r="D60" i="3"/>
  <c r="E60" i="3"/>
  <c r="A60" i="3"/>
  <c r="Y61" i="2"/>
  <c r="H60" i="3" s="1"/>
  <c r="AE61" i="2"/>
  <c r="E59" i="3"/>
  <c r="D59" i="3"/>
  <c r="C59" i="3"/>
  <c r="B59" i="3"/>
  <c r="A59" i="3"/>
  <c r="AE60" i="2"/>
  <c r="Y60" i="2"/>
  <c r="H59" i="3" s="1"/>
  <c r="E58" i="3"/>
  <c r="D58" i="3"/>
  <c r="C58" i="3"/>
  <c r="B58" i="3"/>
  <c r="A58" i="3"/>
  <c r="Y59" i="2"/>
  <c r="H58" i="3" s="1"/>
  <c r="AE59" i="2"/>
  <c r="B57" i="3"/>
  <c r="D57" i="3"/>
  <c r="C57" i="3"/>
  <c r="E57" i="3"/>
  <c r="A57" i="3"/>
  <c r="AE58" i="2"/>
  <c r="Y58" i="2"/>
  <c r="H57" i="3" s="1"/>
  <c r="E56" i="3"/>
  <c r="D56" i="3"/>
  <c r="C56" i="3"/>
  <c r="B56" i="3"/>
  <c r="A56" i="3"/>
  <c r="AE57" i="2"/>
  <c r="Y57" i="2"/>
  <c r="H56" i="3" s="1"/>
  <c r="A55" i="3"/>
  <c r="B55" i="3"/>
  <c r="C55" i="3"/>
  <c r="D55" i="3"/>
  <c r="E55" i="3"/>
  <c r="AE56" i="2"/>
  <c r="Y56" i="2"/>
  <c r="H55" i="3" s="1"/>
  <c r="C54" i="3"/>
  <c r="A54" i="3"/>
  <c r="D54" i="3"/>
  <c r="E54" i="3"/>
  <c r="B54" i="3"/>
  <c r="AE55" i="2"/>
  <c r="Y55" i="2"/>
  <c r="H54" i="3" s="1"/>
  <c r="E53" i="3"/>
  <c r="D53" i="3"/>
  <c r="C53" i="3"/>
  <c r="B53" i="3"/>
  <c r="A53" i="3"/>
  <c r="AE54" i="2"/>
  <c r="Y54" i="2"/>
  <c r="H53" i="3" s="1"/>
  <c r="A52" i="3"/>
  <c r="B52" i="3"/>
  <c r="C52" i="3"/>
  <c r="D52" i="3"/>
  <c r="E52" i="3"/>
  <c r="Y53" i="2"/>
  <c r="H52" i="3" s="1"/>
  <c r="AE53" i="2"/>
  <c r="A51" i="3"/>
  <c r="E51" i="3"/>
  <c r="D51" i="3"/>
  <c r="C51" i="3"/>
  <c r="B51" i="3"/>
  <c r="Y52" i="2"/>
  <c r="H51" i="3" s="1"/>
  <c r="AE52" i="2"/>
  <c r="A50" i="3"/>
  <c r="E50" i="3"/>
  <c r="D50" i="3"/>
  <c r="C50" i="3"/>
  <c r="B50" i="3"/>
  <c r="Y51" i="2"/>
  <c r="H50" i="3" s="1"/>
  <c r="AE51" i="2"/>
  <c r="E49" i="3"/>
  <c r="D49" i="3"/>
  <c r="A49" i="3"/>
  <c r="C49" i="3"/>
  <c r="B49" i="3"/>
  <c r="Y50" i="2"/>
  <c r="H49" i="3" s="1"/>
  <c r="AE50" i="2"/>
  <c r="A48" i="3"/>
  <c r="B48" i="3"/>
  <c r="C48" i="3"/>
  <c r="E48" i="3"/>
  <c r="D48" i="3"/>
  <c r="Y49" i="2"/>
  <c r="H48" i="3" s="1"/>
  <c r="AE49" i="2"/>
  <c r="B47" i="3"/>
  <c r="A47" i="3"/>
  <c r="E47" i="3"/>
  <c r="D47" i="3"/>
  <c r="C47" i="3"/>
  <c r="Y48" i="2"/>
  <c r="H47" i="3" s="1"/>
  <c r="AE48" i="2"/>
  <c r="E46" i="3"/>
  <c r="D46" i="3"/>
  <c r="C46" i="3"/>
  <c r="B46" i="3"/>
  <c r="A46" i="3"/>
  <c r="Y47" i="2"/>
  <c r="H46" i="3" s="1"/>
  <c r="AE47" i="2"/>
  <c r="A45" i="3"/>
  <c r="B45" i="3"/>
  <c r="C45" i="3"/>
  <c r="D45" i="3"/>
  <c r="E45" i="3"/>
  <c r="AE46" i="2"/>
  <c r="Y46" i="2"/>
  <c r="H45" i="3" s="1"/>
  <c r="E44" i="3"/>
  <c r="D44" i="3"/>
  <c r="C44" i="3"/>
  <c r="B44" i="3"/>
  <c r="A44" i="3"/>
  <c r="AE45" i="2"/>
  <c r="Y45" i="2"/>
  <c r="H44" i="3" s="1"/>
  <c r="A43" i="3"/>
  <c r="E43" i="3"/>
  <c r="C43" i="3"/>
  <c r="D43" i="3"/>
  <c r="B43" i="3"/>
  <c r="Y44" i="2"/>
  <c r="H43" i="3" s="1"/>
  <c r="AE44" i="2"/>
  <c r="D42" i="3"/>
  <c r="C42" i="3"/>
  <c r="A42" i="3"/>
  <c r="B42" i="3"/>
  <c r="E42" i="3"/>
  <c r="AE43" i="2"/>
  <c r="Y43" i="2"/>
  <c r="H42" i="3" s="1"/>
  <c r="E41" i="3"/>
  <c r="D41" i="3"/>
  <c r="C41" i="3"/>
  <c r="B41" i="3"/>
  <c r="A41" i="3"/>
  <c r="Y42" i="2"/>
  <c r="H41" i="3" s="1"/>
  <c r="AE42" i="2"/>
  <c r="B40" i="3"/>
  <c r="C40" i="3"/>
  <c r="A40" i="3"/>
  <c r="E40" i="3"/>
  <c r="D40" i="3"/>
  <c r="AE41" i="2"/>
  <c r="Y41" i="2"/>
  <c r="H40" i="3" s="1"/>
  <c r="D39" i="3"/>
  <c r="B39" i="3"/>
  <c r="C39" i="3"/>
  <c r="E39" i="3"/>
  <c r="A39" i="3"/>
  <c r="Y40" i="2"/>
  <c r="H39" i="3" s="1"/>
  <c r="AE40" i="2"/>
  <c r="E38" i="3"/>
  <c r="D38" i="3"/>
  <c r="C38" i="3"/>
  <c r="B38" i="3"/>
  <c r="A38" i="3"/>
  <c r="AE39" i="2"/>
  <c r="Y39" i="2"/>
  <c r="H38" i="3" s="1"/>
  <c r="A37" i="3"/>
  <c r="E37" i="3"/>
  <c r="D37" i="3"/>
  <c r="C37" i="3"/>
  <c r="B37" i="3"/>
  <c r="AE38" i="2"/>
  <c r="Y38" i="2"/>
  <c r="H37" i="3" s="1"/>
  <c r="A36" i="3"/>
  <c r="E36" i="3"/>
  <c r="D36" i="3"/>
  <c r="C36" i="3"/>
  <c r="B36" i="3"/>
  <c r="AE37" i="2"/>
  <c r="Y37" i="2"/>
  <c r="H36" i="3" s="1"/>
  <c r="A35" i="3"/>
  <c r="B35" i="3"/>
  <c r="C35" i="3"/>
  <c r="E35" i="3"/>
  <c r="D35" i="3"/>
  <c r="Y36" i="2"/>
  <c r="H35" i="3" s="1"/>
  <c r="AE36" i="2"/>
  <c r="C34" i="3"/>
  <c r="E34" i="3"/>
  <c r="D34" i="3"/>
  <c r="A34" i="3"/>
  <c r="B34" i="3"/>
  <c r="AE35" i="2"/>
  <c r="Y35" i="2"/>
  <c r="H34" i="3" s="1"/>
  <c r="E33" i="3"/>
  <c r="A33" i="3"/>
  <c r="B33" i="3"/>
  <c r="C33" i="3"/>
  <c r="D33" i="3"/>
  <c r="AE34" i="2"/>
  <c r="Y34" i="2"/>
  <c r="H33" i="3" s="1"/>
  <c r="E32" i="3"/>
  <c r="D32" i="3"/>
  <c r="A32" i="3"/>
  <c r="B32" i="3"/>
  <c r="C32" i="3"/>
  <c r="AE33" i="2"/>
  <c r="Y33" i="2"/>
  <c r="H32" i="3" s="1"/>
  <c r="A31" i="3"/>
  <c r="B31" i="3"/>
  <c r="C31" i="3"/>
  <c r="D31" i="3"/>
  <c r="E31" i="3"/>
  <c r="Y32" i="2"/>
  <c r="H31" i="3" s="1"/>
  <c r="AE32" i="2"/>
  <c r="E30" i="3"/>
  <c r="D30" i="3"/>
  <c r="A30" i="3"/>
  <c r="C30" i="3"/>
  <c r="B30" i="3"/>
  <c r="Y31" i="2"/>
  <c r="H30" i="3" s="1"/>
  <c r="AE31" i="2"/>
  <c r="C29" i="3"/>
  <c r="E29" i="3"/>
  <c r="A29" i="3"/>
  <c r="B29" i="3"/>
  <c r="D29" i="3"/>
  <c r="Y30" i="2"/>
  <c r="H29" i="3" s="1"/>
  <c r="AE30" i="2"/>
  <c r="C28" i="3"/>
  <c r="A28" i="3"/>
  <c r="B28" i="3"/>
  <c r="D28" i="3"/>
  <c r="E28" i="3"/>
  <c r="Y29" i="2"/>
  <c r="H28" i="3" s="1"/>
  <c r="AE29" i="2"/>
  <c r="D27" i="3"/>
  <c r="C27" i="3"/>
  <c r="E27" i="3"/>
  <c r="B27" i="3"/>
  <c r="A27" i="3"/>
  <c r="Y28" i="2"/>
  <c r="H27" i="3" s="1"/>
  <c r="AE28" i="2"/>
  <c r="E26" i="3"/>
  <c r="D26" i="3"/>
  <c r="C26" i="3"/>
  <c r="B26" i="3"/>
  <c r="A26" i="3"/>
  <c r="AE27" i="2"/>
  <c r="Y27" i="2"/>
  <c r="H26" i="3" s="1"/>
  <c r="E25" i="3"/>
  <c r="D25" i="3"/>
  <c r="C25" i="3"/>
  <c r="B25" i="3"/>
  <c r="A25" i="3"/>
  <c r="Y26" i="2"/>
  <c r="H25" i="3" s="1"/>
  <c r="AE26" i="2"/>
  <c r="E24" i="3"/>
  <c r="D24" i="3"/>
  <c r="C24" i="3"/>
  <c r="B24" i="3"/>
  <c r="A24" i="3"/>
  <c r="AE25" i="2"/>
  <c r="Y25" i="2"/>
  <c r="H24" i="3" s="1"/>
  <c r="D23" i="3"/>
  <c r="E23" i="3"/>
  <c r="C23" i="3"/>
  <c r="B23" i="3"/>
  <c r="A23" i="3"/>
  <c r="AE24" i="2"/>
  <c r="Y24" i="2"/>
  <c r="H23" i="3" s="1"/>
  <c r="E22" i="3"/>
  <c r="D22" i="3"/>
  <c r="C22" i="3"/>
  <c r="B22" i="3"/>
  <c r="A22" i="3"/>
  <c r="AE23" i="2"/>
  <c r="Y23" i="2"/>
  <c r="H22" i="3" s="1"/>
  <c r="E21" i="3"/>
  <c r="D21" i="3"/>
  <c r="A21" i="3"/>
  <c r="B21" i="3"/>
  <c r="C21" i="3"/>
  <c r="Y22" i="2"/>
  <c r="H21" i="3" s="1"/>
  <c r="AE22" i="2"/>
  <c r="C20" i="3"/>
  <c r="A20" i="3"/>
  <c r="B20" i="3"/>
  <c r="D20" i="3"/>
  <c r="E20" i="3"/>
  <c r="AE21" i="2"/>
  <c r="Y21" i="2"/>
  <c r="H20" i="3" s="1"/>
  <c r="E19" i="3"/>
  <c r="D19" i="3"/>
  <c r="C19" i="3"/>
  <c r="B19" i="3"/>
  <c r="A19" i="3"/>
  <c r="AE20" i="2"/>
  <c r="Y20" i="2"/>
  <c r="H19" i="3" s="1"/>
  <c r="C18" i="3"/>
  <c r="A18" i="3"/>
  <c r="B18" i="3"/>
  <c r="E18" i="3"/>
  <c r="D18" i="3"/>
  <c r="Y19" i="2"/>
  <c r="H18" i="3" s="1"/>
  <c r="AE19" i="2"/>
  <c r="D17" i="3"/>
  <c r="A17" i="3"/>
  <c r="B17" i="3"/>
  <c r="C17" i="3"/>
  <c r="E17" i="3"/>
  <c r="Y18" i="2"/>
  <c r="H17" i="3" s="1"/>
  <c r="AE18" i="2"/>
  <c r="A16" i="3"/>
  <c r="B16" i="3"/>
  <c r="C16" i="3"/>
  <c r="D16" i="3"/>
  <c r="E16" i="3"/>
  <c r="Y17" i="2"/>
  <c r="H16" i="3" s="1"/>
  <c r="AE17" i="2"/>
  <c r="D15" i="3"/>
  <c r="A15" i="3"/>
  <c r="B15" i="3"/>
  <c r="C15" i="3"/>
  <c r="E15" i="3"/>
  <c r="AE16" i="2"/>
  <c r="Y16" i="2"/>
  <c r="H15" i="3" s="1"/>
  <c r="A14" i="3"/>
  <c r="B14" i="3"/>
  <c r="C14" i="3"/>
  <c r="D14" i="3"/>
  <c r="E14" i="3"/>
  <c r="Y15" i="2"/>
  <c r="H14" i="3" s="1"/>
  <c r="AE15" i="2"/>
  <c r="E13" i="3"/>
  <c r="D13" i="3"/>
  <c r="C13" i="3"/>
  <c r="B13" i="3"/>
  <c r="A13" i="3"/>
  <c r="AE14" i="2"/>
  <c r="Y14" i="2"/>
  <c r="H13" i="3" s="1"/>
  <c r="E12" i="3"/>
  <c r="D12" i="3"/>
  <c r="C12" i="3"/>
  <c r="B12" i="3"/>
  <c r="A12" i="3"/>
  <c r="AE13" i="2"/>
  <c r="Y13" i="2"/>
  <c r="H12" i="3" s="1"/>
  <c r="A11" i="3"/>
  <c r="D11" i="3"/>
  <c r="B11" i="3"/>
  <c r="C11" i="3"/>
  <c r="E11" i="3"/>
  <c r="Y12" i="2"/>
  <c r="H11" i="3" s="1"/>
  <c r="AE12" i="2"/>
  <c r="B10" i="3"/>
  <c r="A10" i="3"/>
  <c r="D10" i="3"/>
  <c r="E10" i="3"/>
  <c r="C10" i="3"/>
  <c r="AE11" i="2"/>
  <c r="Y11" i="2"/>
  <c r="H10" i="3" s="1"/>
  <c r="B9" i="3"/>
  <c r="A9" i="3"/>
  <c r="C9" i="3"/>
  <c r="E9" i="3"/>
  <c r="D9" i="3"/>
  <c r="AE10" i="2"/>
  <c r="Y10" i="2"/>
  <c r="H9" i="3" s="1"/>
  <c r="A8" i="3"/>
  <c r="B8" i="3"/>
  <c r="C8" i="3"/>
  <c r="D8" i="3"/>
  <c r="E8" i="3"/>
  <c r="Y9" i="2"/>
  <c r="H8" i="3" s="1"/>
  <c r="AE9" i="2"/>
  <c r="A7" i="3"/>
  <c r="B7" i="3"/>
  <c r="C7" i="3"/>
  <c r="D7" i="3"/>
  <c r="E7" i="3"/>
  <c r="AE8" i="2"/>
  <c r="Y8" i="2"/>
  <c r="H7" i="3" s="1"/>
  <c r="E6" i="3"/>
  <c r="D6" i="3"/>
  <c r="A6" i="3"/>
  <c r="B6" i="3"/>
  <c r="C6" i="3"/>
  <c r="AE7" i="2"/>
  <c r="Y7" i="2"/>
  <c r="H6" i="3" s="1"/>
  <c r="K4" i="3"/>
  <c r="K2" i="3"/>
  <c r="K1" i="3"/>
  <c r="E5" i="3"/>
  <c r="K3" i="3"/>
  <c r="C5" i="3"/>
  <c r="B5" i="3"/>
  <c r="D5" i="3"/>
  <c r="A5" i="3"/>
  <c r="AE6" i="2"/>
  <c r="Y6" i="2"/>
  <c r="H5" i="3" l="1"/>
  <c r="K5" i="3"/>
</calcChain>
</file>

<file path=xl/sharedStrings.xml><?xml version="1.0" encoding="utf-8"?>
<sst xmlns="http://schemas.openxmlformats.org/spreadsheetml/2006/main" count="30569" uniqueCount="2718">
  <si>
    <t>Contact Name:</t>
  </si>
  <si>
    <t>Phone Number:</t>
  </si>
  <si>
    <t>Item Code*
(type/paste code)</t>
  </si>
  <si>
    <t>Item Description
(auto)</t>
  </si>
  <si>
    <t>Quantity*</t>
  </si>
  <si>
    <t>Recipient Name*</t>
  </si>
  <si>
    <t>Address Line 1*
max 35</t>
  </si>
  <si>
    <t>Address Line 2
max 35</t>
  </si>
  <si>
    <t>Address Line 3
max 35</t>
  </si>
  <si>
    <t>Country*
(name or code)</t>
  </si>
  <si>
    <t>Country Code (hidden helper - do not unhide/edit)</t>
  </si>
  <si>
    <t>Gift Message 1
max 40</t>
  </si>
  <si>
    <t>Gift Message 2
max 40</t>
  </si>
  <si>
    <t>Gift Message 3
max 40</t>
  </si>
  <si>
    <t>Gift Message 4
max 40</t>
  </si>
  <si>
    <t>Gift Message 5
max 40</t>
  </si>
  <si>
    <t>Gift Message 6
max 40</t>
  </si>
  <si>
    <t>Gift Message 7
max 40</t>
  </si>
  <si>
    <t>Row Status</t>
  </si>
  <si>
    <t>Error Location</t>
  </si>
  <si>
    <t>Error Details</t>
  </si>
  <si>
    <t>Staff Review Notes</t>
  </si>
  <si>
    <t>Address Backup (technical - pre-cleanup snapshot, do not edit)</t>
  </si>
  <si>
    <t>Address Cleanup Notes (technical - feeds Staff Review Notes, do not edit)</t>
  </si>
  <si>
    <t>County - Cleaned (hidden helper - do not unhide/edit)</t>
  </si>
  <si>
    <t>Item Code - Normalised (hidden helper - do not unhide/edit)</t>
  </si>
  <si>
    <t>County Auto-Fill Tracker (hidden helper - do not unhide/edit)</t>
  </si>
  <si>
    <t>Postcode Format Check (hidden helper - do not unhide/edit)</t>
  </si>
  <si>
    <t>ERROR SUMMARY</t>
  </si>
  <si>
    <t>Form status</t>
  </si>
  <si>
    <t>Every row you have started on CORP order form, with its status. Use this to jump straight to any row marked FIX.</t>
  </si>
  <si>
    <t>Rows started</t>
  </si>
  <si>
    <t>Rows ready (OK)</t>
  </si>
  <si>
    <t>Excel Row</t>
  </si>
  <si>
    <t>Country</t>
  </si>
  <si>
    <t>Item Code</t>
  </si>
  <si>
    <t>Recipient</t>
  </si>
  <si>
    <t>Status</t>
  </si>
  <si>
    <t>Rows needing fixes</t>
  </si>
  <si>
    <t>Rows flagged for our team's attention (not blocking — see Staff Review Notes)</t>
  </si>
  <si>
    <t>PRODUCTION RULES - v1.0 - STAFF ONLY</t>
  </si>
  <si>
    <t>Field</t>
  </si>
  <si>
    <t>Rule applied in this workbook, and source</t>
  </si>
  <si>
    <t>Selection order</t>
  </si>
  <si>
    <t>v0.2 change: Item Code (hamper) is selected FIRST; the Country dropdown for that row then only lists countries we can ship that hamper to (reversed from v0.1, at your request).</t>
  </si>
  <si>
    <t>Item Code / Item Description</t>
  </si>
  <si>
    <t>v0.3 change: Item Code now holds the BARE SKU code only (e.g. GF800H), not a combined "CODE | Name" value. It can be typed, pasted straight from a previous order form, or picked from the dropdown — a bulk order of 100 identical lines can be filled by typing the code once and dragging/pasting it down. Item Description auto-looks-up the name (VLOOKUP), and any code that doesn't match one of the 372 sellable SKUs (case-insensitive) is flagged FIX with 'Item Code not recognised' rather than silently accepted. The resolved country-specific SAP code (e.g. US846H) is shown in full on SAP COPY PASTE.</t>
  </si>
  <si>
    <t>Country / Country Code</t>
  </si>
  <si>
    <t>57 countries from 'Delivery &amp; Non Delivery Countries May 2026.xlsx'. Country accepts EITHER the full name (e.g. Ireland) OR the 2-letter ISO code (e.g. IE) in the SAME field — type it, paste it from an old order form (either format), or drag-fill it down for a bulk order. v0.6 change: Country Code is now a HIDDEN technical column (still column N, just hidden — nothing was deleted or renumbered) that resolves the correct 2-letter code by formula regardless of which format was typed into Country; this matches the real order-form template, which only has one visible Country column. This formula-based resolution works correctly with or without macros, so SAP output and eligibility checks are never at risk. On top of that, an OPTIONAL VBA macro (see the 'VBA MACRO (OPTIONAL)' sheet) can make the Country cell itself instantly display the code once entered — e.g. typing 'United Kingdom' becomes 'GB' in that same cell — matching your original request exactly. That macro needs a one-time paste-in setup in Excel (Alt+F11) and macros enabled to run; if a recipient's security policy blocks macros, or the setup step is skipped, the cell simply keeps showing whatever was typed while the hidden column still resolves it correctly underneath — nothing breaks either way. Both names and codes are matched case-insensitively and the resolved code is normalised to correct case before reaching SAP COPY PASTE. v0.10 change: if Country is blank, the same macro now also auto-fills it from a full country name found in Address Line 1/2/3 (e.g. pasting an entire address including 'Ireland' at the end fills Country with 'IE' automatically) — see the Address Line 2/3 row below for the full behaviour, including what happens if more than one country is mentioned.</t>
  </si>
  <si>
    <t>Item Code &lt;-&gt; Country eligibility</t>
  </si>
  <si>
    <t>Based on each product's Delivery Zone (Worldwide / Ireland &amp; EU only / Ireland Only / USA only) where known, inverted into a per-hamper eligible-country list. Where a product had no zone tag, it was defaulted to Worldwide (non-alcohol) or Ireland &amp; EU only (alcohol) — flagged for confirmation. Alcohol products are further restricted to countries flagged Alcohol Allowed = YES on PRODUCT DATA. 21 UK-specific and 3 US-specific SAP codes are applied automatically via the override table when that country is chosen.</t>
  </si>
  <si>
    <t>Quantity</t>
  </si>
  <si>
    <t>Whole number 1-999. A genuine bulk order is 10+ identical items to ONE address. The form does not block quantity 2-9 (a real edge case exists) but flags any quantity above 1 in Staff Review Notes.</t>
  </si>
  <si>
    <t>Recipient Name</t>
  </si>
  <si>
    <t>Max 35 characters (SAP/Scurri limit).</t>
  </si>
  <si>
    <t>Recipient Phone</t>
  </si>
  <si>
    <t>Mandatory. Digits only, 6-20 digits, no +/spaces/country code — must be the LOCAL number for the destination country (couriers do not call international numbers).</t>
  </si>
  <si>
    <t>Recipient Company Name</t>
  </si>
  <si>
    <t>Optional, max 35 characters — only for business-address deliveries.</t>
  </si>
  <si>
    <t>Address Line 1</t>
  </si>
  <si>
    <t>Mandatory, max 35 characters. NOTE: informal client-facing guides say 45 characters, but the SAP/Scurri technical doc says 35 and a courier will reject anything over the SAP limit — the stricter 35 is used here. Confirm before go-live if this differs from current practice. v0.8 change: the native Excel popup that used to block typing/pasting anything over 35 characters directly into this cell has been removed (it was rejecting long raw addresses before the address-cleanup macro below could shorten them). The 35-character rule itself is unchanged and still fully enforced — it's just checked by formula (Row Status / Error Details) after the macro has had a chance to run, instead of by a popup before it can.</t>
  </si>
  <si>
    <t>Address Line 2 / 3</t>
  </si>
  <si>
    <t>Optional, max 35 characters each. Address Line 3 is documented as for non-EU addresses. Same v0.8 change as Address Line 1 above applies here too. v0.9: commas in the address text are stripped before cleanup (they carried no meaning once re-split across lines and were producing a stray dangling comma in some results); if the cleaned-up address fits entirely on Line 1, Line 2/3 being left blank is correct - it means it fit, not that something is missing. v0.7: the OPTIONAL macro (see VBA MACRO (OPTIONAL) sheet) can automatically repack Address Line 1-3 to fill Lines 1-2 first and minimise reliance on Line 3 (which sometimes isn't printed on hampers), applying standard abbreviations (Building-&gt;Bldg, Road-&gt;Rd, Park-&gt;Pk, Unit 3-&gt;U. 3, etc.) - all only when the macro is installed and enabled; without it, addresses simply stay exactly as typed, same as always. The address as typed/pasted is always saved to a backup column (AD) before each cleanup pass, and anything uncertain is flagged in Staff Review Notes rather than silently changed. AD and the related Address Cleanup Notes column (AE) are kept visible rather than hidden (v0.15, at your request) so nothing in them gets missed, and locked against manual edits (v0.16, at your request) the same as Staff Review Notes always was - only this macro's own code can write into them now, via a small extra piece of code in ThisWorkbook (see VBA MACRO (OPTIONAL) sheet). v0.10 change (at your request, after testing v0.9): the macro now also pulls Country and Town out of the address text into their own fields, not just Postcode as before - COUNTRY: if Country is blank, a full country name found in the address text (e.g. 'Ireland') is written into Country as its code ('IE'); if more than one different country is mentioned (rare - e.g. an old address left in by mistake, or routing wording like 'via Dublin, Ireland'), the FIRST one mentioned is used (assumed to be the real final destination) and the row is flagged in Staff Review Notes so a person double-checks the guess either way. Once Country is set (existing or just found), the matching known postcode format is used, so even a country typed only inside the pasted address (never separately selected) still gets its Postcode recognised in the same pass. TOWN: there's no reference list for town names the way there is for Country or Postcode, so this is a heuristic, not a lookup - after Postcode/Country are removed, if what's left has 2+ comma-separated parts, the LAST part is used as Town, but ONLY if it doesn't contain a digit and doesn't contain a known street-type word (Street, Road, Park, Building, Unit, Way, House, etc.) - otherwise Town is left blank for manual entry rather than risk a wrong guess, exactly as before v0.10. This also means a single blob pasted with NO commas at all (e.g. '45 Oak Street Business Park Dublin') has no reliable boundary to find Town by, so it correctly stays manual in that case too - only Country/Postcode still work there, since those use pattern matching that doesn't need commas. COUNTY (v0.12): see the County row below for the real extraction now built from the SAP county/country file you sent.</t>
  </si>
  <si>
    <t>Town</t>
  </si>
  <si>
    <t>Mandatory, max 35 characters, must never be blank (courier integration fails otherwise). v0.10: the address-cleanup macro (optional, see Address Line 2/3 row above) can auto-fill this from the pasted address text when it's confident enough to guess safely - see that row for exactly when it will and won't attempt it. When it doesn't, Town simply stays manual as it always has.</t>
  </si>
  <si>
    <t>County</t>
  </si>
  <si>
    <t>Only mandatory for Ireland (26 counties, excludes Northern Ireland) — confirmed by three independent process documents. NOTE: the column-header template you pasted labels County a generic 'Mandatory field'; this workbook keeps the Ireland-only rule as the more detailed, consistently-sourced one. Flag if County should in fact be mandatory for other countries too. For non-EU/UK/Ireland deliveries where County is used for a US-style state, a Staff Review Note reminds staff of the SAP field-swap (State -&gt; SAP Town, City -&gt; SAP Address Line 3) — this workbook does NOT apply that swap automatically. STATUS (v0.12): County now DOES auto-extract from pasted address text, using the reference list built from SAP_extract_Counties__Countries.xlsx (285 county/state names, curated - see RULES &amp; VERSION NOTES for exactly what was dropped/merged/fixed and why). Two safety rules, both by design: (1) COUNTRY-SCOPED - a county/state name is only ever checked once Country is already known for that row, and only against THAT country's own list (e.g. 'Georgia' is only ever compared once Country=US, so it can never be confused with the unrelated country of the same name we don't deliver to). (2) MARKER-REQUIRED - only text explicitly introduced by 'Co.'/'County' wording (e.g. 'Co. Dublin', 'County Down') is matched; a bare state/county name with no such marker is left alone rather than guessed, because several entries on this list (Dublin, Cork, Galway, Waterford...) are ALSO real town names - matching a bare name would risk quietly overriding a correct Town guess. PRACTICAL EFFECT: Irish addresses written the standard way ('...,  Co. Dublin, Ireland') auto-fill County correctly. US-style addresses that write the state as a bare trailing word ('..., Austin, Texas, USA', no 'Co./County' wording) do NOT auto-fill County - this is a known, deliberate scope limit, not a bug; extending it would need a different, less certain rule and was left out of this version to keep the same 'miss rather than mis-fill' standard used everywhere else in this macro. v0.13 FIX: a bug in v0.12 meant this whole feature silently crashed (no error shown, and the address text, Town and Postcode were also left unprocessed) for most non-Ireland countries - Ireland's own list happened to dodge the specific bug by coincidence, which is why your Ireland tests all passed. See the Version row on RULES &amp; VERSION NOTES for the full explanation; fixed in v0.13, worth re-testing a non-Ireland address if you tried one before now.</t>
  </si>
  <si>
    <t>Postcode</t>
  </si>
  <si>
    <t>Mandatory except for United Arab Emirates and Qatar (no postal code system). Max 35 characters.</t>
  </si>
  <si>
    <t>Gift Message (7 lines)</t>
  </si>
  <si>
    <t>Optional per line, max 40 characters each. Business process is to always add a message before SAP entry even if the client left it blank — flagged in Staff Review Notes.</t>
  </si>
  <si>
    <t>Personalisation (4 lines)</t>
  </si>
  <si>
    <t>NEW in v0.2 — added at your request to match the real column header list. No prior source document defines what these are for, their character limit, or whether they are mandatory for any product type. Defaulted to optional, max 40 characters (mirroring Gift Message), included in SAP COPY PASTE output, and any use is flagged in Staff Review Notes pending confirmation of the correct SAP field mapping.</t>
  </si>
  <si>
    <t>Order Reference / Recipient Email</t>
  </si>
  <si>
    <t>Deliberately excluded — confirmed removed in the original project history.</t>
  </si>
  <si>
    <t>SAP output field order</t>
  </si>
  <si>
    <t>VERSION &amp; ASSUMPTIONS LOG</t>
  </si>
  <si>
    <t>Version</t>
  </si>
  <si>
    <t>v1.0 (2026-09-17) - Final round of changes requested before submission. (1) RENAMED THROUGHOUT: the sheet/workbook is now "CORP order form" (was "CLIENT ORDER FORM (ADVANCE)"), and the file itself is now CORP_Order_Form_2026.xlsx - every quoted cross-sheet formula on ERROR SUMMARY/SAP COPY PASTE (over 10,000 of them) and every Worksheets(...) lookup in both .bas files were updated to match, using the same sheet-rename approach (not plain text substitution) that correctly auto-adjusts every formula reference. (2) PERSONALISATION REMOVED: the four Personalisation Line columns were physically deleted (not just hidden) from CORP order form and from SAP COPY PASTE - every #REF! this created in the surrounding Row Status/Error Location/Error Details/Staff Review Notes formulas (over 1,000 cells) was individually identified and the now-meaningless validation clause removed, not just patched over. (3) TECHNICAL COLUMNS HIDDEN: Row Status, Error Location, Error Details, Staff Review Notes, Address Backup and Address Cleanup Notes (now columns V-AA) are hidden from customers by default - Format &gt; Column &gt; Unhide (or right-click the column headers either side) brings them back for staff, exactly as before; nothing about how they work has changed, only their default visibility. (4) INSTRUCTIONS REWORKED: the old "Fill in blue" sentence and the Status/"No order entered yet" indicator (with its conditional-formatting rule) have been removed and replaced with a plain bullet-point list covering the same ground. (5) DUBLIN COUNTY LIST EXTENDED, EIRCODE AUTO-MATCH ADDED: County now recognises Dublin 1 through 24 (excluding 19 and 23, which are not real districts) plus Dublin 6W as its own separate district; the optional macro also gained a brand new feature - DUBLIN EIRCODE COUNTY AUTO-MATCH - which fills County straight from the Eircode routing key for an Irish address (e.g. "D04 K7X4" -&gt; "Dublin 4", "D6W ..." -&gt; "Dublin 6W"), independently of the existing address-text-based extraction, and only when County is currently blank. (6) QUANTITY DEFAULTS TO 1: every row (7-356) now starts with Quantity pre-filled to 1, changeable by the customer to whatever they need - the Row Status/Error Location/Error Details/Staff Review Notes formulas and the 7 conditional-formatting rules that detect whether a row has been started were all updated so this default alone no longer makes an otherwise-blank row look "in use". (7) START HERE PAGE REPLACED: its content now follows the "How to Use" guide from the reference file you provided, ported into a two-column field-notes/how-to-order layout. VERIFIED: zero formula errors anywhere in the workbook, confirmed by live LibreOffice recalculation across CORP order form, ERROR SUMMARY and SAP COPY PASTE after every change in this release; file structure re-checked (zip integrity, XML well-formedness, protection settings, data-validation limits) with no issues; the Dublin Eircode-matching logic was validated against 18 test cases (all 24 numbered districts including the 19/23 exclusions, the 6W special case, non-Dublin and non-Irish postcodes, and the "County already filled" guard) before being written into the macro; the Quantity-default fix was confirmed live - an otherwise-untouched row (Quantity=1, nothing else filled in) correctly shows a blank Row Status, while a fully filled test row correctly shows OK. Real Microsoft Excel was not available to open the file directly during this build, so as with every macro feature in this workbook, please do a real-Excel smoke test of the new Dublin Eircode auto-match (paste an Irish Eircode into Postcode with County left blank) before relying on it for client-facing use. v0.25 (2026-09-17) - Management reviewed the two whole-order-paste options built as demos (a staging-sheet import macro, and a direct paste-and-restore macro) and decided to stick with the existing column-by-column paste workflow for now rather than roll out either one - so this release carries no new paste feature, no new sheet, and no new macro. The one thing carried forward from that work: a real bug found while testing those demos live in Excel, in the optional macro's ThisWorkbook setup code (Workbook_Open). It was setting .EnableSelection = xlUnlockedCells every time the file opened with the macro installed, which silently blocked selecting ANY locked cell at all that session - regardless of what this file's own saved protection settings allow. That's exactly what caused the reported bug where dragging a selection across a row would stop dead right before Item Description (column B) and again right before Gift Message 1 (column N, the hidden Country Code helper, sits just before it) - both locked, so a locked cell couldn't be selected at all with that line in place, once the macro was installed. Fixed by switching to xlNoRestrictions: locked cells can be selected and dragged over normally (so a row-wide drag-select works as expected for anyone with the macro installed), they still can't be typed or pasted into by hand - that protection is completely unaffected. Anyone who has already installed the macro from an earlier version should re-paste ThisWorkbook_Code.bas (see the VBA MACRO sheet) to pick up this fix; without the macro installed, this was never an issue to begin with. v0.24 (2026-09-11) - Two real bugs found testing v0.23 live in Excel, the colour scheme you asked to match your existing template, and (after two follow-up reports that the file still triggered Excel's repair prompt) two further defects found by auditing the file's internal structure directly. (1) BUG - UK Item Codes were still rejected: the v0.23 fix meant to widen the Item Code dropdown to include the 20 UK-specific codes (e.g. GF849HUK) never actually applied - a build-script typo meant the dropdown's source range silently stayed at its old, narrower value, so typing OR selecting a UK-specific code was blocked outright by Excel before the macro or formulas ever ran. Fixed - the dropdown now genuinely includes all 20. This is also why v0.23's testing called it "verified": that testing set cell values programmatically, which bypasses Excel's own dropdown/typing restrictions entirely, so it could never have caught this - this version's testing was corrected to check the actual stored validation settings instead. (2) BUG - typing "UK" into Country gave an error: Country's dropdown is a live list of just that hamper's eligible countries, built from PRODUCT DATA, which deliberately never has a "UK" entry (only "United Kingdom"/"GB") - and that list hard-blocked anything not on it, so "UK" could never be typed in at all. Fixed by softening this one validation to a dismissable warning - Row Status still independently re-checks Country eligibility (including the "UK" alias) and flags "FIX" if a hamper genuinely can't ship there, so nothing genuinely wrong can slip through. (3) COLOUR SCHEME CHANGED to match your reference image: header rows green (was dark blue); mandatory-field cells (marked * in the column header) light blue (was yellow); optional-field cells white; auto-calculated cells stay grey. Applies to CLIENT ORDER FORM (ADVANCE) and START HERE. Pasting now restores the correct colour on ANY managed column, not just the few cells the macro rewrites itself - needs the optional macro installed. (4) Shrank three empty spacer rows (3-5) on ADVANCE left over from before v0.21. (5) CORRUPTION FIX, round 1: the Country warning message above was first written long enough to exceed Excel's hard data-validation popup limits (32 characters for the title, 255 for the message) - this alone was enough to make Excel show its "we found a problem with some content" repair prompt on open. Fixed by shortening both to fit; every other validation message in the file was checked against the same two limits and is clear. (6) CORRUPTION FIX, round 2 (this rebuild): fix (5) alone did not stop the repair prompt, so the whole file's internal XML was audited part by part. Two more real defects turned up: (a) the new cell colours above were being written as a technically-legal but non-standard colour value (a fully transparent alpha byte, and missing the background-colour element Excel always pairs with a solid fill) - harmless to how the colour displays, but not shaped the way Excel itself ever writes one, which is exactly the class of thing Excel's own file-open check is known to flag even when the content is otherwise valid; now written to match Excel's own pattern exactly. (b) this very cell had been used as one ever-growing changelog since v0.20 (each version's notes prepended onto the full history) and had already silently hit Excel's hard 32,767-character-per-cell limit as of v0.23 - past that point openpyxl truncates with no warning, so old history had already been quietly cut off mid-sentence for at least one version before anyone noticed. Fixed for good: this cell now holds only the current version's notes; everything older is kept in the new VERSION HISTORY ARCHIVE section below (split across several cells, each far under the limit, so this cannot recur). VERIFIED: both validation fixes and both corruption fixes confirmed by reading back the actual saved file (stored validation settings, raw XML fill/font values, and per-cell character counts across the whole workbook) - not by simulating a typed entry or assuming the fix worked. Zero formula errors anywhere in the workbook. Real Microsoft Excel was not available to open the file directly during this build, so please confirm on your end that the repair prompt is actually gone and let us know immediately if it still appears.</t>
  </si>
  <si>
    <t>Built</t>
  </si>
  <si>
    <t>2026-09-17</t>
  </si>
  <si>
    <t>Sheet protection password</t>
  </si>
  <si>
    <t>GiftsDirect2026  (shared staff password — not a security control, just stops accidental client edits)</t>
  </si>
  <si>
    <t>Built from</t>
  </si>
  <si>
    <t>Corporate_Order_Form_Claude_Handoff_2026-07-31 package + 06_COMPANY_SOURCE_FILES real company data, plus the column header list and bulk-entry feedback you provided directly in chat. For v0.17, also built from CORP Order Form 2025.xlsx (the Order Form sheet only, per your instruction). v0.18 made no further changes to source data - it's a structural/formatting/capacity fix-up of what v0.17 already built. v0.19 likewise makes no source-data changes - it's a formatting/validation fix-up of the CLIENT ORDER FORM (2025) fallback sheet only.</t>
  </si>
  <si>
    <t>OPEN ITEMS NEEDING YOUR SIGN-OFF</t>
  </si>
  <si>
    <t>•</t>
  </si>
  <si>
    <t>Country now recognises our full country names AND our 2-letter ISO codes (IE, GB, US, etc. — the same ones on the PRODUCT DATA country table), in any combination of upper/lower case. If an old order form or another system uses 3-letter codes or a different scheme (e.g. 'IRL' instead of 'IE' or 'Ireland'), those still won't be recognised and the row will be flagged 'Country not recognised'. Tell us if that's common enough that we should accept an additional format.</t>
  </si>
  <si>
    <t>Item Code only recognises the 372 BASE SKU codes (e.g. GF846H), not a country-specific variant code someone might paste straight from an old order form or SAP export (e.g. US846H or GF803HUK) — those are only ever produced automatically by this workbook once a base code + country are chosen, they aren't valid inputs themselves. If customers or staff commonly have variant codes already in hand, tell us and we can make the Item Code field recognise those too and resolve them back to the base hamper.</t>
  </si>
  <si>
    <t>Personalisation Line 1-4 are brand new columns added in v0.2 purely from the header list you pasted in chat — no source document defines their purpose, character limit, or whether they're mandatory for any product. Defaulted to optional/40-char and passed through to SAP COPY PASTE; please confirm the real rule and SAP field.</t>
  </si>
  <si>
    <t>County is kept as 'Ireland only, mandatory' (matching 3 detailed process documents) even though the literal template header you pasted says 'County Mandatory field' with no country qualifier. If County should be mandatory for every country, tell us and we'll change the rule.</t>
  </si>
  <si>
    <t>The Country same-cell macro (VBA MACRO (OPTIONAL) sheet) needs a one-time manual paste-in via Excel's own macro editor (Alt+F11) plus macros enabled to run — it is deliberately not pre-installed, since a macro generated from outside real Excel risks Excel flagging the file as corrupted on open, which would be worse than not having it. Test it in your own Excel first; if your corporate mail/security policy strips or blocks macros for client-facing attachments, skip it — the form works correctly either way, this only affects the instant in-cell name-to-code switch, never the SAP output. Item Code -&gt; Item Description does not need this, since Item Description is a genuinely separate field already shown in its own column, matching the real template.</t>
  </si>
  <si>
    <t>Address cleanup (v0.7, part of the same optional macro) only auto-extracts a Postcode for countries with a well-known, reliable postal-code format — currently Ireland, UK, USA, Canada, Germany, France, Spain, Italy, Finland, Austria, Switzerland, Belgium, Norway, Denmark, Australia, New Zealand, Netherlands, Poland, Sweden, Portugal, and Japan (see PRODUCT DATA's postcode pattern table, which can be extended). For any other country, Postcode auto-extraction is simply skipped — it still works as a normal typed field, nothing breaks, it just won't self-fill from the address text. Tell us if a particular country should be added.</t>
  </si>
  <si>
    <t>Address cleanup extracts Town from address text as a cautious heuristic (added in v0.10), not a lookup — unlike Country/Postcode/County there's no fixed reference list of town names to check against, so it only guesses when the pasted text has clear comma structure and the last segment doesn't look street-like; otherwise Town stays manual, same as always. See the Town row on this sheet for the exact conditions.</t>
  </si>
  <si>
    <t>Address cleanup's abbreviation list (Building-&gt;Bldg, Park-&gt;Pk, Road-&gt;Rd, Street-&gt;St, and about 30 other common words — see the VBA MACRO (OPTIONAL) sheet for the full list) is a reasonable standard set, not exhaustive. Tell us if there are other words specific to your addresses worth adding.</t>
  </si>
  <si>
    <t>County extraction (v0.12) uses a reference list curated by hand from your SAP_extract_Counties__Countries.xlsx (285 county/state names, each individually assigned to the correct deliverable country - see RULES &amp; VERSION NOTES). It only fires on explicit 'Co./County' wording (e.g. 'Co. Dublin') and only once Country is already known for that row - a bare, unmarked state/county name (the usual US style, e.g. '..., Austin, Texas') won't auto-fill County yet. A handful of entries were genuinely ambiguous between two countries by name alone (Cambridge, Perth, Durham, etc.) - flagged in build_counties_reference.py for you to correct if a call was wrong.</t>
  </si>
  <si>
    <t>Product catalogue is a merged union of two source files that disagree on ~100+ SKUs each way. Nothing was dropped — both were kept — but neither file was confirmed as the single master.</t>
  </si>
  <si>
    <t>3 SKUs get a genuine 'US' prefix code for USA orders (GF846H/GF807H/GF809H); 2 more (US853H, US855H) are USA-only catalogue entries with no GF-code base. Please confirm this is correct.</t>
  </si>
  <si>
    <t>RESOLVED in v0.19: Address Line 1 is validated at 35 characters (the SAP/Scurri hard limit) everywhere in this workbook, including CLIENT ORDER FORM (2025), which used to show your original 2025 file's 45-character label/limit until you confirmed 35 is correct throughout.</t>
  </si>
  <si>
    <t>Postcode is only made optional for United Arab Emirates and Qatar. If any other approved country genuinely has no postal code system, tell us and we'll add it.</t>
  </si>
  <si>
    <t>The SAP 'State goes in Town, City goes in Address Line 3' field-swap for non-EU/UK/Ireland addresses is surfaced as a Staff Review flag, not applied automatically in SAP COPY PASTE.</t>
  </si>
  <si>
    <t>VAT, pricing, freight/bulk-courier cost calculation and dispatch-date logic are all out of scope for this workbook — this form only captures and validates recipient/order data for SAP entry.</t>
  </si>
  <si>
    <t>Recipient Phone accepts 6-20 digits for any country (no per-country length table exists in the source data).</t>
  </si>
  <si>
    <t>VERSION HISTORY ARCHIVE</t>
  </si>
  <si>
    <t>v0.23 and earlier, continued below across several cells so no single cell ever approaches Excel's ~32,767-character-per-cell limit again. The very oldest entries (before this limit was first hit, several versions back) were already lost to silent truncation before this was discovered, and could not be recovered.</t>
  </si>
  <si>
    <t>v0.23 (2026-09-11) - Two live-visibility upgrades, both from your feedback on v0.22: "it will be amazing if we can see the changes in CLIENT ORDER FORM (ADVANCE) itself automatically", plus letting reps type UK-specific Item Codes directly. (1) COUNTRY AND COUNTY NOW VISUALLY SELF-CORRECT, NOT JUST BEHIND THE SCENES: typing "UK" into Country now flips the cell to "GB" on its own, exactly like "United Kingdom" already did - this closes a real gap found while checking this: the v0.21 fix made "UK" work correctly for SAP output, but the macro's own separate same-cell switch-logic had never been taught the "UK" alias, so the cell itself didn't visibly change even though the order was already correct underneath. Likewise, typing "Co. Dublin", "County Cork", "Co Galway" etc. into County now visibly cleans itself down to just "Dublin"/"Cork"/"Galway" in the cell - for any county, not only Dublin - on top of the always-on hidden fix already shipped in v0.21. Both of these visual self-corrections need the optional macro installed (Order_Form_Macro.bas) - the underlying SAP output has been correct either way since v0.21, this just makes the form itself show the same correction reps will see land in SAP. (2) ITEM CODE NOW ACCEPTS EITHER FORM FOR THE ~20 ALCOHOL HAMPERS: you can now type either a plain code (e.g. GF849H) or its UK-specific SAP code (e.g. GF849HUK) directly into Item Code, for any of the alcohol hampers that need a UK-specific SAP code - before, only the plain code was accepted and Excel's own dropdown would have blocked typing the UK-specific one. This works two ways at once: a new hidden "Item Code - Normalised" helper column (AG) always resolves whichever form was typed back to its plain base code, so recognition, eligibility-by-country, description and the SAP output are all correct regardless of which form is typed and whether the macro is installed at all - this part is guaranteed. With the optional macro installed, the visible Item Code cell additionally rewrites itself to show whichever form is actually correct for that row's Country and Postcode: mainland GB shows the UK-specific code (auto-upgrading a typed plain code, at your request, for full symmetry with the other direction), while Northern Ireland (detected the same way as the v0.22 SAP rule - a BT postcode) or any non-UK country shows the plain code - matching the "Alcohol Hampers to the UK" reference notes that NI orders should never carry the UK-specific SKU. VERIFIED: the formula-side changes (hidden AG column, widened dropdown/validation ranges, simplified SAP formulas) were checked live via LibreOffice recalculation across 5 scenarios plus a bonus check, 0 formula errors anywhere in the workbook. The three new macro functions and the rewritten UK-alias branch were checked by actually running them (not just reading the code) inside a LibreOffice Basic test harness built specifically for this - 21 separate test assertions, covering the UK-alias resolution, County-prefix stripping (including a deliberate false-positive check on "Company Road", which correctly does NOT get treated as a county), the base/UK-code lookups, and all 6 Item Code decision scenarios (mainland GB, Northern Ireland, non-UK country, an unrelated hamper with no UK variant, and the "UK" country alias flowing all the way through) - all 21 passed. v0.22 (2026-09-11) - Three follow-ups from your answers on v0.21. (1) Added GDPAT01 (St. Patrick's Day Hamper) as a new item code, eligible for all 57 countries we deliver to (PRODUCT DATA: new column NN, plus row 374 added to the base item-code and description lists - every formula/dropdown that referenced the old 372/373-wide ranges now covers the 373rd code too). (2) Northern Ireland now gets the PLAIN code for the 20 alcohol hampers (e.g. GF849H), never the UK-suffixed one (GF849HUK), even though NI selects Country = United Kingdom - detected by a postcode starting "BT" on SAP COPY PASTE, per the Alcohol Hampers to the UK - Notes for Team Use reference; mainland GB is unaffected and still gets the UK-suffixed code. (3) Item Description text for the 16 codes with wording differences from your list is UNCHANGED for now, pending the side-by-side list. 
v0.21 (2026-09-11) - UK hamper list corrected to match the confirmed list of exactly which hampers ship to the UK (PRODUCT DATA eligibility grid: 50 codes removed, GF594H and GF915H added; the stale GF073H -&gt; GF073HUK SAP substitution row removed). Country column now also accepts "UK" typed on its own as an alias for United Kingdom/GB (previously only "United Kingdom" or "GB" were recognised - typing "UK" produced a Country error and the row never reached SAP, which is almost certainly what looked like "it didn't auto convert"). County no longer keeps a leading "Co."/"County" (e.g. "Co. Dublin" -&gt; "Dublin") wherever it was typed or pasted - this is a plain worksheet formula (new hidden column AF on CLIENT ORDER FORM (ADVANCE)), so it works with or without the optional macro installed, same guarantee as the Country code resolution. The Form status / Rows started / Rows ready (OK) / Rows needing fixes / Rows flagged-for-team block has moved off CLIENT ORDER FORM (ADVANCE) onto ERROR SUMMARY, so clients filling in an order only see a single Ready/Not-ready indicator plus each row's own FIX/OK flag, not the aggregate counts; while rebuilding it there we also fixed the "Rows flagged for our team's attention" count, which had the same stale hardcoded-106 range as the v0.20 macro bug. ERROR SUMMARY and SAP COPY PASTE are now hidden sheets (right-click any visible tab -&gt; Unhide... to get to them, same as RULES - STAFF ONLY / RULES &amp; VERSION NOTES / VBA MACRO (OPTIONAL) already were) - SAP COPY PASTE's County output now sends the cleaned value too. 
v0.20 — Two changes after you discussed this workbook with management. (1) REMOVED THE CLIENT ORDER FORM (2025) FALLBACK SHEET: the older-layout tab added in v0.17 as a fallback option, and its supporting hidden GD Products lookup sheet (confirmed unused anywhere else in the workbook), have both been deleted at management's request. Everyone now fills in CLIENT ORDER FORM (ADVANCE) only - START HERE has been reworded to match (it no longer asks staff to choose between two tabs). (2) BUG FOUND AND FIXED - Country column not switching to the 2-letter code: while checking "does typing United Kingdom in the Country column change to GB, same for other countries" as requested, the underlying rule itself was confirmed correct (the optional macro's ResolveCountryCode function, and the hidden Country Code helper column N that SAP output always uses regardless of the macro, both match every one of the 57 countries in PRODUCT DATA correctly, United Kingdom -&gt; GB included) - but a real bug was found in HOW that rule gets triggered: the macro's Worksheet_Change handler has a hardcoded Const LAST_DATA_ROW = 106, left over from before v0.18 extended CLIENT ORDER FORM (ADVANCE) from 100 rows to 350 (7-356).</t>
  </si>
  <si>
    <t>Because of that leftover 106 limit, BOTH macro features - the Country same-cell code-switch AND the address cleanup (postcode/town/county extraction, abbreviation shortening) - silently did nothing on every row past 106, which is most of the sheet after the v0.18 extension. This is very likely exactly what was seen: typing "United Kingdom" on a row below 106 correctly resolves to GB, but the same thing on row 107 or below does nothing, because the macro never even looks at that row. Fixed by changing the constant to 356, in both the standalone Order_Form_Macro.bas file and the reference copy of the macro printed on the VBA MACRO (OPTIONAL) sheet. IMPORTANT: this fix lives in the macro code, not the spreadsheet formulas - anyone who already pasted the macro into a working .xlsm copy needs to delete the old module code and paste in the updated Order_Form_Macro.bas again (same steps as any other macro update) for rows 107-356 to start working; the hidden Country Code helper column and all validation formulas were never affected by this bug and have been correct on every row all along, macro installed or not. VERIFIED: LibreOffice recalculation shows zero formula errors anywhere in the workbook (the 342 "errors" present in every version since v0.17 were the now-removed fallback sheet's blank rows - they're gone along with it); the file's internal structure was re-checked against the same content-type/zip validity test that caught the v0.17 corruption bug, with no recurrence. v0.19 — Two follow-up fixes to v0.18, both at your request after you compared CLIENT ORDER FORM (2025) against your original CORP Order Form 2025.xlsx side by side. (1) FIXED THE REMAINING FORMATTING GAPS ON THE 2025 FALLBACK SHEET: v0.18 fixed the colour-theme bug (green headers showing as orange) but you correctly spotted that most data rows still had missing borders and shading further down the sheet. Root cause, found by comparing the raw XML of your original file cell-by-cell against the copy: your original file's ~342 blank template rows are never actually written into the sheet at all (nobody has typed into them) - Excel instead renders them using a COLUMN-level default style (a single ‘use this border/fill for the whole column’ setting), separate from any individual cell's own formatting. v0.18's copy only ever looked at individual cells, so it correctly copied the small number of rows that DO have their own explicit style (mostly the header row and a few real example/data rows), but had no way to see or copy a column's default styling - every genuinely blank row came through with no border or fill at all. Fixed by separately reading each column's true default font/fill/border/alignment straight from your original file's own style tables (resolving its theme colours the same way as the v0.18 fix) and applying that to every row that relies on it, instead of only copying cells that already carry their own style. Verified by rendering the rebuilt sheet to PDF and sampling rows throughout the full range - row 2, 50, 100, 150, 200, 250, 300, and the very last row, 343 - against the same rows in your original file: borders and the pale-blue shading on columns N-T now match exactly, all the way down, not just near the top. (2) ADDRESS LINE 1 - 45 CHARACTERS CORRECTED TO 35: your original 2025 file's header and validation both said 45 characters, which is what carried over into the fallback sheet in v0.17/v0.18. As already flagged in the open items below, 45 is the number quoted in informal client-facing ‘how to’ guides, but the real SAP/Scurri hard limit - and what CLIENT ORDER FORM (ADVANCE) already enforces - is 35. You've now confirmed 35 is correct, so the fallback sheet's Address Line 1 header text and its underlying character-limit check were both changed from 45 to 35 to match ADVANCE and the real SAP limit. VERIFIED: LibreOffice recalculation still shows exactly the same 342 formula ‘errors’ as every version since v0.17 (the fallback sheet's untouched blank rows showing #N/A in the Description lookup until a real Item Code is typed in - expected, not a bug, matching your original file) and zero errors anywhere else in the workbook; the file's internal structure was re-checked against the same content-type/zip validity test that caught the v0.17 corruption bug, with no recurrence. v0.18 — Five follow-up fixes/changes to v0.17, all at your request. (1) RENAMED AND REORDERED TABS: the sheet formerly called ‘CLIENT ORDER FORM’ is now ‘CLIENT ORDER FORM (ADVANCE)’, and the 2025 fallback sheet is now ‘CLIENT ORDER FORM (2025)’ (Excel enforces a hard 31-character limit on sheet names, so ‘CLIENT ORDER FORM (2025 FALLBACK)’ - 33 characters - had to be shortened; ‘(2025)’ was the closest fit that keeps the same naming pattern as ‘(ADVANCE)’). Every formula on ERROR SUMMARY and SAP COPY PASTE that referenced the old sheet name by exact quoted text (over 3,300 of them) was rewritten to the new name, and so was the hardcoded sheet-name lookup inside the ThisWorkbook macro code (the one that keeps AD/AE locked) - both are things a plain Excel ‘rename sheet’ does NOT fix automatically for quoted formula references or VBA string literals, only for the tab caption itself, so this needed doing by hand across the whole workbook. Visible tab order is now START HERE, CLIENT ORDER FORM (ADVANCE), CLIENT ORDER FORM (2025), ERROR SUMMARY, SAP COPY PASTE, matching what you asked for. (2) OPENS ON START HERE: the file now opens with START HERE as the active tab, and its instructions were rewritten to explain both order-form tabs (recommending ADVANCE, explaining the 2025 one is a backup for anyone not yet comfortable with the new layout) and to say plainly that ERROR SUMMARY and SAP COPY PASTE are for staff only, nothing to do there. (3) FIXED THE 2025 FALLBACK SHEET'S BROKEN FORMATTING: what you saw as ‘not how it is in the original file’ - green header bands showing as orange, and similar colour shifts - was a real bug in how v0.17 copied it: Excel cell styles often store colours as a THEME index (‘use color #9 from this workbook's theme’) rather than a fixed RGB value, and this workbook has a different theme to your original 2025 file, so the same theme index resolved to a different actual colour once copied over. Fixed by resolving every theme colour to its exact RGB value using the ORIGINAL file's theme before writing it in, so the fallback sheet is now visually identical to your source file regardless of this workbook's own theme - confirmed by comparing the resolved colours against the original cell-by-cell, header bands, borders, and row heights included. (4) EXTENDED THE ADVANCE FORM TO 350 ROWS: CLIENT ORDER FORM (ADVANCE) went from 100 fillable rows (7-106) to 350 (7-356), at your note that some orders genuinely run that many lines. Every formula, dropdown, conditional-formatting rule and protection setting on the original 100 rows was replicated down to all 250 new ones, and ERROR SUMMARY / SAP COPY</t>
  </si>
  <si>
    <t>PASTE (which mirror it 1:1, offset by 2 rows) were extended to match. This caught a subtler bug along the way: those two sheets' per-row formulas reference their matching CLIENT ORDER FORM (ADVANCE) row using BOTH a dollar-locked absolute reference (e.g. $Z$106) and a bare number with no cell reference at all (used just to display ‘jump to Excel row 106’) - despite the dollar signs, both of those were always meant to shift with each row, not stay frozen, so a normal formula-fill-down approach (which correctly leaves genuine absolute references and literals alone) would have left every one of the 250 new rows wrongly pointing back at row 106. Fixed by shifting every occurrence of that row number consistently instead, and verified row-by-row (including the very first and last new rows) that every reference and literal was correctly updated. (5) VERIFIED: LibreOffice recalculation shows zero formula errors anywhere in the workbook, including on all 250 new rows; the earlier v0.17 corruption bug (wrong internal content type, which is what caused the ‘file format or extension is not valid’ error you saw) does not recur, confirmed against the same check that caught it. v0.17 — Added your actual 2025 order form as a fallback option, at your request: “in this we can add our corp order form from 2025 as another sheet so people can fall back to it if incase they are not comfortable with the one that we have made,” with a follow-up scoping instruction to bring in “just the order form sheet and not how to use” from the file you uploaded (CORP Order Form 2025.xlsx, which also contained a “How To Use” sheet — deliberately left out, exactly as asked). This version does not change anything about CLIENT ORDER FORM, the macro, or any other existing sheet — it purely ADDS two new sheets at the end of the workbook: ‘ORDER FORM (2025 fallback)’, an exact copy of the ‘Order Form’ sheet from your uploaded file (same cell values, formulas, column widths, row heights, merged cells, data validations, and conditional formatting — a faithful copy, not a rebuild), tab-coloured grey to visually mark it as the legacy/fallback option; and a hidden ‘GD Products’ sheet, carried over alongside it because the fallback sheet's own Item Description column (B) uses a VLOOKUP formula that looks up whatever's typed into Item Code (A) against that sheet — without it, every row on the fallback sheet would show #N/A the moment it's opened, regardless of anything to do with CLIENT ORDER FORM. Verified with a real recalculation pass in LibreOffice (the same method used to verify every version since v0.12): every existing sheet, including CLIENT ORDER FORM, still shows zero formula errors — this change touches nothing else. On the new fallback sheet itself, typing a real Item Code into column A and recalculating correctly pulls back its matching description from GD Products (tested with GF800H → ‘The Supreme Christmas Feast’); the ~342 blank template rows show #N/A in column B until a code is typed in, which is not a bug introduced here — it's the exact same behaviour as your original, untouched 2025 file, confirmed by running the identical check directly against it. Because this sheet is a plain copy with no macro behind it, none of the auto-cleanup, eligibility checking, or Row Status / Error Location / Error Details validation built into CLIENT ORDER FORM applies here — it's meant purely as a manual fallback for someone not yet comfortable with the new grid-style form, not a second fully-featured version of it. v0.16 — AD/AE locked against manual edits, at your request: v0.15 made Address Backup (AD) and Address Cleanup Notes (AE) visible, but they had to stay UNLOCKED for the macro to be able to write into them (a locked cell rejects a VBA write while the sheet is protected, the same as it rejects a person typing into it). Being visible AND unlocked meant anyone could click into AD or AE and type over the backup text or a review note by hand, quietly undoing the point of having them. Fixed by locking AD/AE the same as every other auto-filled column (Row Status, Error Location, Error Details, Staff Review Notes), and adding a small separate piece of code (pasted into the ThisWorkbook module, not the CLIENT ORDER FORM module the rest of the macro lives in - see the updated SETUP STEPS, step 6) that re-applies sheet protection every time the file is opened using Excel's "UserInterfaceOnly" mode. That still blocks manual typing into a locked cell exactly as before, but additionally allows this workbook's own macro code to keep writing into AD/AE. Also defensively wrapped the two lines in HandleAddressCleanup that write to AD and AE, so that even if this protection setup were ever wrong on a given copy of the file, a failed write there can't abort the rest of that row's cleanup - every other field still gets processed normally. Genuinely needs a real-Excel test (see SETUP STEPS step 16) since this is sheet-protection/VBA behaviour that can't be verified by formula recalculation alone. v0.15 — Visibility change, at your request: Address Backup (AD) and Address Cleanup Notes (AE) used to be hidden columns (only visible if you manually unhid them), same as the Country Code helper column (N) still is. Since AD/AE feed directly into what shows up in Staff Review Notes (AC) - which was never hidden - that meant a review note, or the true pre-cleanup backup text behind it, could go unnoticed unless someone thought to unhide those columns first. Both are now left visible at all times, right alongside AC, so all three stay in plain sight together. This is a visibility-only change: nothing about what gets written into them, when, or how the macro processes a row has changed. They keep the same grey/wrapped "auto" styling as the other system-written columns; they remain unlocked (as they always were) so the macro can still write into them while the sheet is protected, so please continue treating them as read-only in practice even though a manual edit isn't technically blocked. v0.14 — Bug fix, found from your real v0.13 test results: your test 13 from the v0.11 doc (a deliberately too-long address, set up to overflow past 3 lines) correctly flagged the overflow the first time, but after separately setting Country afterwards on the same row, the "doesn't fit, please shorten manually" note silently disappeared, AND the hidden backup column no longer held the true original text - the dropped tail ("How To Find This Place Exactly") was gone with no trace. Root cause: this macro can process the same row's address twice - once when the address itself is pasted, and again later if Country is set afterwards, so postcode/county can still be picked up from the address text once Country is known (a deliberate, useful feature since v0.10). Before this fix, that SECOND pass re-read whatever was CURRENTLY sitting in Address Line 1-3 as if it were the original input - but by then it was already the SHORTENED, already-repacked result from</t>
  </si>
  <si>
    <t>the first pass, so re-checking it against the 3x35 character limit trivially "passed" (nothing left to overflow), silently erasing the warning, and the hidden backup got overwritten with that same already-shortened text, permanently losing whatever had been dropped. Confirmed by reproducing the exact sequence: paste a too-long address (correctly flagged), then set Country - note vanishes, backup loses the original, exactly matching what you saw. Fixed by only ever treating Address Line 1-3 as the "true original" when they are themselves what just changed (or the very first time a row is ever processed, when there's no backup yet) - any later Country-only re-run now rebuilds its working copy from the ALREADY-STORED hidden backup instead, so the backup is never overwritten with an already-processed value and every re-run keeps re-checking the same one true original, keeping the overflow note (and anything else it flags) accurate no matter how many times a row gets touched afterwards. Also fixes an equivalent case for the Postcode-mismatch check (test 12): the hidden backup now stays the true original there too, instead of silently updating to an in-between state, once Country is set after the fact. Nothing about the visible results of any already-passing test changes - re-checked test 12 and test 13 against this fix and both still give exactly the same Address Line 1-3 and Postcode results as before, just with the backup and notes now behaving correctly too. v0.13 — Bug fix, found from your real v0.12 test results: pasting a US address ("123 Main St, Austin, Texas, USA") silently failed - Country filled in correctly but Address Line 1/Town/Postcode/County/Notes were all left completely untouched, with no error shown. Root cause: three places in the macro sort a small list (the county-length ordering used by the v0.12 County feature, its list of matched counties, and the older multi-country-mention check) using a classic insertion sort whose loop-exit check relied on 'stop as soon as we're off the front of the list, OR the current item already belongs here' - written as one combined condition. In most languages that combined condition would stop checking the moment the first half is true, but Excel VBA's And does NOT work that way - it always evaluates both halves, so it tried to check the item 'before the front of the list' anyway and Excel threw 'Subscript out of range' and gave up on the rest of that row. This was NOT an Ireland-specific fluke: Ireland's own county list happens to start (alphabetically) with its longest entry, which is exactly the one case this bug can't reach - so every one of your Ireland tests passed while the very first non-Ireland one (US) hit it immediately. In practice this meant County auto-fill was silently broken for most of the 28 countries it was built to cover (confirmed: US, GB, DE, FR, ES, IT, NL, DK, PL, IC (Canary Islands), CA, BE all hit it; IE, AT, CH, AU did not), and - much more rarely, only when an address mentioned two different countries in a particular order - the older multi-country flag could have hit the same crash too, unrelated to County. Fixed by splitting each loop's check into 'are we off the front of the list' first, THEN (only if not) 'does the current item belong here', so the array is never touched once we're off the front - same sorting result, no crash. This is also exactly why the earlier verification (checking the macro's logic by re-implementing it in Python to cross-check behaviour before delivery) couldn't have caught it: Python's own 'and' DOES short-circuit safely, so a faithful Python re-implementation of this exact code would never reproduce an Excel-only quirk like this - only running the real macro in real Excel could, which is exactly what your test results did. Nothing else changed in this version - if you tested a non-Ireland address for County before now, it's worth trying again. v0.12 — Real County/State auto-extraction, built from the SAP_extract_Counties__Countries.xlsx file you sent (3 sheets: Countries, Counties, GD countries we deliver to). Two things were built: (1) COUNTRY DELIVERABILITY CHECK: confirmed the existing 57-country list already baked into this workbook (used for the Country dropdown/eligibility) is an EXACT match, code-for-code and name-for-name, with the 'GD countries we deliver to' sheet once its 39 'DO NOT USE' rows and one bogus row (code XX, name 'Wheels' - not a real country) are excluded - so no change was needed there; it was already right. Singapore (SG) is confirmed 'DO NOT USE' in that sheet, exactly matching the example you gave. (2) COUNTY REFERENCE LIST: the raw 305-row Counties sheet has NO column linking a county to a country, so 'if we don't deliver to a country, remove its counties too' can't be done by matching county names against country names at runtime - a literal reading of that rule would incorrectly delete 'Georgia' (a real US county-list entry, since the US is deliverable) just because 'Georgia' is ALSO the name of an unrelated, non-deliverable country. Instead, every one of the 305 entries was individually assigned to one of the 57 deliverable countries by hand (ordinary geography - US states, Irish counties incl. all Dublin postal districts, German/French/Dutch/Spanish/Italian/Austrian/Swiss/Belgian regions, Canadian provinces, Australian/NZ states, Polish voivodeships, etc.) - see build_counties_reference.py for the full mapping and reasoning. An entry that couldn't be tied to a deliverable country was dropped - this is what actually implements your rule, automatically and without the Georgia false-positive risk, since a non-deliverable country's places simply never get assigned a code in the first place. 14 entries were dropped this way (Singapore + a duplicate typo 'Singapure', Mexico, Buenos Aires (Argentina), Seo-gu (South Korea), and 7 entries that were just the country's own name restated in another form - Belgique, Canada, Isle of Man, Jersey, New Zealand, Osterreich, Spain, 'Co. Dublin', and 'County Down' - these last two were redundant with the plain 'DUBLIN'/'DOWN' entries once matching learned to recognise the 'Co./County' prefix itself, see below). A further 6 duplicate pairs (typos or casing - British Colombia/Columbia, DELAWARE/Delaware, Illlinois/illinois, Indiana/indiana, LEITRIM/Leitrim, South Carolina/Caroline) were merged into one correctly-spelled entry each, and 2 lone misspellings fixed (Guersney-&gt;Guernsey, Saskatchew-&gt;Saskatchewan) - net 285 clean entries. A handful of remaining entries are genuinely ambiguous between two countries by name alone (Cambridge, Canterbury, Christchurch, Cleveland, Durham, Bangor, Marlborough, Perth all have a same-named place in a different country) - each was assigned its more common/likely country, flagged in build_counties_reference.py's ENTRIES_TO_REVIEW for you to correct if a call was wrong; correcting one is a one-line edit, not a rebuild. MATCHING RULES (both by design, see the County</t>
  </si>
  <si>
    <t>row on RULES - STAFF ONLY for the full reasoning): COUNTRY-SCOPED (a county/state is only ever checked once Country is already known for that row, and only against that country's own list) and MARKER-REQUIRED (only text explicitly introduced by 'Co.'/'County' wording is matched, e.g. 'Co. Dublin' - a bare, unmarked name is left alone, since several entries here are also real town names and a bare match risks quietly overriding a correct Town guess). One known, deliberate scope limit: addresses that write a state as a bare trailing word with no 'Co./County' wording (the usual US style, e.g. '..., Austin, Texas, USA') will NOT auto-fill County - closing that gap would need a materially different, less certain rule, and was left for a future version to keep this one's guesses as safe as everything else already shipped. v0.11 — Small follow-up fix after you asked what happens to County: nothing yet, by design (see the County row on RULES - STAFF ONLY - it's a wired-in placeholder waiting on the county reference file). While confirming that, found and fixed a related gap: the v0.10 Town-guess heuristic didn't yet know that 'Co.' or 'County' wording (e.g. 'Co. Dublin', 'County Dublin') is county-related, not a town name, so a pasted address containing that could have had it wrongly guessed as Town. It's now added to the same guard-word list as Street/Road/Park/etc., so that text is correctly left alone in the address (same as any other not-yet-recognised word) instead of being mis-filed into Town. This has no effect on County itself - it still needs the reference file before it can be extracted for real. v0.10 — At your request, after testing v0.9: Country and Town are now ALSO auto-filled from the pasted address text (this REVERSES what v0.9 below says about Country/Town never being written to - that was correct for v0.9, it no longer is). COUNTRY: if Country is blank, a full country name found in the address text is written into Country as its 2-letter code (e.g.</t>
  </si>
  <si>
    <t>OPTIONAL: Order Form macro — setup instructions</t>
  </si>
  <si>
    <t>What this does (SIX features in one macro - the last three were added in v0.23/v0.24 and aren't described in this older overview section yet in full, but ARE fully documented in the code comments below and in RULES &amp; VERSION NOTES: County live-clean, Item Code UK-variant switch, and paste-safe formatting): WHAT'S NEW IN v1.0 (final pre-submission round, not yet described in this older overview either - see the Worksheet_Change header comment in the code below for the full list): the sheet/workbook was renamed throughout, from "CLIENT ORDER FORM (ADVANCE)" to "CORP order form"; the four Personalisation columns were physically removed; Quantity now defaults to 1 on every row (customer-editable); and a brand new sixth feature was added - DUBLIN EIRCODE COUNTY AUTO-MATCH, which fills County from the Eircode routing key for Irish addresses (see feature 6 and HandleDublinEircodeCounty in the code below).</t>
  </si>
  <si>
    <t>1) COUNTRY same-cell switch: typing, pasting, or selecting a country name or code into the Country column makes that SAME cell instantly switch to showing the 2-letter code - e.g. typing "United Kingdom" becomes "GB" the moment you press Enter or move off the cell.</t>
  </si>
  <si>
    <t>2) ADDRESS CLEANUP (v0.7, expanded in v0.10 and v0.12): whenever you finish typing or pasting into Address Line 1/2/3 for a row, it automatically: finds a postcode in the text (for countries with a known postcode format) and moves it into the Postcode field if that's blank; finds a country name in the text and moves it into the Country field if that's blank (removing it from the address either way); finds a county/state explicitly introduced by 'Co.'/'County' wording (e.g. 'Co. Dublin') and moves it into the County field if that's blank AND Country is already known for that row (see "WHAT'S NEW IN v0.13" below); finds a Town in the text and moves it into the Town field if Town is blank AND the guess looks safe (see "WHAT'S NEW IN v0.10" below for exactly when); shortens common words using standard postal abbreviations (Building-&gt;Bldg, Park-&gt;Pk, Road-&gt;Rd, Unit 3-&gt;U. 3, etc.); and re-packs everything to fill Address Line 1 and 2 first, only spilling into Line 3 if it has to - since Line 3 sometimes isn't printed on hampers. Anything it isn't sure about (a mismatch, an ambiguous multi-country or multi-county mention, or an address that still doesn't fit) is written as a note in the existing Staff Review Notes column, never silently dropped - and the address exactly as typed/pasted is always saved to a backup column first, so it's never unrecoverable. Staff Review Notes (Y), Address Backup (Z) and Address Cleanup Notes (AA) are all kept visible on the sheet (v0.15) rather than hidden, so none of them get missed - and Z/AA are locked against manual edits too (v0.16), the same as Y always was, via a small extra piece of code in ThisWorkbook (see SETUP STEPS step 6).</t>
  </si>
  <si>
    <t>ONE THING THAT LOOKS LIKE A BUG BUT ISN'T: if the cleaned-up address fits entirely on Address Line 1, Line 2 and 3 being left BLANK is correct - it means the cleanup worked well enough that it didn't need them, not that something failed to fill in.</t>
  </si>
  <si>
    <t>WHAT'S NEW IN v0.16 (Z/AA locked against manual edits, at your request): making Address Backup (Z) and Address Cleanup Notes (AA) visible in v0.15 came with a gap - unlike Staff Review Notes (Y) and the other auto-filled columns, Z/AA had to stay UNLOCKED so this macro's own code could write into them (a locked cell normally rejects a VBA write while the sheet is protected, same as it rejects a person typing into it). While they were hidden that didn't matter, but visible AND unlocked meant anyone could click in and type over the backup text or a review note by hand, quietly defeating the whole point of them. Fixed by locking Z/AA like every other auto column, and adding a small SEPARATE piece of code (ThisWorkbook_Code.bas, pasted into the ThisWorkbook module rather than alongside the rest of the macro - see SETUP STEPS step 6) that re-applies sheet protection every time the file opens using Excel's "UserInterfaceOnly" mode. That mode still blocks a person from typing into a locked cell exactly as before, but additionally allows this workbook's own macro code to keep writing into Z/AA - the same gap-closing idea as the v0.14 fix, just for manual edits instead of a macro logic bug. Belt-and-braces: the two lines in HandleAddressCleanup that write to Z and AA are now individually wrapped so that even if this protection setup were ever somehow wrong or not yet installed on a given copy of the file, a failed write to Z or AA can't abort the rest of that row's cleanup - Country/Town/Postcode/County/Address Line 1-3 all still get processed normally either way. This is the one change in this release that genuinely needs testing in real Excel, not just re-verified by formula recalculation - see SETUP STEPS step 16.</t>
  </si>
  <si>
    <t>WHAT'S NEW IN v0.15 (visibility change, at your request): Address Backup (Z) and Address Cleanup Notes (AA) used to be hidden columns - you'd have had to manually unhide them (via Format &gt; Hide &amp; Unhide, or right-click &gt; Unhide on the column headers) to see anything written into them. Since these two feed directly into what gets flagged in Staff Review Notes (Y) - including the overflow and mismatch notes the v0.14 fix above is all about keeping accurate - being hidden by default meant they were easy to overlook. Both are now left visible at all times, right alongside Y (which was never hidden to begin with), so all three stay in plain sight on the CORP order form sheet. Nothing about what they contain, how the macro writes to them, or any other behaviour has changed - this is a visibility change only. They keep the same grey, wrapped-text styling as the other auto-filled columns (Row Status, Error Location, Error Details, Staff Review Notes) so they still read as system-managed rather than something to type into. One technical difference from those other auto columns remains, unchanged from before: Z/AA have to stay UNLOCKED (unlike V/W/X/Y, which are protection-locked) so the macro can write into them while the sheet is protected - sheet protection alone won't stop a manual edit there if someone clicks in and types over them, so please still treat them as read-only in practice.</t>
  </si>
  <si>
    <t>WHAT'S NEW IN v0.14 (bug fix - hidden backup and overflow note now survive a later Country edit): found from re-testing the original v0.11 test doc. Test 13 (a deliberately too-long address) correctly flagged the overflow the first time, but after separately setting Country afterwards on the same row, the "doesn't fit, please shorten manually" note silently disappeared and the hidden backup no longer held the true original - the dropped tail text was gone with no trace. Cause: this macro can process the same row's address twice - once when the address itself is pasted, again later if Country is set afterwards (so postcode/county can still be found once Country is known - a deliberate feature since v0.10). The second pass was re-reading whatever was CURRENTLY in Address Line 1-3 as the "original" - but by then it was already the shortened, already-repacked result, so it trivially "fit" on re-check, erasing the warning, and the hidden backup got overwritten with that same shortened text. Fixed by only treating Address Line 1-3 as the true original when they're what just changed (or the very first time a row is processed); any later Country-only re-run now rebuilds its working copy from the ALREADY-STORED hidden backup instead, so the backup is never overwritten with an in-between value and the overflow note stays accurate no matter how many times the row is touched afterwards. Re-checked against test 12 (Postcode mismatch) and test 13 (overflow) - both still give exactly the same Address Line 1-3 and Postcode results as before, just with the backup and notes now correct too.</t>
  </si>
  <si>
    <t>WHAT'S NEW IN v0.13 (bug fix - please re-test County for non-Ireland addresses): your real-Excel testing of v0.12 found that pasting a US address ("123 Main St, Austin, Texas, USA") silently failed - Country filled in but Address Line 1/Town/Postcode/County/Notes were all left completely untouched, no error shown. Cause: three places in the macro sort a short list using a loop-exit check written as one combined condition ("stop once we're off the front of the list, OR this item already belongs here"); Excel VBA's "And" always evaluates BOTH halves rather than stopping at the first true one, so it tried to inspect "the item before the front of the list", which doesn't exist, and Excel threw "Subscript out of range" and gave up on the rest of that row. This wasn't an Ireland-specific fluke - Ireland's own county list happens to start (alphabetically) with its longest entry, the one case this bug can't reach, which is exactly why every Ireland test passed while the first non-Ireland one hit it immediately. In practice, County auto-fill was silently broken for most of the 28 countries it covers (confirmed broken: US, GB, DE, FR, ES, IT, NL, DK, PL, IC, CA, BE; confirmed fine: IE, AT, CH, AU). Fixed by splitting each check so the list is never touched once we're off the front - same sort result, no crash risk. If you tested County for anywhere other than Ireland before now, it's worth trying again.</t>
  </si>
  <si>
    <t>WHAT'S NEW IN v0.12 (real County/State auto-extraction): built from the SAP_extract_Counties__Countries.xlsx file you sent - 285 county/state names, each hand-checked against which of the 57 deliverable countries it belongs to (see RULES &amp; VERSION NOTES for the full method, including what was dropped and why - e.g. Singapore, which you specifically asked to confirm gets excluded). Two safety rules: (1) it only ever checks a county/state name against the counties belonging to the Country ALREADY known for that row - never across countries - which is what makes it safe to include names like "Georgia" (a real US county-list entry) without any risk of confusion with the unrelated, non-deliverable country of the same name. (2) it only matches text explicitly introduced by "Co."/"County" wording (e.g. "Co. Dublin", "County Down") - a bare, unmarked name is deliberately left alone, since several entries on this list (Dublin, Cork, Galway, Waterford...) are ALSO real town names, and matching a bare name would risk quietly overriding a correct Town guess. Practical effect: standard Irish-style addresses ("..., Co. Dublin, Ireland") now auto-fill County correctly; US-style addresses that write the state as a bare trailing word with no "Co./County" wording ("..., Austin, Texas, USA") do NOT auto-fill County yet - a deliberate, documented scope limit, not a bug. Also confirmed as part of this: the Country dropdown/eligibility list already in this workbook is an EXACT match for the new file's deliverable-country list, so nothing needed to change there.</t>
  </si>
  <si>
    <t>WHAT'S NEW IN v0.11 (small fix, no new features): while confirming that County still isn't extracted yet (it's waiting on the reference file - see the County note further down), found that the v0.10 Town guess didn't know 'Co.'/'County' wording (e.g. 'Co. Dublin') is county-related rather than a town name, so it could have been wrongly guessed as Town. It's now added to the guard-word list alongside Street/Road/Park/etc., so that text is correctly left alone in the address instead. County itself is unaffected - still a placeholder until the reference file arrives.</t>
  </si>
  <si>
    <t>WHAT'S NEW IN v0.10 (at your request, after testing v0.9): Country and Town are now ALSO auto-filled from the pasted address text, not just Postcode as before. COUNTRY: if Country is blank, a full country name found in the address text is written into Country as its 2-letter code (e.g. finding "Ireland" fills Country with "IE"). If more than one different country is mentioned in the same address (rare - e.g. an old address left in by mistake, or routing wording like "..., via Dublin, Ireland"), the FIRST one mentioned is used, on the assumption it's the real final destination - e.g. "...Paris, France, via Dublin, Ireland" uses France - and the row is ALWAYS flagged in Staff Review Notes when this happens, so a person double-checks the guess either way. A country found only in the pasted text (never separately selected) also gets its Postcode recognised in the very same pass, since Country is now resolved before Postcode is looked for. TOWN: unlike Country and Postcode, there's no reference list for town names, so this is necessarily a heuristic, not a lookup, and it's built to be cautious - after Postcode/Country are removed from the text, if what's left splits into 2+ comma-separated parts, the LAST part is used as Town, but ONLY when it contains no digit and no recognised street-type word (Street, Road, Park, Building, Unit, Way, House, Mews, and a few others). Otherwise Town is left blank for manual entry, exactly as before v0.10, rather than risk a wrong guess in a mandatory, courier-facing field. This also means a single address pasted with NO commas at all (e.g. "45 Oak Street Business Park Dublin") has no reliable boundary to find Town by, so it correctly stays manual in that case too - Country/Postcode still work there regardless, since they use pattern matching that doesn't depend on commas. This is a genuine best-effort heuristic: it will legitimately miss some real towns (anything containing one of the guard words above, e.g. "Bethnal Green") in exchange for very rarely guessing wrong - miss rather than mis-fill was the explicit brief.</t>
  </si>
  <si>
    <t>WHAT'S NEW IN v0.9 (fix, no new features): pasting or typing an address containing commas (e.g. "Unit 3, 45 Oak Street Business Park, Dublin, Ireland") could leave a stray comma dangling in the result (e.g. "...Bus Pk Dublin,") - a word that got abbreviated lost its trailing comma entirely (replaced whole by the short form) while a word left unabbreviated kept its comma. Commas are now stripped from the address text before any other processing (turned into a space, not deleted, so words don't get glued together); periods are untouched since abbreviations like "U." and "No." rely on them. If you already installed the v0.8 macro, repeat the paste-in step below with the new code to pick this up - see step 4.</t>
  </si>
  <si>
    <t>WHAT'S NEW IN v0.8 (fixes, no new features): two bugs were found while testing v0.7's address cleanup and are fixed in this version - (a) typing or pasting a long raw address into Address Line 1/2/3 could get rejected outright by the workbook's own "too long" popup, before the macro ever got a chance to shorten it - that popup is now removed from those 3 fields specifically, so long addresses go in and get shortened automatically as intended; the 35-character rule is still fully enforced, just via Row Status / Error Details afterwards instead of a blocking popup beforehand. (b) pasting into an address field could leave a white background behind (a normal side-effect of Excel pasting the source cell's own formatting along with the text) - the macro now puts the correct yellow colour and border back on every cell it writes to, so that can't happen anymore.</t>
  </si>
  <si>
    <t>This is entirely OPTIONAL, for all six features. The workbook is fully correct and safe to use without it - Country keeps working via the hidden helper column regardless, and addresses just stay exactly as typed if the macro isn't installed or macros are disabled for a given recipient. Nothing in SAP output or validation depends on this macro running.</t>
  </si>
  <si>
    <t>WHY THIS ISN'T PRE-INSTALLED: this file was generated outside of Microsoft Excel, and Excel is very strict about the internal format of macro code. Building the macro directly into the file from outside Excel risks Excel showing a "we found a problem with some content" repair warning when a client opens it - a bad first impression on a client-facing form. Pasting the code in yourself, inside your own real Excel, guarantees it is built correctly with zero risk of that warning. It takes about two minutes, once.</t>
  </si>
  <si>
    <t>IMPORTANT - macros and security: many company email/security systems strip or block macros in attachments, especially from external senders. If that happens for your clients, this macro simply won't run for them - the form still works correctly (see above), they just won't see the instant same-cell switch or the automatic address cleanup. Test this internally first before relying on it for client-facing rollout.</t>
  </si>
  <si>
    <t>SETUP STEPS (do this once, in Excel, after receiving this file - or repeat this to update the macro if you already installed an earlier version, e.g. the v0.6 Country-only macro, or the v0.7-v0.10 address-cleanup macro):</t>
  </si>
  <si>
    <t>1. Open CORP_Order_Form_2026.xlsx in Excel.</t>
  </si>
  <si>
    <t>2. Press Alt+F11 to open the Visual Basic Editor.</t>
  </si>
  <si>
    <t>3. In the Project Explorer panel on the left (View &gt; Project Explorer if you don't see it), find "VBAProject (CORP_Order_Form_2026.xlsx)", expand "Microsoft Excel Objects", and double-click the entry for the CORP order form tab (it will be listed under "Microsoft Excel Objects" - the exact wording in parentheses can vary slightly, it's simply the one whose parenthetical name matches this tab). A code window opens for that sheet.</t>
  </si>
  <si>
    <t>4. If you're updating from an earlier macro (v0.6 through v0.15), select all the existing code in that window (Ctrl+A) and delete it first, so the old and new versions don't end up mixed together. On a brand-new file this window will already be empty, which is normal - just carry on to the next step.</t>
  </si>
  <si>
    <t>5. Open the accompanying Order_Form_Macro.bas file in Notepad (or any text editor), select all the text (Ctrl+A), copy it (Ctrl+C), then click into the code window in Excel and paste (Ctrl+V). The code is also printed in full below on this sheet if you need it again.</t>
  </si>
  <si>
    <t>6. NEW in v0.16 - still in the Project Explorer, find "ThisWorkbook" (also listed under "Microsoft Excel Objects", right next to the CORP order form entry from step 3) and double-click it - a separate, second code window opens. It will already be empty on a fresh install or if you're updating from before v0.16; if you've installed v0.16 before, select all (Ctrl+A) and delete first, same idea as step 4. Open the accompanying ThisWorkbook_Code.bas file the same way as step 5, copy all of it, and paste it into this ThisWorkbook window (also printed in full further below on this sheet). This short, separate piece of code is what actually locks Address Backup (Z) and Address Cleanup Notes (AA) against manual edits - it has to live here, in ThisWorkbook, rather than alongside the rest of the code from step 5, because that's the only place Excel recognises a "file just opened" event (see "WHAT'S NEW IN v0.16" above for why that matters here).</t>
  </si>
  <si>
    <t>7. Close the Visual Basic Editor (Alt+Q), or just switch back to the Excel window.</t>
  </si>
  <si>
    <t>8. File &gt; Save As. Choose "Excel Macro-Enabled Workbook (*.xlsm)" as the file type, keep the same file name, and save.</t>
  </si>
  <si>
    <t>9. Close the file completely, then reopen the .xlsm you just saved. A yellow security bar will appear saying "Macros have been disabled" - click "Enable Content". (Only do this because you just added the macro yourself and know exactly what it does.) This close-and-reopen is also what makes the new ThisWorkbook code from step 6 take effect for the first time - it runs automatically on every future open too, which is what keeps Z/AA locked down every single session, not just this one.</t>
  </si>
  <si>
    <t>10. Test the Country switch: click into any Country cell on CORP order form and type "United Kingdom", then press Enter. The cell should instantly show "GB".</t>
  </si>
  <si>
    <t>11. Test the v0.10 auto-fill on a fresh row with Country, Town AND Postcode all still blank: paste "Unit 3, 45 Oak Street Business Park, Dublin, Ireland" into Address Line 1 and press Enter. Expect: Address Line 1 becomes "U. 3 45 Oak St Bus Pk" (no leftover comma, and "Dublin"/"Ireland" both gone from it), Country becomes "IE", and Town becomes "Dublin" - all three from that one paste. It's normal for this to fit on Line 1 alone, leaving Line 2/3 blank - see "ONE THING THAT LOOKS LIKE A BUG BUT ISN'T" above.</t>
  </si>
  <si>
    <t>12. Test the v0.12 County auto-fill: on another fresh row, paste "45 Oak Street, Dublin, Co. Dublin, Ireland" into Address Line 1. Expect: Country becomes "IE", County becomes "Dublin", Town becomes "Dublin" too, and Address Line 1 becomes "45 Oak St" - all four results from one paste, with nothing left over. Then try a country-scoping check: on another fresh row, paste "123 Main St, Austin, Texas, USA" - expect Country becomes "US" but County stays BLANK (there's no "Co./County" wording in that text, which is deliberate - see the County row on RULES - STAFF ONLY for why).</t>
  </si>
  <si>
    <t>(Step 12's Texas line is exactly the one that silently crashed in v0.12 - see "WHAT'S NEW IN v0.13" above - so it's worth specifically re-testing if you tried it before now.)</t>
  </si>
  <si>
    <t>13. Test the ambiguous-country case: on another fresh row, paste "12 Rue de la Paix, Paris, France, via Dublin, Ireland" into Address Line 1. Expect: Country becomes "FR" (France, mentioned first), and the Staff Review Notes column - visible directly in column Y on this sheet, or via the ERROR SUMMARY sheet - should flag that more than one country was mentioned so someone double-checks it.</t>
  </si>
  <si>
    <t>14. Test that Town correctly stays blank when it should: on another fresh row, paste "45 Oak Street, Business Park" (no real town at the end) into Address Line 1. Expect: Town stays blank ("Business Park" must NOT appear there) - this is the safety check working as intended, not a miss.</t>
  </si>
  <si>
    <t>15. Now test the v0.8 fix: PASTE a long full address (over 35 characters) into Address Line 1. It should no longer show a "too long" popup, and the cell should stay its normal blue (a mandatory field) and not turn white once it's shortened. Try the same as a typed-and-Enter test too, and try a multi-row paste.</t>
  </si>
  <si>
    <t>16. NEW in v0.16 - test that Z/AA are genuinely locked: click directly into the Address Backup or Address Cleanup Notes cell on any row (both are visible columns now, no need to unhide anything first) and try typing something. Expect: Excel blocks it immediately with its standard "The cell or chart you're trying to change is protected..." popup - just click OK, this is confirming the lock is real, not asking you for the sheet password. Then paste a fresh address into Address Line 1 on a blank row and confirm Address Backup still fills in automatically as before, proving the macro itself can still write there even though a person can't type into it directly. For full confidence this survives a real close/reopen (not just carrying over from the current session), you can also close the file completely, reopen it, click "Enable Content" again, and repeat the manual-typing check once more.</t>
  </si>
  <si>
    <t>17. From now on, every time this .xlsm is opened, click "Enable Content" on the security bar to keep the macro working. If a copy of the file is later re-saved as a plain .xlsx, the macro will be dropped - keep working from the .xlsm copy.</t>
  </si>
  <si>
    <t>The full CORP order form sheet macro code (also provided as Order_Form_Macro.bas) is below for reference:</t>
  </si>
  <si>
    <t>Option Explicit</t>
  </si>
  <si>
    <t>Private Sub Worksheet_Change(ByVal Target As Range)</t>
  </si>
  <si>
    <t xml:space="preserve">    ' === GIFTS DIRECT - Order Form macro (v1.0, OPTIONAL) ===</t>
  </si>
  <si>
    <t xml:space="preserve">    ' Six features, all optional and all safe to skip if macros are disabled -</t>
  </si>
  <si>
    <t xml:space="preserve">    ' every one of them is a same-cell convenience only. The underlying</t>
  </si>
  <si>
    <t xml:space="preserve">    ' formulas (Row Status, SAP COPY PASTE) are already correct with or</t>
  </si>
  <si>
    <t xml:space="preserve">    ' without this macro; installing it just makes the cells you're looking</t>
  </si>
  <si>
    <t xml:space="preserve">    ' at on CORP order form show the same thing SAP will get,</t>
  </si>
  <si>
    <t xml:space="preserve">    ' instead of showing what was typed until you check ERROR SUMMARY/SAP</t>
  </si>
  <si>
    <t xml:space="preserve">    ' COPY PASTE to see the resolved version:</t>
  </si>
  <si>
    <t xml:space="preserve">    '</t>
  </si>
  <si>
    <t xml:space="preserve">    ' WHAT'S NEW IN v1.0 (final pre-submission changes):</t>
  </si>
  <si>
    <t xml:space="preserve">    '  - Sheet/workbook renamed throughout, from "CLIENT ORDER FORM (ADVANCE)"</t>
  </si>
  <si>
    <t xml:space="preserve">    '    to "CORP order form" - every Worksheets(...) lookup in this file and</t>
  </si>
  <si>
    <t xml:space="preserve">    '    in ThisWorkbook_Code.bas was updated to match.</t>
  </si>
  <si>
    <t xml:space="preserve">    '  - The four Personalisation columns were removed entirely (physically</t>
  </si>
  <si>
    <t xml:space="preserve">    '    deleted, not just hidden) - see the shifted column-constant comments</t>
  </si>
  <si>
    <t xml:space="preserve">    '    throughout this file (BACKUP_COL, NOTES_COL, the A:AA managed range,</t>
  </si>
  <si>
    <t xml:space="preserve">    '    and the grey/white Case lists in StandardCellFillRGB).</t>
  </si>
  <si>
    <t xml:space="preserve">    '  - Quantity (C) now defaults to 1 on every row, changeable by the</t>
  </si>
  <si>
    <t xml:space="preserve">    '    customer - this has no effect on anything in THIS file, but the</t>
  </si>
  <si>
    <t xml:space="preserve">    '    worksheet's own Row Status/Error Location/Error Details/Staff Review</t>
  </si>
  <si>
    <t xml:space="preserve">    '    Notes formulas and 7 conditional-formatting rules were updated so a</t>
  </si>
  <si>
    <t xml:space="preserve">    '    default Quantity of 1 alone no longer makes an otherwise-blank row</t>
  </si>
  <si>
    <t xml:space="preserve">    '    look "started".</t>
  </si>
  <si>
    <t xml:space="preserve">    '  - DUBLIN EIRCODE COUNTY AUTO-MATCH (feature 6 below) is brand new this</t>
  </si>
  <si>
    <t xml:space="preserve">    '    version.</t>
  </si>
  <si>
    <t xml:space="preserve">    ' WHAT'S NEW IN v1.3 (Cathy's review feedback on the first delivered version):</t>
  </si>
  <si>
    <t xml:space="preserve">    '  - DUBLIN EIRCODE COUNTY AUTO-MATCH (feature 6) now keeps County in sync</t>
  </si>
  <si>
    <t xml:space="preserve">    '    with Postcode on every change, not just the first time - see the v1.3</t>
  </si>
  <si>
    <t xml:space="preserve">    '    note on HandleDublinEircodeCounty for the full explanation. A person</t>
  </si>
  <si>
    <t xml:space="preserve">    '    typing directly into County still locks it against further auto-fill,</t>
  </si>
  <si>
    <t xml:space="preserve">    '    exactly as before.</t>
  </si>
  <si>
    <t xml:space="preserve">    '  - Postcode format checking (IE/GB/CA/US/NL) is now live - see the new</t>
  </si>
  <si>
    <t xml:space="preserve">    '    hidden "Postcode Format Check" column (AE) on the worksheet itself.</t>
  </si>
  <si>
    <t xml:space="preserve">    '    This one is a plain FORMULA, not VBA, so it works identically whether</t>
  </si>
  <si>
    <t xml:space="preserve">    '    or not this macro is installed - nothing to change in this file for</t>
  </si>
  <si>
    <t xml:space="preserve">    '    it, it's mentioned here only for completeness.</t>
  </si>
  <si>
    <t xml:space="preserve">    ' WHAT'S NEW IN v0.24 (bug fixes plus one new feature, from live Excel</t>
  </si>
  <si>
    <t xml:space="preserve">    ' testing of v0.23):</t>
  </si>
  <si>
    <t xml:space="preserve">    '  - Two real bugs from v0.23 are fixed - not in this macro itself, but</t>
  </si>
  <si>
    <t xml:space="preserve">    '    in the sheet's own data-validation settings, which were silently</t>
  </si>
  <si>
    <t xml:space="preserve">    '    blocking a UK-specific Item Code and the literal text "UK" in</t>
  </si>
  <si>
    <t xml:space="preserve">    '    Country before this macro (or any formula) ever got a chance to run.</t>
  </si>
  <si>
    <t xml:space="preserve">    '    See RULES &amp; VERSION NOTES for the full explanation - nothing to</t>
  </si>
  <si>
    <t xml:space="preserve">    '    change in this .bas file for those two.</t>
  </si>
  <si>
    <t xml:space="preserve">    '  - PASTE-SAFE FORMATTING (feature 5 below) is brand new this version:</t>
  </si>
  <si>
    <t xml:space="preserve">    '    previously, pasting into most columns (Recipient Name, Gift</t>
  </si>
  <si>
    <t xml:space="preserve">    '    Message, Quantity, etc.) could leave the wrong colour showing if the</t>
  </si>
  <si>
    <t xml:space="preserve">    '    source data carried its own formatting - only the handful of cells</t>
  </si>
  <si>
    <t xml:space="preserve">    '    the OTHER features already rewrite (Country/County/Item Code) were</t>
  </si>
  <si>
    <t xml:space="preserve">    '    protected against that. Now every managed column is.</t>
  </si>
  <si>
    <t xml:space="preserve">    '  - The colour scheme itself also changed (green header, light blue for</t>
  </si>
  <si>
    <t xml:space="preserve">    '    mandatory fields, white for optional ones, grey stays for</t>
  </si>
  <si>
    <t xml:space="preserve">    '    calculated ones) - see StandardCellFillRGB, used by both this new</t>
  </si>
  <si>
    <t xml:space="preserve">    '    feature and the existing RestoreInputFormat.</t>
  </si>
  <si>
    <t xml:space="preserve">    ' WHAT'S NEW IN v0.23 (two new features, at your request after v0.22):</t>
  </si>
  <si>
    <t xml:space="preserve">    '  - COUNTRY: "UK" typed on its own now resolves the same as "United</t>
  </si>
  <si>
    <t xml:space="preserve">    '    Kingdom" or "GB" (previously only those two were recognised - see</t>
  </si>
  <si>
    <t xml:space="preserve">    '    ResolveCountryCode).</t>
  </si>
  <si>
    <t xml:space="preserve">    '  - COUNTY LIVE-CLEAN (feature 3 below) and ITEM CODE UK-VARIANT SWITCH</t>
  </si>
  <si>
    <t xml:space="preserve">    '    (feature 4 below) are both brand new this version.</t>
  </si>
  <si>
    <t xml:space="preserve">    ' 1) COUNTRY same-cell resolver: typing, pasting, or selecting a country</t>
  </si>
  <si>
    <t xml:space="preserve">    '    name OR code into the Country column (M) makes that SAME cell</t>
  </si>
  <si>
    <t xml:space="preserve">    '    instantly switch to showing the 2-letter code - e.g. typing</t>
  </si>
  <si>
    <t xml:space="preserve">    '    "United Kingdom" (or, as of v0.23, "UK") becomes "GB". If skipped,</t>
  </si>
  <si>
    <t xml:space="preserve">    '    Country just keeps showing whatever was typed and the hidden helper</t>
  </si>
  <si>
    <t xml:space="preserve">    '    column (N) still resolves the correct code for SAP and all</t>
  </si>
  <si>
    <t xml:space="preserve">    '    validation checks.</t>
  </si>
  <si>
    <t xml:space="preserve">    ' 2) ADDRESS CLEANUP: whenever Address Line 1/2/3 (G/H/I) changes for a</t>
  </si>
  <si>
    <t xml:space="preserve">    '    row (or Country changes after an address was already entered), the</t>
  </si>
  <si>
    <t xml:space="preserve">    '    address text is automatically: (a) checked for a full country name,</t>
  </si>
  <si>
    <t xml:space="preserve">    '    which - as of v0.10 - is written INTO the Country field itself if</t>
  </si>
  <si>
    <t xml:space="preserve">    '    Country is currently blank (previously this only decluttered the</t>
  </si>
  <si>
    <t xml:space="preserve">    '    address text and never touched Country - see the v0.10 notes below</t>
  </si>
  <si>
    <t xml:space="preserve">    '    for exactly how this works, including the multi-country case);</t>
  </si>
  <si>
    <t xml:space="preserve">    '    (b) checked for a postcode matching the (possibly just-resolved)</t>
  </si>
  <si>
    <t xml:space="preserve">    '    country's known format and moved into the Postcode field if it's</t>
  </si>
  <si>
    <t xml:space="preserve">    '    blank; (c) as of v0.10, checked for a Town using a cautious</t>
  </si>
  <si>
    <t xml:space="preserve">    '    comma-based heuristic (see ExtractTown) and moved into the Town</t>
  </si>
  <si>
    <t xml:space="preserve">    '    field if Town is blank and the guess looks safe; (d) shortened</t>
  </si>
  <si>
    <t xml:space="preserve">    '    using standard postal abbreviations; and (e) re-packed to fill</t>
  </si>
  <si>
    <t xml:space="preserve">    '    Address Line 1 and 2 first, only spilling into Line 3 if it</t>
  </si>
  <si>
    <t xml:space="preserve">    '    doesn't fit - since Line 3 sometimes isn't printed on hampers. If</t>
  </si>
  <si>
    <t xml:space="preserve">    '    the shortened address fits entirely on Line 1, Line 2/3 are</t>
  </si>
  <si>
    <t xml:space="preserve">    '    correctly left blank - that is the intended result, not a sign</t>
  </si>
  <si>
    <t xml:space="preserve">    '    that something is missing. Anything uncertain (a mismatch, an</t>
  </si>
  <si>
    <t xml:space="preserve">    '    ambiguous multi-country mention, or text that still doesn't fit</t>
  </si>
  <si>
    <t xml:space="preserve">    '    after cleanup) is written as a note that shows up in the existing</t>
  </si>
  <si>
    <t xml:space="preserve">    '    Staff Review Notes column, not silently dropped. The address</t>
  </si>
  <si>
    <t xml:space="preserve">    '    exactly as it stood just before each cleanup pass is always saved</t>
  </si>
  <si>
    <t xml:space="preserve">    '    to a hidden backup column first, so nothing is ever unrecoverable</t>
  </si>
  <si>
    <t xml:space="preserve">    '    if a row looks wrong.</t>
  </si>
  <si>
    <t xml:space="preserve">    '    County extraction is a placeholder - it is wired in but does</t>
  </si>
  <si>
    <t xml:space="preserve">    '    nothing yet, pending the county reference list. (As of v0.12, real</t>
  </si>
  <si>
    <t xml:space="preserve">    '    extraction runs - see HandleCountyExtraction/ExtractCounty. This</t>
  </si>
  <si>
    <t xml:space="preserve">    '    paragraph is left as-is for the v0.7 history it originally</t>
  </si>
  <si>
    <t xml:space="preserve">    '    described.)</t>
  </si>
  <si>
    <t xml:space="preserve">    ' 3) COUNTY LIVE-CLEAN (v0.23, NEW): whenever County (K) itself is typed</t>
  </si>
  <si>
    <t xml:space="preserve">    '    or pasted into directly, a leading "Co."/"Co"/"County" marker is</t>
  </si>
  <si>
    <t xml:space="preserve">    '    stripped from that SAME cell immediately - e.g. "Co. Dublin" or</t>
  </si>
  <si>
    <t xml:space="preserve">    '    "County Cork" becomes just "Dublin"/"Cork". This works for ANY</t>
  </si>
  <si>
    <t xml:space="preserve">    '    county name, not just ones in the PRODUCT DATA reference list (see</t>
  </si>
  <si>
    <t xml:space="preserve">    '    StripCountyPrefix) - unlike ExtractCounty above, which is</t>
  </si>
  <si>
    <t xml:space="preserve">    '    country-scoped and marker-required for its own different job</t>
  </si>
  <si>
    <t xml:space="preserve">    '    (pulling a county mention OUT of pasted address text). If skipped,</t>
  </si>
  <si>
    <t xml:space="preserve">    '    County keeps showing whatever was typed, and the hidden "County -</t>
  </si>
  <si>
    <t xml:space="preserve">    '    Cleaned" helper column (AF) still strips the prefix for SAP and all</t>
  </si>
  <si>
    <t xml:space="preserve">    '    downstream use, exactly the same relationship as Country/N above.</t>
  </si>
  <si>
    <t xml:space="preserve">    ' 4) ITEM CODE UK-VARIANT SWITCH (v0.23, NEW): for the ~20 alcohol</t>
  </si>
  <si>
    <t xml:space="preserve">    '    hampers that have a UK-specific SAP code (e.g. GF849H's UK code is</t>
  </si>
  <si>
    <t xml:space="preserve">    '    GF849HUK - see the Key (SKU|Country) table on PRODUCT DATA, columns</t>
  </si>
  <si>
    <t xml:space="preserve">    '    NO:NP), you can now type EITHER form into Item Code (A) directly,</t>
  </si>
  <si>
    <t xml:space="preserve">    '    and this SAME cell keeps itself showing whichever form is actually</t>
  </si>
  <si>
    <t xml:space="preserve">    '    correct for the destination as Country/Postcode change:</t>
  </si>
  <si>
    <t xml:space="preserve">    '      - Country resolves to GB and Postcode is NOT Northern Ireland</t>
  </si>
  <si>
    <t xml:space="preserve">    '        (doesn't start with "BT") -&gt; shows the UK-suffixed code.</t>
  </si>
  <si>
    <t xml:space="preserve">    '      - Country resolves to GB AND Postcode IS Northern Ireland (a "BT"</t>
  </si>
  <si>
    <t xml:space="preserve">    '        postcode) -&gt; shows the ordinary code - Northern Ireland never</t>
  </si>
  <si>
    <t xml:space="preserve">    '        uses the UK-suffixed SAP code, even though it selects Country =</t>
  </si>
  <si>
    <t xml:space="preserve">    '        United Kingdom, per the Alcohol Hampers to the UK - Notes for</t>
  </si>
  <si>
    <t xml:space="preserve">    '        Team Use reference.</t>
  </si>
  <si>
    <t xml:space="preserve">    '      - Any other Country -&gt; shows the ordinary code (the UK-suffixed</t>
  </si>
  <si>
    <t xml:space="preserve">    '        code is only ever valid for a GB destination).</t>
  </si>
  <si>
    <t xml:space="preserve">    '    Every other Item Code (anything without a UK-specific SAP code) is</t>
  </si>
  <si>
    <t xml:space="preserve">    '    left completely untouched. If skipped, Item Code keeps showing</t>
  </si>
  <si>
    <t xml:space="preserve">    '    whatever form was typed, and the hidden "Item Code - Normalised"</t>
  </si>
  <si>
    <t xml:space="preserve">    '    helper column (AG) plus the SAP COPY PASTE formulas already resolve</t>
  </si>
  <si>
    <t xml:space="preserve">    '    the correct SAP code either way - this feature is purely cosmetic,</t>
  </si>
  <si>
    <t xml:space="preserve">    '    same as the other three.</t>
  </si>
  <si>
    <t xml:space="preserve">    ' 5) PASTE-SAFE FORMATTING (v0.24, NEW): every column this workbook</t>
  </si>
  <si>
    <t xml:space="preserve">    '    manages the colour of (every input column, plus the auto-calculated</t>
  </si>
  <si>
    <t xml:space="preserve">    '    ones) gets its correct colour and border put back immediately after</t>
  </si>
  <si>
    <t xml:space="preserve">    '    ANY change to it, typed OR pasted - see RestorePastedFormattingBulk</t>
  </si>
  <si>
    <t xml:space="preserve">    '    and StandardCellFillRGB. Before this, that protection only covered</t>
  </si>
  <si>
    <t xml:space="preserve">    '    the specific cells the other features above already rewrite</t>
  </si>
  <si>
    <t xml:space="preserve">    '    (Country/County/Item Code); pasting into anything else (Recipient</t>
  </si>
  <si>
    <t xml:space="preserve">    '    Name, Gift Message, Quantity, an old order copied from another</t>
  </si>
  <si>
    <t xml:space="preserve">    '    file, etc.) could leave the wrong colour showing even though the</t>
  </si>
  <si>
    <t xml:space="preserve">    '    value itself pasted in fine. If skipped, a paste's own formatting</t>
  </si>
  <si>
    <t xml:space="preserve">    '    can still show through on cells this macro doesn't otherwise touch -</t>
  </si>
  <si>
    <t xml:space="preserve">    '    purely cosmetic either way, the values and every formula are</t>
  </si>
  <si>
    <t xml:space="preserve">    '    unaffected.</t>
  </si>
  <si>
    <t xml:space="preserve">    ' 6) DUBLIN EIRCODE COUNTY AUTO-MATCH (v1.0, NEW): whenever Postcode (L)</t>
  </si>
  <si>
    <t xml:space="preserve">    '    or Country (M) changes for a row and Country resolves to Ireland</t>
  </si>
  <si>
    <t xml:space="preserve">    '    (IE), County (K) is auto-filled from the EIRCODE ROUTING KEY itself</t>
  </si>
  <si>
    <t xml:space="preserve">    '    (the postcode's first 3 characters) if County is currently blank -</t>
  </si>
  <si>
    <t xml:space="preserve">    '    see HandleDublinEircodeCounty. This is independent of, and runs in</t>
  </si>
  <si>
    <t xml:space="preserve">    '    addition to, the existing address-text-based county extraction</t>
  </si>
  <si>
    <t xml:space="preserve">    '    (feature 2/HandleCountyExtraction above, which only ever fires on an</t>
  </si>
  <si>
    <t xml:space="preserve">    '    explicit "Co. Dublin"/"County Dublin" wording inside a pasted</t>
  </si>
  <si>
    <t xml:space="preserve">    '    address): this feature instead recognises the Eircode itself, with</t>
  </si>
  <si>
    <t xml:space="preserve">    '    no address-text wording needed at all. A routing key of "D" followed</t>
  </si>
  <si>
    <t xml:space="preserve">    '    by exactly two digits maps to that numbered Dublin postal district</t>
  </si>
  <si>
    <t xml:space="preserve">    '    (leading zero stripped - e.g. "D04 K7X4" -&gt; County "Dublin 4"),</t>
  </si>
  <si>
    <t xml:space="preserve">    '    restricted to the valid range 1-24 excluding 19 and 23 (neither is a</t>
  </si>
  <si>
    <t xml:space="preserve">    '    real Dublin district); the routing key "D6W" is its own separate</t>
  </si>
  <si>
    <t xml:space="preserve">    '    district and maps to "Dublin 6W" specifically, never to "Dublin 6".</t>
  </si>
  <si>
    <t xml:space="preserve">    '    Any other "D"-prefixed routing key (a non-Dublin county whose</t>
  </si>
  <si>
    <t xml:space="preserve">    '    routing key happens to start with D, or an out-of-range/invalid</t>
  </si>
  <si>
    <t xml:space="preserve">    '    number) is left alone - County stays blank for manual entry, same as</t>
  </si>
  <si>
    <t xml:space="preserve">    '    if this feature weren't installed. If skipped entirely, County</t>
  </si>
  <si>
    <t xml:space="preserve">    '    simply isn't auto-filled from the Eircode - nothing else on the</t>
  </si>
  <si>
    <t xml:space="preserve">    '    sheet depends on this feature having run.</t>
  </si>
  <si>
    <t xml:space="preserve">    ' v0.10 changes (Country and Town auto-fill, at the user's request after</t>
  </si>
  <si>
    <t xml:space="preserve">    ' testing v0.9 - this REVERSES the earlier v0.7-v0.9 design, which</t>
  </si>
  <si>
    <t xml:space="preserve">    ' deliberately never wrote either field from the address text):</t>
  </si>
  <si>
    <t xml:space="preserve">    '  - COUNTRY: see ExtractCountryMention and the country-handling block in</t>
  </si>
  <si>
    <t xml:space="preserve">    '    HandleAddressCleanup below. If Country is blank and exactly one</t>
  </si>
  <si>
    <t xml:space="preserve">    '    country name is found in the address text, it's resolved to its</t>
  </si>
  <si>
    <t xml:space="preserve">    '    code and written into Country. If MORE than one distinct country is</t>
  </si>
  <si>
    <t xml:space="preserve">    '    mentioned (e.g. "..., via Dublin, Ireland" alongside an earlier</t>
  </si>
  <si>
    <t xml:space="preserve">    '    "France"), the FIRST one mentioned (left to right in the pasted</t>
  </si>
  <si>
    <t xml:space="preserve">    '    text) is used, assumed to be the real final destination, and the</t>
  </si>
  <si>
    <t xml:space="preserve">    '    row is ALWAYS flagged in Staff Review Notes so a person confirms</t>
  </si>
  <si>
    <t xml:space="preserve">    '    the guess either way. Because this now runs BEFORE Postcode</t>
  </si>
  <si>
    <t xml:space="preserve">    '    extraction (previously the other way round), a country found only</t>
  </si>
  <si>
    <t xml:space="preserve">    '    in the pasted text still gets its Postcode pattern recognised in</t>
  </si>
  <si>
    <t xml:space="preserve">    '    the same pass.</t>
  </si>
  <si>
    <t xml:space="preserve">    '  - TOWN: see ExtractTown below. There's no reference list for town</t>
  </si>
  <si>
    <t xml:space="preserve">    '    names (unlike Country/Postcode), so this is a heuristic: after</t>
  </si>
  <si>
    <t xml:space="preserve">    '    Postcode/Country are removed, if what's left splits into 2+</t>
  </si>
  <si>
    <t xml:space="preserve">    '    comma-separated segments, the LAST one is used as Town, but ONLY</t>
  </si>
  <si>
    <t xml:space="preserve">    '    if it contains no digit and no known street-type word (see</t>
  </si>
  <si>
    <t xml:space="preserve">    '    IsStreetLikeWord). A single blob with no commas at all has no</t>
  </si>
  <si>
    <t xml:space="preserve">    '    reliable boundary, so Town is correctly left blank for manual</t>
  </si>
  <si>
    <t xml:space="preserve">    '    entry in that case, same as v0.7-v0.9 always did.</t>
  </si>
  <si>
    <t xml:space="preserve">    ' v0.8 fixes (both were blocking real use, now fixed):</t>
  </si>
  <si>
    <t xml:space="preserve">    '  - The workbook's own native "too long" popup used to sit on Address</t>
  </si>
  <si>
    <t xml:space="preserve">    '    Line 1/2/3 and rejected a long address (typed OR pasted) before this</t>
  </si>
  <si>
    <t xml:space="preserve">    '    macro ever got a chance to run and shorten it. That popup has been</t>
  </si>
  <si>
    <t xml:space="preserve">    '    removed for those 3 fields specifically - see RestoreInputFormat</t>
  </si>
  <si>
    <t xml:space="preserve">    '    below and the Row Status / Error Details columns, which still catch</t>
  </si>
  <si>
    <t xml:space="preserve">    '    anything genuinely too long afterwards.</t>
  </si>
  <si>
    <t xml:space="preserve">    '  - A Ctrl+V paste carries the SOURCE cell's own formatting along with</t>
  </si>
  <si>
    <t xml:space="preserve">    '    the value, which could leave a pasted-into address cell with a</t>
  </si>
  <si>
    <t xml:space="preserve">    '    white background instead of the workbook's yellow input-cell</t>
  </si>
  <si>
    <t xml:space="preserve">    '    colour. Every cell this macro writes to now has its colour and</t>
  </si>
  <si>
    <t xml:space="preserve">    '    border explicitly restored afterwards (RestoreInputFormat), so a</t>
  </si>
  <si>
    <t xml:space="preserve">    '    formatted paste can no longer leave a cell looking broken.</t>
  </si>
  <si>
    <t xml:space="preserve">    ' v0.9 fix: commas in the address text are now stripped before any other</t>
  </si>
  <si>
    <t xml:space="preserve">    '    processing (replaced with a space, not deleted, so "Street,Business"</t>
  </si>
  <si>
    <t xml:space="preserve">    '    still splits into two words). Previously a word that got abbreviated</t>
  </si>
  <si>
    <t xml:space="preserve">    '    lost its trailing comma entirely (the whole word is replaced by the</t>
  </si>
  <si>
    <t xml:space="preserve">    '    short form) while an unabbreviated word kept its comma, producing an</t>
  </si>
  <si>
    <t xml:space="preserve">    '    inconsistent result like "Business Park, Dublin" -&gt; "Bus Pk Dublin,"</t>
  </si>
  <si>
    <t xml:space="preserve">    '    (a dangling comma with nothing after it). Periods are untouched,</t>
  </si>
  <si>
    <t xml:space="preserve">    '    since abbreviations like "U." and "No." rely on them. NOTE: as of</t>
  </si>
  <si>
    <t xml:space="preserve">    '    v0.10, commas are kept slightly longer than this originally</t>
  </si>
  <si>
    <t xml:space="preserve">    '    described - long enough for Town extraction to use them as segment</t>
  </si>
  <si>
    <t xml:space="preserve">    '    boundaries - and are stripped afterwards instead; the end result</t>
  </si>
  <si>
    <t xml:space="preserve">    '    (no dangling commas in the final address lines) is unchanged.</t>
  </si>
  <si>
    <t xml:space="preserve">    Const ITEM_COL As Long = 1        ' column A</t>
  </si>
  <si>
    <t xml:space="preserve">    Const COUNTRY_COL As Long = 13    ' column M</t>
  </si>
  <si>
    <t xml:space="preserve">    Const COUNTY_COL As Long = 11     ' column K</t>
  </si>
  <si>
    <t xml:space="preserve">    Const POSTCODE_COL As Long = 12   ' column L</t>
  </si>
  <si>
    <t xml:space="preserve">    Const ADDR1_COL As Long = 7       ' column G</t>
  </si>
  <si>
    <t xml:space="preserve">    Const ADDR2_COL As Long = 8       ' column H</t>
  </si>
  <si>
    <t xml:space="preserve">    Const ADDR3_COL As Long = 9       ' column I</t>
  </si>
  <si>
    <t xml:space="preserve">    Const AUTOFILL_TRACKER_COL As Long = 30   ' column AD (v1.3, NEW - see HandleDublinEircodeCounty)</t>
  </si>
  <si>
    <t xml:space="preserve">    Const FIRST_DATA_ROW As Long = 6</t>
  </si>
  <si>
    <t xml:space="preserve">    Const LAST_DATA_ROW As Long = 355</t>
  </si>
  <si>
    <t xml:space="preserve">    ' v1.2 fix: was 7/356 - the sheet's original row 1 (a standalone "CORP</t>
  </si>
  <si>
    <t xml:space="preserve">    ' order form" title row) was deleted, shifting the header row from 6-&gt;5</t>
  </si>
  <si>
    <t xml:space="preserve">    ' and every data row up by one (7-356 -&gt; 6-355). VBA constants don't</t>
  </si>
  <si>
    <t xml:space="preserve">    ' auto-adjust the way worksheet formulas do when a row is deleted, so</t>
  </si>
  <si>
    <t xml:space="preserve">    ' this has to be updated by hand to match - otherwise every feature in</t>
  </si>
  <si>
    <t xml:space="preserve">    ' this macro silently watches/processes the wrong row for every single</t>
  </si>
  <si>
    <t xml:space="preserve">    ' row on the sheet.</t>
  </si>
  <si>
    <t xml:space="preserve">    ' v0.20 fix: this was hardcoded to 106, left over from before v0.18</t>
  </si>
  <si>
    <t xml:space="preserve">    ' extended CORP order form from 100 rows to 350 (7-356).</t>
  </si>
  <si>
    <t xml:space="preserve">    ' With the old value, this entire macro - the Country same-cell</t>
  </si>
  <si>
    <t xml:space="preserve">    ' code-switch AND the address cleanup feature - silently did nothing on</t>
  </si>
  <si>
    <t xml:space="preserve">    ' every row past 106, which became most of the sheet once it was</t>
  </si>
  <si>
    <t xml:space="preserve">    ' extended. Now covers the full 7-356 range. See RULES &amp; VERSION NOTES.</t>
  </si>
  <si>
    <t xml:space="preserve">    Dim watchedCols As Range</t>
  </si>
  <si>
    <t xml:space="preserve">    Dim overlap As Range</t>
  </si>
  <si>
    <t xml:space="preserve">    Dim countryOverlap As Range</t>
  </si>
  <si>
    <t xml:space="preserve">    Dim countyOverlap As Range</t>
  </si>
  <si>
    <t xml:space="preserve">    Dim itemOverlap As Range</t>
  </si>
  <si>
    <t xml:space="preserve">    Dim postcodeOverlap As Range</t>
  </si>
  <si>
    <t xml:space="preserve">    Dim addrOverlap As Range</t>
  </si>
  <si>
    <t xml:space="preserve">    Dim cell As Range</t>
  </si>
  <si>
    <t xml:space="preserve">    Dim raw As String</t>
  </si>
  <si>
    <t xml:space="preserve">    Dim resolved As String</t>
  </si>
  <si>
    <t xml:space="preserve">    Dim cleaned As String</t>
  </si>
  <si>
    <t xml:space="preserve">    Dim touched(FIRST_DATA_ROW To LAST_DATA_ROW) As Boolean</t>
  </si>
  <si>
    <t xml:space="preserve">    Dim addrTouched(FIRST_DATA_ROW To LAST_DATA_ROW) As Boolean</t>
  </si>
  <si>
    <t xml:space="preserve">    Dim r As Long</t>
  </si>
  <si>
    <t xml:space="preserve">    ' v0.24: widened to the FULL managed range (A:AE) rather than just the</t>
  </si>
  <si>
    <t xml:space="preserve">    ' columns Country/County/Item Code/Postcode/Address care about, so the</t>
  </si>
  <si>
    <t xml:space="preserve">    ' new paste-safe formatting pass below (feature 5) still runs for every</t>
  </si>
  <si>
    <t xml:space="preserve">    ' OTHER input column too (Recipient Name, Gift Message, Quantity, etc.) -</t>
  </si>
  <si>
    <t xml:space="preserve">    ' this early-exit used to skip this whole Sub for those columns, back</t>
  </si>
  <si>
    <t xml:space="preserve">    ' when nothing below needed to look at them.</t>
  </si>
  <si>
    <t xml:space="preserve">    Set watchedCols = Me.Range(Me.Cells(FIRST_DATA_ROW, 1), Me.Cells(LAST_DATA_ROW, 30))   ' A:AD (v1.3: widened from A:AA to include the new County Auto-Fill Tracker helper, column AD - see feature 6/HandleDublinEircodeCounty)</t>
  </si>
  <si>
    <t xml:space="preserve">    Set overlap = Application.Intersect(Target, watchedCols)</t>
  </si>
  <si>
    <t xml:space="preserve">    If overlap Is Nothing Then Exit Sub</t>
  </si>
  <si>
    <t xml:space="preserve">    On Error GoTo CleanExit</t>
  </si>
  <si>
    <t xml:space="preserve">    Application.EnableEvents = False</t>
  </si>
  <si>
    <t xml:space="preserve">    ' --- Pass 0 (v0.24, NEW): put back every touched column's correct</t>
  </si>
  <si>
    <t xml:space="preserve">    ' colour immediately - see RestorePastedFormattingBulk and feature 5 in</t>
  </si>
  <si>
    <t xml:space="preserve">    ' the comment block above. Runs first, before anything below, so the</t>
  </si>
  <si>
    <t xml:space="preserve">    ' rest of this Sub always sees an already-correctly-coloured sheet</t>
  </si>
  <si>
    <t xml:space="preserve">    ' (and can still layer its own RestoreInputFormat call on top for a cell</t>
  </si>
  <si>
    <t xml:space="preserve">    ' it rewrites as a side effect, e.g. Address Cleanup filling in Town). ---</t>
  </si>
  <si>
    <t xml:space="preserve">    RestorePastedFormattingBulk Target</t>
  </si>
  <si>
    <t xml:space="preserve">    ' --- Pass 1: resolve Country -&gt; Country Code in place for any changed Country cell ---</t>
  </si>
  <si>
    <t xml:space="preserve">    Set countryOverlap = Application.Intersect(Target, _</t>
  </si>
  <si>
    <t xml:space="preserve">        Me.Range(Me.Cells(FIRST_DATA_ROW, COUNTRY_COL), Me.Cells(LAST_DATA_ROW, COUNTRY_COL)))</t>
  </si>
  <si>
    <t xml:space="preserve">    If Not countryOverlap Is Nothing Then</t>
  </si>
  <si>
    <t xml:space="preserve">        For Each cell In countryOverlap.Cells</t>
  </si>
  <si>
    <t xml:space="preserve">            raw = Trim$(CStr(cell.Value))</t>
  </si>
  <si>
    <t xml:space="preserve">            If Len(raw) &gt; 0 Then</t>
  </si>
  <si>
    <t xml:space="preserve">                resolved = ResolveCountryCode(raw)</t>
  </si>
  <si>
    <t xml:space="preserve">                If Len(resolved) &gt; 0 Then</t>
  </si>
  <si>
    <t xml:space="preserve">                    If cell.Value &lt;&gt; resolved Then cell.Value = resolved</t>
  </si>
  <si>
    <t xml:space="preserve">                End If</t>
  </si>
  <si>
    <t xml:space="preserve">                RestoreInputFormat cell   ' v0.8: undo any formatting a paste brought with it</t>
  </si>
  <si>
    <t xml:space="preserve">            End If</t>
  </si>
  <si>
    <t xml:space="preserve">            touched(cell.Row) = True</t>
  </si>
  <si>
    <t xml:space="preserve">        Next cell</t>
  </si>
  <si>
    <t xml:space="preserve">    End If</t>
  </si>
  <si>
    <t xml:space="preserve">    ' --- Pass 1b (v0.23, NEW): strip a leading "Co."/"County" marker in place</t>
  </si>
  <si>
    <t xml:space="preserve">    ' for any changed County cell - see StripCountyPrefix and feature 3 in the</t>
  </si>
  <si>
    <t xml:space="preserve">    ' comment block above. Independent of ExtractCounty/HandleCountyExtraction,</t>
  </si>
  <si>
    <t xml:space="preserve">    ' which only ever fills County FROM address text when it's currently blank</t>
  </si>
  <si>
    <t xml:space="preserve">    ' - this handles County being typed/pasted into directly instead. ---</t>
  </si>
  <si>
    <t xml:space="preserve">    Set countyOverlap = Application.Intersect(Target, _</t>
  </si>
  <si>
    <t xml:space="preserve">        Me.Range(Me.Cells(FIRST_DATA_ROW, COUNTY_COL), Me.Cells(LAST_DATA_ROW, COUNTY_COL)))</t>
  </si>
  <si>
    <t xml:space="preserve">    If Not countyOverlap Is Nothing Then</t>
  </si>
  <si>
    <t xml:space="preserve">        For Each cell In countyOverlap.Cells</t>
  </si>
  <si>
    <t xml:space="preserve">                cleaned = StripCountyPrefix(raw)</t>
  </si>
  <si>
    <t xml:space="preserve">                If cell.Value &lt;&gt; cleaned Then cell.Value = cleaned</t>
  </si>
  <si>
    <t xml:space="preserve">                RestoreInputFormat cell</t>
  </si>
  <si>
    <t xml:space="preserve">            ' v1.3, NEW: County was just typed/pasted into DIRECTLY (even if</t>
  </si>
  <si>
    <t xml:space="preserve">            ' that clears it back to blank) - treat this as a deliberate</t>
  </si>
  <si>
    <t xml:space="preserve">            ' manual action from now on, so HandleDublinEircodeCounty (Pass</t>
  </si>
  <si>
    <t xml:space="preserve">            ' 3.5 below) never overwrites it again on a later Postcode</t>
  </si>
  <si>
    <t xml:space="preserve">            ' change. See the matching v1.3 note on HandleDublinEircodeCounty</t>
  </si>
  <si>
    <t xml:space="preserve">            ' itself for the other half of this fix.</t>
  </si>
  <si>
    <t xml:space="preserve">            On Error Resume Next</t>
  </si>
  <si>
    <t xml:space="preserve">            Me.Cells(cell.Row, AUTOFILL_TRACKER_COL).Value = ""</t>
  </si>
  <si>
    <t xml:space="preserve">            On Error GoTo 0</t>
  </si>
  <si>
    <t xml:space="preserve">    ' --- Pass 1c (v0.23, NEW): mark rows where Item Code or Postcode changed,</t>
  </si>
  <si>
    <t xml:space="preserve">    ' so the UK-variant switch (Pass 4 below) re-evaluates them too. ---</t>
  </si>
  <si>
    <t xml:space="preserve">    Set itemOverlap = Application.Intersect(Target, _</t>
  </si>
  <si>
    <t xml:space="preserve">        Me.Range(Me.Cells(FIRST_DATA_ROW, ITEM_COL), Me.Cells(LAST_DATA_ROW, ITEM_COL)))</t>
  </si>
  <si>
    <t xml:space="preserve">    If Not itemOverlap Is Nothing Then</t>
  </si>
  <si>
    <t xml:space="preserve">        For Each cell In itemOverlap.Cells</t>
  </si>
  <si>
    <t xml:space="preserve">    Set postcodeOverlap = Application.Intersect(Target, _</t>
  </si>
  <si>
    <t xml:space="preserve">        Me.Range(Me.Cells(FIRST_DATA_ROW, POSTCODE_COL), Me.Cells(LAST_DATA_ROW, POSTCODE_COL)))</t>
  </si>
  <si>
    <t xml:space="preserve">    If Not postcodeOverlap Is Nothing Then</t>
  </si>
  <si>
    <t xml:space="preserve">        For Each cell In postcodeOverlap.Cells</t>
  </si>
  <si>
    <t xml:space="preserve">    ' --- Pass 2: mark every row where an address line changed ---</t>
  </si>
  <si>
    <t xml:space="preserve">    Set addrOverlap = Application.Intersect(Target, _</t>
  </si>
  <si>
    <t xml:space="preserve">        Me.Range(Me.Cells(FIRST_DATA_ROW, ADDR1_COL), Me.Cells(LAST_DATA_ROW, ADDR3_COL)))</t>
  </si>
  <si>
    <t xml:space="preserve">    If Not addrOverlap Is Nothing Then</t>
  </si>
  <si>
    <t xml:space="preserve">        For Each cell In addrOverlap.Cells</t>
  </si>
  <si>
    <t xml:space="preserve">            addrTouched(cell.Row) = True   ' v0.14: remember it was the ADDRESS itself that</t>
  </si>
  <si>
    <t xml:space="preserve">                                            ' changed this time, not just Country - see the</t>
  </si>
  <si>
    <t xml:space="preserve">                                            ' isAddressTrigger note in HandleAddressCleanup</t>
  </si>
  <si>
    <t xml:space="preserve">    ' --- Pass 3: run address cleanup for every touched row that has address text ---</t>
  </si>
  <si>
    <t xml:space="preserve">    ' (covers both "address just changed" and "country just changed after the address</t>
  </si>
  <si>
    <t xml:space="preserve">    ' was already filled in", so postcode detection works whichever order was used)</t>
  </si>
  <si>
    <t xml:space="preserve">    For r = FIRST_DATA_ROW To LAST_DATA_ROW</t>
  </si>
  <si>
    <t xml:space="preserve">        If touched(r) Then</t>
  </si>
  <si>
    <t xml:space="preserve">            If Len(Trim$(CStr(Me.Cells(r, ADDR1_COL).Value))) &gt; 0 _</t>
  </si>
  <si>
    <t xml:space="preserve">               Or Len(Trim$(CStr(Me.Cells(r, ADDR2_COL).Value))) &gt; 0 _</t>
  </si>
  <si>
    <t xml:space="preserve">               Or Len(Trim$(CStr(Me.Cells(r, ADDR3_COL).Value))) &gt; 0 Then</t>
  </si>
  <si>
    <t xml:space="preserve">                HandleAddressCleanup r, addrTouched(r)</t>
  </si>
  <si>
    <t xml:space="preserve">        End If</t>
  </si>
  <si>
    <t xml:space="preserve">    Next r</t>
  </si>
  <si>
    <t xml:space="preserve">    ' --- Pass 3.5 (v1.0, NEW): auto-fill County from a Dublin Eircode routing</t>
  </si>
  <si>
    <t xml:space="preserve">    ' key for every touched row - runs after Pass 3 so it sees any Postcode</t>
  </si>
  <si>
    <t xml:space="preserve">    ' that address cleanup may have just extracted from pasted address text</t>
  </si>
  <si>
    <t xml:space="preserve">    ' this same event, same as Pass 4 below. See HandleDublinEircodeCounty</t>
  </si>
  <si>
    <t xml:space="preserve">    ' and feature 6 in the comment block above. ---</t>
  </si>
  <si>
    <t xml:space="preserve">        If touched(r) Then HandleDublinEircodeCounty r</t>
  </si>
  <si>
    <t xml:space="preserve">    ' --- Pass 4 (v0.23, NEW): keep Item Code showing the right UK-variant</t>
  </si>
  <si>
    <t xml:space="preserve">    ' form for every touched row - runs last so it sees this event's FINAL</t>
  </si>
  <si>
    <t xml:space="preserve">    ' Country/Postcode (including anything Pass 3 just auto-filled). See</t>
  </si>
  <si>
    <t xml:space="preserve">    ' HandleItemCodeUKVariant and feature 4 in the comment block above. ---</t>
  </si>
  <si>
    <t xml:space="preserve">        If touched(r) Then HandleItemCodeUKVariant r</t>
  </si>
  <si>
    <t>CleanExit:</t>
  </si>
  <si>
    <t xml:space="preserve">    Application.EnableEvents = True</t>
  </si>
  <si>
    <t>End Sub</t>
  </si>
  <si>
    <t>Private Function ResolveCountryCode(ByVal raw As String) As String</t>
  </si>
  <si>
    <t xml:space="preserve">    ' Looks raw up against the PRODUCT DATA country table (col A = full name,</t>
  </si>
  <si>
    <t xml:space="preserve">    ' col B = 2-letter code). Matches case-insensitively either way and</t>
  </si>
  <si>
    <t xml:space="preserve">    ' always returns the code in its correctly-stored case. Returns "" if</t>
  </si>
  <si>
    <t xml:space="preserve">    ' raw does not match any known country name or code.</t>
  </si>
  <si>
    <t xml:space="preserve">    ' v0.23: "UK" typed on its own is accepted as a plain alias for "United</t>
  </si>
  <si>
    <t xml:space="preserve">    ' Kingdom"/"GB" - mirrors the identical fix already made to the Row</t>
  </si>
  <si>
    <t xml:space="preserve">    ' Status/SAP formulas on CORP order form (see RULES &amp;</t>
  </si>
  <si>
    <t xml:space="preserve">    ' VERSION NOTES). Handled as a literal special case here, rather than by</t>
  </si>
  <si>
    <t xml:space="preserve">    ' adding "UK" as a real row to PRODUCT DATA's country table, so it can't</t>
  </si>
  <si>
    <t xml:space="preserve">    ' affect the Country dropdown list or CountryNameForCode's reverse</t>
  </si>
  <si>
    <t xml:space="preserve">    ' lookup (which must keep returning the one canonical "United Kingdom").</t>
  </si>
  <si>
    <t xml:space="preserve">    Dim pd As Worksheet</t>
  </si>
  <si>
    <t xml:space="preserve">    Dim lastRow As Long</t>
  </si>
  <si>
    <t xml:space="preserve">    Dim i As Long</t>
  </si>
  <si>
    <t xml:space="preserve">    If StrComp(Trim$(raw), "UK", vbTextCompare) = 0 Then</t>
  </si>
  <si>
    <t xml:space="preserve">        ResolveCountryCode = "GB"</t>
  </si>
  <si>
    <t xml:space="preserve">        Exit Function</t>
  </si>
  <si>
    <t xml:space="preserve">    On Error Resume Next</t>
  </si>
  <si>
    <t xml:space="preserve">    Set pd = ThisWorkbook.Worksheets("PRODUCT DATA")</t>
  </si>
  <si>
    <t xml:space="preserve">    On Error GoTo 0</t>
  </si>
  <si>
    <t xml:space="preserve">    If pd Is Nothing Then Exit Function</t>
  </si>
  <si>
    <t xml:space="preserve">    lastRow = pd.Cells(pd.Rows.Count, "A").End(xlUp).Row</t>
  </si>
  <si>
    <t xml:space="preserve">    For i = 2 To lastRow</t>
  </si>
  <si>
    <t xml:space="preserve">        If StrComp(Trim$(CStr(pd.Cells(i, 1).Value)), raw, vbTextCompare) = 0 Then</t>
  </si>
  <si>
    <t xml:space="preserve">            ResolveCountryCode = CStr(pd.Cells(i, 2).Value)     ' matched full name -&gt; code</t>
  </si>
  <si>
    <t xml:space="preserve">            Exit Function</t>
  </si>
  <si>
    <t xml:space="preserve">        ElseIf StrComp(Trim$(CStr(pd.Cells(i, 2).Value)), raw, vbTextCompare) = 0 Then</t>
  </si>
  <si>
    <t xml:space="preserve">            ResolveCountryCode = CStr(pd.Cells(i, 2).Value)     ' already a code -&gt; canonical case</t>
  </si>
  <si>
    <t xml:space="preserve">    Next i</t>
  </si>
  <si>
    <t xml:space="preserve">    ResolveCountryCode = ""   ' not recognised - leave as typed; formula checks will flag it</t>
  </si>
  <si>
    <t>End Function</t>
  </si>
  <si>
    <t>Private Function CountryNameForCode(ByVal code As String) As String</t>
  </si>
  <si>
    <t xml:space="preserve">    ' Reverse lookup of ResolveCountryCode - given a 2-letter code, returns</t>
  </si>
  <si>
    <t xml:space="preserve">    ' the country's full name, or "" if code is blank/not found.</t>
  </si>
  <si>
    <t xml:space="preserve">    If Len(code) = 0 Then Exit Function</t>
  </si>
  <si>
    <t xml:space="preserve">        If StrComp(Trim$(CStr(pd.Cells(i, 2).Value)), code, vbTextCompare) = 0 Then</t>
  </si>
  <si>
    <t xml:space="preserve">            CountryNameForCode = CStr(pd.Cells(i, 1).Value)</t>
  </si>
  <si>
    <t xml:space="preserve">    CountryNameForCode = ""</t>
  </si>
  <si>
    <t>Private Function StripCountyPrefix(ByVal raw As String) As String</t>
  </si>
  <si>
    <t xml:space="preserve">    ' v0.23, NEW (feature 3). Strips a leading "Co."/"Co"/"County" marker</t>
  </si>
  <si>
    <t xml:space="preserve">    ' from whatever's typed into County, for ANY county name - not</t>
  </si>
  <si>
    <t xml:space="preserve">    ' restricted to PRODUCT DATA's reference list, unlike ExtractCounty</t>
  </si>
  <si>
    <t xml:space="preserve">    ' above (which does a different job: pulling a county mention OUT of</t>
  </si>
  <si>
    <t xml:space="preserve">    ' pasted address text, country-scoped and marker-required so it can't</t>
  </si>
  <si>
    <t xml:space="preserve">    ' misfire on an unrelated word). "Co. Dublin" / "County Dublin" /</t>
  </si>
  <si>
    <t xml:space="preserve">    ' "Co Cork" all become just the plain name. Mirrors the always-on</t>
  </si>
  <si>
    <t xml:space="preserve">    ' worksheet formula in the hidden "County - Cleaned" helper column (AF)</t>
  </si>
  <si>
    <t xml:space="preserve">    ' on CORP order form, so both stay in sync - this version</t>
  </si>
  <si>
    <t xml:space="preserve">    ' additionally rewrites the visible County cell itself, for anyone with</t>
  </si>
  <si>
    <t xml:space="preserve">    ' this macro installed.</t>
  </si>
  <si>
    <t xml:space="preserve">    Dim t As String</t>
  </si>
  <si>
    <t xml:space="preserve">    t = Trim$(raw)</t>
  </si>
  <si>
    <t xml:space="preserve">    If Len(t) = 0 Then</t>
  </si>
  <si>
    <t xml:space="preserve">        StripCountyPrefix = t</t>
  </si>
  <si>
    <t xml:space="preserve">    If Len(t) &gt;= 4 And StrComp(Left$(t, 4), "Co. ", vbTextCompare) = 0 Then</t>
  </si>
  <si>
    <t xml:space="preserve">        StripCountyPrefix = Trim$(Mid$(t, 5))</t>
  </si>
  <si>
    <t xml:space="preserve">    ElseIf Len(t) &gt;= 7 And StrComp(Left$(t, 7), "County ", vbTextCompare) = 0 Then</t>
  </si>
  <si>
    <t xml:space="preserve">        StripCountyPrefix = Trim$(Mid$(t, 8))</t>
  </si>
  <si>
    <t xml:space="preserve">    ElseIf Len(t) &gt;= 3 And StrComp(Left$(t, 3), "Co ", vbTextCompare) = 0 Then</t>
  </si>
  <si>
    <t xml:space="preserve">        StripCountyPrefix = Trim$(Mid$(t, 4))</t>
  </si>
  <si>
    <t xml:space="preserve">    Else</t>
  </si>
  <si>
    <t>Private Function UKVariantForBase(ByVal baseCode As String) As String</t>
  </si>
  <si>
    <t xml:space="preserve">    ' v0.23, NEW (feature 4). Looks up PRODUCT DATA's Key (SKU|Country) -&gt;</t>
  </si>
  <si>
    <t xml:space="preserve">    ' Actual SAP Code table (columns NO:NP) for baseCode paired with "United</t>
  </si>
  <si>
    <t xml:space="preserve">    ' Kingdom" specifically, and returns its UK-specific SAP code (e.g.</t>
  </si>
  <si>
    <t xml:space="preserve">    ' "GF849H" -&gt; "GF849HUK"). Returns "" if baseCode has no UK-specific</t>
  </si>
  <si>
    <t xml:space="preserve">    ' variant - true for every hamper except the ~20 alcohol ones that need</t>
  </si>
  <si>
    <t xml:space="preserve">    ' one; every other hamper ships to the UK under its ordinary code.</t>
  </si>
  <si>
    <t xml:space="preserve">    lastRow = pd.Range("NO" &amp; pd.Rows.Count).End(xlUp).Row</t>
  </si>
  <si>
    <t xml:space="preserve">        If StrComp(Trim$(CStr(pd.Range("NO" &amp; i).Value)), baseCode &amp; "|United Kingdom", vbTextCompare) = 0 Then</t>
  </si>
  <si>
    <t xml:space="preserve">            UKVariantForBase = Trim$(CStr(pd.Range("NP" &amp; i).Value))</t>
  </si>
  <si>
    <t xml:space="preserve">    UKVariantForBase = ""</t>
  </si>
  <si>
    <t>Private Function BaseForUKVariant(ByVal ukCode As String) As String</t>
  </si>
  <si>
    <t xml:space="preserve">    ' v0.23, NEW (feature 4). Reverse of UKVariantForBase - given a</t>
  </si>
  <si>
    <t xml:space="preserve">    ' UK-specific SAP code (e.g. "GF849HUK"), returns its ordinary base code</t>
  </si>
  <si>
    <t xml:space="preserve">    ' (e.g. "GF849H") by reading the part of the matching Key (SKU|Country)</t>
  </si>
  <si>
    <t xml:space="preserve">    ' cell before the "|". Returns "" if ukCode isn't one of the recognised</t>
  </si>
  <si>
    <t xml:space="preserve">    ' UK-specific variants.</t>
  </si>
  <si>
    <t xml:space="preserve">    Dim key As String</t>
  </si>
  <si>
    <t xml:space="preserve">    Dim pipePos As Long</t>
  </si>
  <si>
    <t xml:space="preserve">        If StrComp(Trim$(CStr(pd.Range("NP" &amp; i).Value)), ukCode, vbTextCompare) = 0 Then</t>
  </si>
  <si>
    <t xml:space="preserve">            key = Trim$(CStr(pd.Range("NO" &amp; i).Value))</t>
  </si>
  <si>
    <t xml:space="preserve">            pipePos = InStr(key, "|")</t>
  </si>
  <si>
    <t xml:space="preserve">            If pipePos &gt; 0 Then BaseForUKVariant = Left$(key, pipePos - 1)</t>
  </si>
  <si>
    <t xml:space="preserve">    BaseForUKVariant = ""</t>
  </si>
  <si>
    <t>Private Sub HandleItemCodeUKVariant(ByVal r As Long)</t>
  </si>
  <si>
    <t xml:space="preserve">    ' v0.23, NEW (feature 4 - see the Worksheet_Change comment block).</t>
  </si>
  <si>
    <t xml:space="preserve">    ' Keeps Item Code (A) showing whichever form - ordinary or UK-specific -</t>
  </si>
  <si>
    <t xml:space="preserve">    ' is actually correct for row r's current Country/Postcode, for the ~20</t>
  </si>
  <si>
    <t xml:space="preserve">    ' alcohol hampers that have a UK-specific SAP code. Every other Item</t>
  </si>
  <si>
    <t xml:space="preserve">    ' Code is left completely untouched (Exit Sub as soon as neither lookup</t>
  </si>
  <si>
    <t xml:space="preserve">    ' below finds a match). Purely cosmetic: the hidden "Item Code -</t>
  </si>
  <si>
    <t xml:space="preserve">    ' Normalised" helper column (AC) and the SAP COPY PASTE formulas already</t>
  </si>
  <si>
    <t xml:space="preserve">    ' resolve the correct SAP code regardless of which form this cell shows,</t>
  </si>
  <si>
    <t xml:space="preserve">    ' with or without this macro installed.</t>
  </si>
  <si>
    <t xml:space="preserve">    Const ITEM_COL As Long = 1</t>
  </si>
  <si>
    <t xml:space="preserve">    Const COUNTRY_COL As Long = 13</t>
  </si>
  <si>
    <t xml:space="preserve">    Const POSTCODE_COL As Long = 12</t>
  </si>
  <si>
    <t xml:space="preserve">    Dim itemCode As String, countryRaw As String, postcode As String</t>
  </si>
  <si>
    <t xml:space="preserve">    Dim countryCode As String</t>
  </si>
  <si>
    <t xml:space="preserve">    Dim baseCode As String, ukCode As String</t>
  </si>
  <si>
    <t xml:space="preserve">    Dim isNI As Boolean</t>
  </si>
  <si>
    <t xml:space="preserve">    Dim desired As String</t>
  </si>
  <si>
    <t xml:space="preserve">    itemCode = Trim$(CStr(Me.Cells(r, ITEM_COL).Value))</t>
  </si>
  <si>
    <t xml:space="preserve">    If Len(itemCode) = 0 Then Exit Sub</t>
  </si>
  <si>
    <t xml:space="preserve">    ' Work out this row's base code and UK-specific code, whichever form</t>
  </si>
  <si>
    <t xml:space="preserve">    ' itemCode currently shows.</t>
  </si>
  <si>
    <t xml:space="preserve">    ukCode = UKVariantForBase(itemCode)</t>
  </si>
  <si>
    <t xml:space="preserve">    If Len(ukCode) &gt; 0 Then</t>
  </si>
  <si>
    <t xml:space="preserve">        baseCode = itemCode   ' itemCode is already the ordinary/base form</t>
  </si>
  <si>
    <t xml:space="preserve">        baseCode = BaseForUKVariant(itemCode)</t>
  </si>
  <si>
    <t xml:space="preserve">        If Len(baseCode) = 0 Then Exit Sub   ' not one of the ~20 alcohol hampers - leave alone</t>
  </si>
  <si>
    <t xml:space="preserve">        ukCode = itemCode   ' itemCode is already the UK-specific form</t>
  </si>
  <si>
    <t xml:space="preserve">    countryRaw = Trim$(CStr(Me.Cells(r, COUNTRY_COL).Value))</t>
  </si>
  <si>
    <t xml:space="preserve">    countryCode = ResolveCountryCode(countryRaw)</t>
  </si>
  <si>
    <t xml:space="preserve">    If Len(countryCode) = 0 Then countryCode = UCase$(countryRaw)  ' not yet resolved/recognised</t>
  </si>
  <si>
    <t xml:space="preserve">    postcode = Trim$(CStr(Me.Cells(r, POSTCODE_COL).Value))</t>
  </si>
  <si>
    <t xml:space="preserve">    isNI = (Left$(UCase$(postcode), 2) = "BT")</t>
  </si>
  <si>
    <t xml:space="preserve">    If countryCode = "GB" And Not isNI Then</t>
  </si>
  <si>
    <t xml:space="preserve">        desired = ukCode</t>
  </si>
  <si>
    <t xml:space="preserve">        desired = baseCode</t>
  </si>
  <si>
    <t xml:space="preserve">    If Not (StrComp(CStr(Me.Cells(r, ITEM_COL).Value), desired, vbBinaryCompare) = 0) Then</t>
  </si>
  <si>
    <t xml:space="preserve">        Me.Cells(r, ITEM_COL).Value = desired</t>
  </si>
  <si>
    <t xml:space="preserve">        RestoreInputFormat Me.Cells(r, ITEM_COL)</t>
  </si>
  <si>
    <t>Private Function StandardCellFillRGB(ByVal col As Long) As Long</t>
  </si>
  <si>
    <t xml:space="preserve">    ' v0.24, NEW: the correct background colour for a given column on CLIENT</t>
  </si>
  <si>
    <t xml:space="preserve">    ' ORDER FORM (ADVANCE), matching the sheet's own colour scheme (from the</t>
  </si>
  <si>
    <t xml:space="preserve">    ' reference template you sent) so RestoreInputFormat and</t>
  </si>
  <si>
    <t xml:space="preserve">    ' RestorePastedFormattingBulk below can always put back the RIGHT colour</t>
  </si>
  <si>
    <t xml:space="preserve">    ' for whatever column they're fixing, not one hardcoded colour for every</t>
  </si>
  <si>
    <t xml:space="preserve">    ' cell:</t>
  </si>
  <si>
    <t xml:space="preserve">    '   - light blue = a mandatory field (its column header ends in *)</t>
  </si>
  <si>
    <t xml:space="preserve">    '   - white       = an optional/conditional field</t>
  </si>
  <si>
    <t xml:space="preserve">    '   - grey        = calculated automatically - never meant to be typed</t>
  </si>
  <si>
    <t xml:space="preserve">    '     into, kept visually distinct from both of the above</t>
  </si>
  <si>
    <t xml:space="preserve">    ' Returns -1 for any column this macro doesn't manage the colour of</t>
  </si>
  <si>
    <t xml:space="preserve">    ' (callers should leave that cell's fill alone).</t>
  </si>
  <si>
    <t xml:space="preserve">    Select Case col</t>
  </si>
  <si>
    <t xml:space="preserve">        Case 1, 3, 4, 5, 7, 10, 12, 13</t>
  </si>
  <si>
    <t xml:space="preserve">            ' A Item Code*, C Quantity*, D Recipient Name*, E Recipient Phone*,</t>
  </si>
  <si>
    <t xml:space="preserve">            ' G Address Line 1*, J Town*, L Postcode*, M Country*</t>
  </si>
  <si>
    <t xml:space="preserve">            StandardCellFillRGB = RGB(218, 227, 243)    ' DAE3F3, light blue</t>
  </si>
  <si>
    <t xml:space="preserve">        Case 6, 8, 9, 11, 15, 16, 17, 18, 19, 20, 21</t>
  </si>
  <si>
    <t xml:space="preserve">            ' F Company Name, H/I Address Line 2/3, K County,</t>
  </si>
  <si>
    <t xml:space="preserve">            ' O:U Gift Message 1-7 (v1.0: Personalisation 1-4 removed)</t>
  </si>
  <si>
    <t xml:space="preserve">            StandardCellFillRGB = RGB(255, 255, 255)    ' white</t>
  </si>
  <si>
    <t xml:space="preserve">        Case 2, 14, 22, 23, 24, 25, 26, 27, 30</t>
  </si>
  <si>
    <t xml:space="preserve">            ' B Description, N Country Code (hidden), V Row Status,</t>
  </si>
  <si>
    <t xml:space="preserve">            ' W Error Location, X Error Details, Y Staff Review Notes,</t>
  </si>
  <si>
    <t xml:space="preserve">            ' Z Address Backup, AA Address Cleanup Notes</t>
  </si>
  <si>
    <t xml:space="preserve">            ' (v1.0: shifted left by 4 after Personalisation 1-4 columns were removed)</t>
  </si>
  <si>
    <t xml:space="preserve">            ' AD County Auto-Fill Tracker (hidden - v1.3, NEW; a macro WRITE</t>
  </si>
  <si>
    <t xml:space="preserve">            ' target like Z/AA above, so it needs the same paste-safe colour</t>
  </si>
  <si>
    <t xml:space="preserve">            ' restoration those get - unlike AB/AC, which are pure FORMULA</t>
  </si>
  <si>
    <t xml:space="preserve">            ' helpers the macro never writes to and so were never added here)</t>
  </si>
  <si>
    <t xml:space="preserve">            StandardCellFillRGB = RGB(237, 237, 237)    ' EDEDED, grey</t>
  </si>
  <si>
    <t xml:space="preserve">        Case Else</t>
  </si>
  <si>
    <t xml:space="preserve">            StandardCellFillRGB = -1</t>
  </si>
  <si>
    <t xml:space="preserve">    End Select</t>
  </si>
  <si>
    <t>Private Sub RestoreInputFormat(ByVal targetCell As Range)</t>
  </si>
  <si>
    <t xml:space="preserve">    ' v0.8 fix, colour source updated in v0.24: a plain Ctrl+V paste in Excel</t>
  </si>
  <si>
    <t xml:space="preserve">    ' carries the SOURCE cell's own formatting (fill colour, borders, etc.)</t>
  </si>
  <si>
    <t xml:space="preserve">    ' along with the value it pastes - which can leave a cell showing the</t>
  </si>
  <si>
    <t xml:space="preserve">    ' wrong colour after a paste, even though the value itself pasted in</t>
  </si>
  <si>
    <t xml:space="preserve">    ' fine. Every cell this macro writes to calls this afterwards to put the</t>
  </si>
  <si>
    <t xml:space="preserve">    ' correct colour for THAT column back (see StandardCellFillRGB) plus the</t>
  </si>
  <si>
    <t xml:space="preserve">    ' standard thin grey border, so a formatted paste can never leave a cell</t>
  </si>
  <si>
    <t xml:space="preserve">    ' looking wrong. v0.24 also added RestorePastedFormattingBulk (see Pass 0</t>
  </si>
  <si>
    <t xml:space="preserve">    ' in Worksheet_Change), which does the same job for every column up</t>
  </si>
  <si>
    <t xml:space="preserve">    ' front for whatever was actually pasted/typed - this Sub remains for</t>
  </si>
  <si>
    <t xml:space="preserve">    ' cells that get rewritten as a SIDE EFFECT of a DIFFERENT cell changing</t>
  </si>
  <si>
    <t xml:space="preserve">    ' (e.g. Address Cleanup filling in Town or Postcode from a pasted</t>
  </si>
  <si>
    <t xml:space="preserve">    ' address), which the blanket pass can't already have covered, since</t>
  </si>
  <si>
    <t xml:space="preserve">    ' those cells were never part of the original edit.</t>
  </si>
  <si>
    <t xml:space="preserve">    Dim fillRGB As Long</t>
  </si>
  <si>
    <t xml:space="preserve">    fillRGB = StandardCellFillRGB(targetCell.Column)</t>
  </si>
  <si>
    <t xml:space="preserve">    With targetCell</t>
  </si>
  <si>
    <t xml:space="preserve">        If fillRGB &gt;= 0 Then</t>
  </si>
  <si>
    <t xml:space="preserve">            .Interior.pattern = xlSolid</t>
  </si>
  <si>
    <t xml:space="preserve">            .Interior.Color = fillRGB</t>
  </si>
  <si>
    <t xml:space="preserve">        .Borders(xlEdgeLeft).LineStyle = xlContinuous</t>
  </si>
  <si>
    <t xml:space="preserve">        .Borders(xlEdgeLeft).Weight = xlThin</t>
  </si>
  <si>
    <t xml:space="preserve">        .Borders(xlEdgeLeft).Color = RGB(191, 191, 191)</t>
  </si>
  <si>
    <t xml:space="preserve">        .Borders(xlEdgeRight).LineStyle = xlContinuous</t>
  </si>
  <si>
    <t xml:space="preserve">        .Borders(xlEdgeRight).Weight = xlThin</t>
  </si>
  <si>
    <t xml:space="preserve">        .Borders(xlEdgeRight).Color = RGB(191, 191, 191)</t>
  </si>
  <si>
    <t xml:space="preserve">        .Borders(xlEdgeTop).LineStyle = xlContinuous</t>
  </si>
  <si>
    <t xml:space="preserve">        .Borders(xlEdgeTop).Weight = xlThin</t>
  </si>
  <si>
    <t xml:space="preserve">        .Borders(xlEdgeTop).Color = RGB(191, 191, 191)</t>
  </si>
  <si>
    <t xml:space="preserve">        .Borders(xlEdgeBottom).LineStyle = xlContinuous</t>
  </si>
  <si>
    <t xml:space="preserve">        .Borders(xlEdgeBottom).Weight = xlThin</t>
  </si>
  <si>
    <t xml:space="preserve">        .Borders(xlEdgeBottom).Color = RGB(191, 191, 191)</t>
  </si>
  <si>
    <t xml:space="preserve">    End With</t>
  </si>
  <si>
    <t>Private Sub RestorePastedFormattingBulk(ByVal Target As Range)</t>
  </si>
  <si>
    <t xml:space="preserve">    ' v0.24, NEW - see feature 5 in the Worksheet_Change comment block above.</t>
  </si>
  <si>
    <t xml:space="preserve">    ' Runs first, before every other pass, and covers EVERY managed column on</t>
  </si>
  <si>
    <t xml:space="preserve">    ' the sheet (not just the handful - Country/County/Item Code - the other</t>
  </si>
  <si>
    <t xml:space="preserve">    ' passes already rewrite), so pasting into ANY of them (Recipient Name,</t>
  </si>
  <si>
    <t xml:space="preserve">    ' Gift Message, Quantity, an old order copied from another file, etc.)</t>
  </si>
  <si>
    <t xml:space="preserve">    ' can never leave the wrong colour showing, no matter what formatting the</t>
  </si>
  <si>
    <t xml:space="preserve">    ' source data carried with it. Applies each column's correct colour (see</t>
  </si>
  <si>
    <t xml:space="preserve">    ' StandardCellFillRGB) plus the standard border in ONE bulk operation per</t>
  </si>
  <si>
    <t xml:space="preserve">    ' column, so this stays fast even for a large multi-row, multi-column</t>
  </si>
  <si>
    <t xml:space="preserve">    ' paste.</t>
  </si>
  <si>
    <t xml:space="preserve">    Const FIRST_DATA_ROW As Long = 6   ' v1.2: was 7 - see the matching note in Worksheet_Change above</t>
  </si>
  <si>
    <t xml:space="preserve">    Const LAST_DATA_ROW As Long = 355  ' v1.2: was 356</t>
  </si>
  <si>
    <t xml:space="preserve">    Dim col As Long</t>
  </si>
  <si>
    <t xml:space="preserve">    Dim colRange As Range, hit As Range</t>
  </si>
  <si>
    <t xml:space="preserve">    For col = 1 To 30   ' A through AD (v1.3: widened from A:AA to also cover the new County Auto-Fill Tracker helper, column AD)</t>
  </si>
  <si>
    <t xml:space="preserve">        fillRGB = StandardCellFillRGB(col)</t>
  </si>
  <si>
    <t xml:space="preserve">            Set colRange = Me.Range(Me.Cells(FIRST_DATA_ROW, col), Me.Cells(LAST_DATA_ROW, col))</t>
  </si>
  <si>
    <t xml:space="preserve">            Set hit = Application.Intersect(Target, colRange)</t>
  </si>
  <si>
    <t xml:space="preserve">            If Not hit Is Nothing Then</t>
  </si>
  <si>
    <t xml:space="preserve">                With hit</t>
  </si>
  <si>
    <t xml:space="preserve">                    .Interior.pattern = xlSolid</t>
  </si>
  <si>
    <t xml:space="preserve">                    .Interior.Color = fillRGB</t>
  </si>
  <si>
    <t xml:space="preserve">                    .Borders(xlEdgeLeft).LineStyle = xlContinuous</t>
  </si>
  <si>
    <t xml:space="preserve">                    .Borders(xlEdgeLeft).Weight = xlThin</t>
  </si>
  <si>
    <t xml:space="preserve">                    .Borders(xlEdgeLeft).Color = RGB(191, 191, 191)</t>
  </si>
  <si>
    <t xml:space="preserve">                    .Borders(xlEdgeRight).LineStyle = xlContinuous</t>
  </si>
  <si>
    <t xml:space="preserve">                    .Borders(xlEdgeRight).Weight = xlThin</t>
  </si>
  <si>
    <t xml:space="preserve">                    .Borders(xlEdgeRight).Color = RGB(191, 191, 191)</t>
  </si>
  <si>
    <t xml:space="preserve">                    .Borders(xlEdgeTop).LineStyle = xlContinuous</t>
  </si>
  <si>
    <t xml:space="preserve">                    .Borders(xlEdgeTop).Weight = xlThin</t>
  </si>
  <si>
    <t xml:space="preserve">                    .Borders(xlEdgeTop).Color = RGB(191, 191, 191)</t>
  </si>
  <si>
    <t xml:space="preserve">                    .Borders(xlEdgeBottom).LineStyle = xlContinuous</t>
  </si>
  <si>
    <t xml:space="preserve">                    .Borders(xlEdgeBottom).Weight = xlThin</t>
  </si>
  <si>
    <t xml:space="preserve">                    .Borders(xlEdgeBottom).Color = RGB(191, 191, 191)</t>
  </si>
  <si>
    <t xml:space="preserve">                End With</t>
  </si>
  <si>
    <t xml:space="preserve">    Next col</t>
  </si>
  <si>
    <t>Private Sub HandleAddressCleanup(ByVal r As Long, ByVal isAddressTrigger As Boolean)</t>
  </si>
  <si>
    <t xml:space="preserve">    ' Runs the full address-cleanup pass for one row: extract country mention</t>
  </si>
  <si>
    <t xml:space="preserve">    ' (and auto-fill Country if it's blank), extract postcode, extract Town</t>
  </si>
  <si>
    <t xml:space="preserve">    ' (heuristic), abbreviate, then re-pack into Address Line 1/2/3. Always</t>
  </si>
  <si>
    <t xml:space="preserve">    ' backs up the pre-cleanup text first.</t>
  </si>
  <si>
    <t xml:space="preserve">    ' v0.14 fix - isAddressTrigger and the true-original handling below: this Sub can be</t>
  </si>
  <si>
    <t xml:space="preserve">    ' called two different ways (see the Worksheet_Change comment above Pass 3) - because</t>
  </si>
  <si>
    <t xml:space="preserve">    ' Address Line 1/2/3 itself just changed (isAddressTrigger = True), or only because</t>
  </si>
  <si>
    <t xml:space="preserve">    ' Country changed AFTER an address was already cleaned up (isAddressTrigger = False, so</t>
  </si>
  <si>
    <t xml:space="preserve">    ' postcode/county can still be picked up now that Country is known). Before v0.14, EVERY</t>
  </si>
  <si>
    <t xml:space="preserve">    ' call re-derived "combined" from whatever was CURRENTLY sitting in Address Line 1/2/3</t>
  </si>
  <si>
    <t xml:space="preserve">    ' and unconditionally overwrote the hidden backup with it. That's fine on a real address</t>
  </si>
  <si>
    <t xml:space="preserve">    ' edit, but on a Country-only re-run it meant re-reading the ALREADY-shortened address</t>
  </si>
  <si>
    <t xml:space="preserve">    ' text as if it were the original - which could silently erase the "doesn't fit, please</t>
  </si>
  <si>
    <t xml:space="preserve">    ' shorten manually" note (since the already-shortened text now trivially "fits") AND</t>
  </si>
  <si>
    <t xml:space="preserve">    ' permanently overwrite the hidden backup with that same already-shortened text, losing</t>
  </si>
  <si>
    <t xml:space="preserve">    ' whatever got dropped for good, with no way to recover it. Confirmed via a real test:</t>
  </si>
  <si>
    <t xml:space="preserve">    ' pasting a too-long address (correctly flagged as overflowing, full original backed up),</t>
  </si>
  <si>
    <t xml:space="preserve">    ' then separately setting Country afterwards, made the overflow note disappear and the</t>
  </si>
  <si>
    <t xml:space="preserve">    ' backup silently lose the dropped tail text. Fixed by only ever treating Address Line</t>
  </si>
  <si>
    <t xml:space="preserve">    ' 1/2/3 as the "true original" on an actual address edit (or the very first time this</t>
  </si>
  <si>
    <t xml:space="preserve">    ' row is ever processed, when there's no backup yet) - any later Country-only re-run</t>
  </si>
  <si>
    <t xml:space="preserve">    ' instead rebuilds "combined" from the ALREADY-STORED backup, so every re-run keeps</t>
  </si>
  <si>
    <t xml:space="preserve">    ' working from the one true original and the backup itself is never overwritten with an</t>
  </si>
  <si>
    <t xml:space="preserve">    ' already-processed value.</t>
  </si>
  <si>
    <t xml:space="preserve">    Const ADDR1_COL As Long = 7</t>
  </si>
  <si>
    <t xml:space="preserve">    Const ADDR2_COL As Long = 8</t>
  </si>
  <si>
    <t xml:space="preserve">    Const ADDR3_COL As Long = 9</t>
  </si>
  <si>
    <t xml:space="preserve">    Const TOWN_COL As Long = 10          ' column J</t>
  </si>
  <si>
    <t xml:space="preserve">    Const COUNTRY_COL As Long = 13       ' column M</t>
  </si>
  <si>
    <t xml:space="preserve">    Const BACKUP_COL As Long = 26        ' column Z (visible, not hidden - v0.15; shifted from AD in v1.0 after Personalisation columns were removed)</t>
  </si>
  <si>
    <t xml:space="preserve">    Const NOTES_COL As Long = 27         ' column AA (visible, not hidden - v0.15; shifted from AE in v1.0 after Personalisation columns were removed)</t>
  </si>
  <si>
    <t xml:space="preserve">    Dim a1 As String, a2 As String, a3 As String</t>
  </si>
  <si>
    <t xml:space="preserve">    Dim combined As String</t>
  </si>
  <si>
    <t xml:space="preserve">    Dim existingPostcode As String</t>
  </si>
  <si>
    <t xml:space="preserve">    Dim existingCountry As String</t>
  </si>
  <si>
    <t xml:space="preserve">    Dim existingTown As String</t>
  </si>
  <si>
    <t xml:space="preserve">    Dim existingBackup As String</t>
  </si>
  <si>
    <t xml:space="preserve">    Dim backupParts() As String</t>
  </si>
  <si>
    <t xml:space="preserve">    Dim foundPostcode As String</t>
  </si>
  <si>
    <t xml:space="preserve">    Dim foundCountryNames As String</t>
  </si>
  <si>
    <t xml:space="preserve">    Dim primaryCountryName As String</t>
  </si>
  <si>
    <t xml:space="preserve">    Dim newCountryCode As String</t>
  </si>
  <si>
    <t xml:space="preserve">    Dim selectedName As String</t>
  </si>
  <si>
    <t xml:space="preserve">    Dim commaPos As Long</t>
  </si>
  <si>
    <t xml:space="preserve">    Dim townCandidate As String</t>
  </si>
  <si>
    <t xml:space="preserve">    Dim countyNote As String</t>
  </si>
  <si>
    <t xml:space="preserve">    Dim notes As String</t>
  </si>
  <si>
    <t xml:space="preserve">    Dim line1 As String, line2 As String, line3 As String</t>
  </si>
  <si>
    <t xml:space="preserve">    Dim overflowed As Boolean</t>
  </si>
  <si>
    <t xml:space="preserve">    a1 = Trim$(CStr(Me.Cells(r, ADDR1_COL).Value))</t>
  </si>
  <si>
    <t xml:space="preserve">    a2 = Trim$(CStr(Me.Cells(r, ADDR2_COL).Value))</t>
  </si>
  <si>
    <t xml:space="preserve">    a3 = Trim$(CStr(Me.Cells(r, ADDR3_COL).Value))</t>
  </si>
  <si>
    <t xml:space="preserve">    existingBackup = CStr(Me.Cells(r, BACKUP_COL).Value)</t>
  </si>
  <si>
    <t xml:space="preserve">    If isAddressTrigger Or Len(Trim$(existingBackup)) = 0 Then</t>
  </si>
  <si>
    <t xml:space="preserve">        ' this call has the true original in hand (either it just arrived, or there was</t>
  </si>
  <si>
    <t xml:space="preserve">        ' never a backup yet) - use it, and record it as the backup from now on</t>
  </si>
  <si>
    <t xml:space="preserve">        ' NOTE: commas are deliberately KEPT here (unlike v0.9, which stripped them</t>
  </si>
  <si>
    <t xml:space="preserve">        ' immediately) - Town extraction below needs them to find segment boundaries.</t>
  </si>
  <si>
    <t xml:space="preserve">        ' They are only stripped later, once Town extraction has had its chance</t>
  </si>
  <si>
    <t xml:space="preserve">        ' (see ExtractTown, and the fallback branch below when Town is already filled in).</t>
  </si>
  <si>
    <t xml:space="preserve">        combined = NormalizeSpaces(a1 &amp; " " &amp; a2 &amp; " " &amp; a3)</t>
  </si>
  <si>
    <t xml:space="preserve">        If Len(combined) = 0 Then Exit Sub</t>
  </si>
  <si>
    <t xml:space="preserve">        ' back up the address exactly as it stood immediately before this cleanup pass,</t>
  </si>
  <si>
    <t xml:space="preserve">        ' so nothing typed/pasted is ever unrecoverable if the auto-cleanup gets it wrong.</t>
  </si>
  <si>
    <t xml:space="preserve">        ' v0.16: AD is now a locked, protected column (see Workbook_Open in ThisWorkbook) -</t>
  </si>
  <si>
    <t xml:space="preserve">        ' writing to it should always work since Workbook_Open re-protects with</t>
  </si>
  <si>
    <t xml:space="preserve">        ' UserInterfaceOnly:=True, but this write is defensively wrapped anyway so that if</t>
  </si>
  <si>
    <t xml:space="preserve">        ' anything is ever wrong with that setup (e.g. someone hasn't closed/reopened the</t>
  </si>
  <si>
    <t xml:space="preserve">        ' file since installing this version yet), the row still gets fully processed below</t>
  </si>
  <si>
    <t xml:space="preserve">        ' instead of the whole cleanup silently aborting here on a protection error.</t>
  </si>
  <si>
    <t xml:space="preserve">        On Error Resume Next</t>
  </si>
  <si>
    <t xml:space="preserve">        Me.Cells(r, BACKUP_COL).Value = a1 &amp; " | " &amp; a2 &amp; " | " &amp; a3</t>
  </si>
  <si>
    <t xml:space="preserve">        On Error GoTo 0</t>
  </si>
  <si>
    <t xml:space="preserve">        ' Country-only re-run on a row that's already been cleaned up once - rebuild</t>
  </si>
  <si>
    <t xml:space="preserve">        ' "combined" from the STORED true original (never from the already-shortened</t>
  </si>
  <si>
    <t xml:space="preserve">        ' Address Line 1/2/3), and leave the backup itself untouched either way</t>
  </si>
  <si>
    <t xml:space="preserve">        backupParts = Split(existingBackup, " | ")</t>
  </si>
  <si>
    <t xml:space="preserve">        If UBound(backupParts) &gt;= 2 Then</t>
  </si>
  <si>
    <t xml:space="preserve">            combined = NormalizeSpaces(backupParts(0) &amp; " " &amp; backupParts(1) &amp; " " &amp; backupParts(2))</t>
  </si>
  <si>
    <t xml:space="preserve">        Else</t>
  </si>
  <si>
    <t xml:space="preserve">            ' backup wasn't in the expected 3-part format (shouldn't normally happen) -</t>
  </si>
  <si>
    <t xml:space="preserve">            ' fall back to treating it as one blob rather than risk an out-of-range read</t>
  </si>
  <si>
    <t xml:space="preserve">            combined = NormalizeSpaces(existingBackup)</t>
  </si>
  <si>
    <t xml:space="preserve">    ' v1.1 fix: was reading the old hidden helper-formula column N here - the</t>
  </si>
  <si>
    <t xml:space="preserve">    ' same same-event recalculation-timing risk fixed in HandleDublinEircodeCounty</t>
  </si>
  <si>
    <t xml:space="preserve">    ' below applies here too (e.g. a multi-column paste that fills Country and</t>
  </si>
  <si>
    <t xml:space="preserve">    ' Address at once). Country (M) is always a plain, already-resolved 2-letter</t>
  </si>
  <si>
    <t xml:space="preserve">    ' code by the time this runs - Pass 1 above rewrites it synchronously the</t>
  </si>
  <si>
    <t xml:space="preserve">    ' instant it changes, same as HandleAddressCleanup's own country-mention</t>
  </si>
  <si>
    <t xml:space="preserve">    ' write below - so reading M directly is both simpler and always current.</t>
  </si>
  <si>
    <t xml:space="preserve">    countryCode = Trim$(CStr(Me.Cells(r, COUNTRY_COL).Value))</t>
  </si>
  <si>
    <t xml:space="preserve">    existingCountry = countryCode</t>
  </si>
  <si>
    <t xml:space="preserve">    existingPostcode = Trim$(CStr(Me.Cells(r, POSTCODE_COL).Value))</t>
  </si>
  <si>
    <t xml:space="preserve">    existingTown = Trim$(CStr(Me.Cells(r, TOWN_COL).Value))</t>
  </si>
  <si>
    <t xml:space="preserve">    notes = ""</t>
  </si>
  <si>
    <t xml:space="preserve">    ' 1. country mention - always decluttered from the address text. If Country is</t>
  </si>
  <si>
    <t xml:space="preserve">    '    currently blank, the FIRST-mentioned country name (left to right in the</t>
  </si>
  <si>
    <t xml:space="preserve">    '    pasted text) is written into the Country field itself. If more than one</t>
  </si>
  <si>
    <t xml:space="preserve">    '    distinct country is mentioned, the first one is still used (assumed to be</t>
  </si>
  <si>
    <t xml:space="preserve">    '    the real final destination - e.g. "..., via Dublin, Ireland" routed through</t>
  </si>
  <si>
    <t xml:space="preserve">    '    a hub still ships to whichever country is named first) but always flagged</t>
  </si>
  <si>
    <t xml:space="preserve">    '    so a person double-checks the guess. If Country is already set, behaviour</t>
  </si>
  <si>
    <t xml:space="preserve">    '    is unchanged from v0.7-v0.9: only a mismatch is flagged, nothing overwritten.</t>
  </si>
  <si>
    <t xml:space="preserve">    foundCountryNames = ""</t>
  </si>
  <si>
    <t xml:space="preserve">    combined = ExtractCountryMention(combined, foundCountryNames)</t>
  </si>
  <si>
    <t xml:space="preserve">    If Len(foundCountryNames) &gt; 0 Then</t>
  </si>
  <si>
    <t xml:space="preserve">        If Len(existingCountry) = 0 Then</t>
  </si>
  <si>
    <t xml:space="preserve">            commaPos = InStr(foundCountryNames, ",")</t>
  </si>
  <si>
    <t xml:space="preserve">            If commaPos &gt; 0 Then</t>
  </si>
  <si>
    <t xml:space="preserve">                primaryCountryName = Trim$(Left$(foundCountryNames, commaPos - 1))</t>
  </si>
  <si>
    <t xml:space="preserve">            Else</t>
  </si>
  <si>
    <t xml:space="preserve">                primaryCountryName = foundCountryNames</t>
  </si>
  <si>
    <t xml:space="preserve">            newCountryCode = ResolveCountryCode(primaryCountryName)</t>
  </si>
  <si>
    <t xml:space="preserve">            If Len(newCountryCode) &gt; 0 Then</t>
  </si>
  <si>
    <t xml:space="preserve">                Me.Cells(r, COUNTRY_COL).Value = newCountryCode</t>
  </si>
  <si>
    <t xml:space="preserve">                RestoreInputFormat Me.Cells(r, COUNTRY_COL)</t>
  </si>
  <si>
    <t xml:space="preserve">                countryCode = newCountryCode   ' so the Postcode step below already knows it</t>
  </si>
  <si>
    <t xml:space="preserve">                If commaPos &gt; 0 Then</t>
  </si>
  <si>
    <t xml:space="preserve">                    notes = notes &amp; "Address text mentioned more than one country (" &amp; foundCountryNames &amp; ") - used '" &amp; primaryCountryName &amp; "' (mentioned first) as Country; please verify this is correct. "</t>
  </si>
  <si>
    <t xml:space="preserve">            selectedName = CountryNameForCode(countryCode)</t>
  </si>
  <si>
    <t xml:space="preserve">            If Len(selectedName) &gt; 0 And InStr(1, foundCountryNames, selectedName, vbTextCompare) = 0 Then</t>
  </si>
  <si>
    <t xml:space="preserve">                notes = notes &amp; "Address text mentioned '" &amp; foundCountryNames &amp; "' which doesn't match the selected Country ('" &amp; selectedName &amp; "') - please verify. "</t>
  </si>
  <si>
    <t xml:space="preserve">    ' 2. postcode - only auto-fills the Postcode field if it's currently blank; if</t>
  </si>
  <si>
    <t xml:space="preserve">    '    it's already filled, a differing match is flagged rather than overwritten.</t>
  </si>
  <si>
    <t xml:space="preserve">    '    Runs AFTER country mention extraction so a country just found in this same</t>
  </si>
  <si>
    <t xml:space="preserve">    '    paste (above) is already known here, letting Postcode recognition work</t>
  </si>
  <si>
    <t xml:space="preserve">    '    even when Country wasn't picked before pasting the whole address at once.</t>
  </si>
  <si>
    <t xml:space="preserve">    foundPostcode = ""</t>
  </si>
  <si>
    <t xml:space="preserve">    combined = ExtractPostcode(combined, countryCode, foundPostcode)</t>
  </si>
  <si>
    <t xml:space="preserve">    If Len(foundPostcode) &gt; 0 Then</t>
  </si>
  <si>
    <t xml:space="preserve">        If Len(existingPostcode) = 0 Then</t>
  </si>
  <si>
    <t xml:space="preserve">            Me.Cells(r, POSTCODE_COL).Value = foundPostcode</t>
  </si>
  <si>
    <t xml:space="preserve">            RestoreInputFormat Me.Cells(r, POSTCODE_COL)</t>
  </si>
  <si>
    <t xml:space="preserve">        ElseIf UCase$(Replace(foundPostcode, " ", "")) &lt;&gt; UCase$(Replace(existingPostcode, " ", "")) Then</t>
  </si>
  <si>
    <t xml:space="preserve">            notes = notes &amp; "Postcode inside address text ('" &amp; foundPostcode &amp; "') doesn't match the Postcode field ('" &amp; existingPostcode &amp; "') - please verify. "</t>
  </si>
  <si>
    <t xml:space="preserve">    ' 2.5 county - v0.12: real extraction, using the curated reference list (see</t>
  </si>
  <si>
    <t xml:space="preserve">    '     ExtractCounty for the COUNTRY-SCOPED + MARKER-REQUIRED design). Runs</t>
  </si>
  <si>
    <t xml:space="preserve">    '     BEFORE step 3 (Town) below so a consumed "Co. Dublin" can no longer</t>
  </si>
  <si>
    <t xml:space="preserve">    '     collide with the Town guess - e.g. "Dublin, Co. Dublin" leaves a clean</t>
  </si>
  <si>
    <t xml:space="preserve">    '     "Dublin" for Town to correctly find once "Co. Dublin" is gone. Only</t>
  </si>
  <si>
    <t xml:space="preserve">    '     ever fills County (column K) if it's currently blank.</t>
  </si>
  <si>
    <t xml:space="preserve">    countyNote = ""</t>
  </si>
  <si>
    <t xml:space="preserve">    HandleCountyExtraction r, combined, countryCode, countyNote</t>
  </si>
  <si>
    <t xml:space="preserve">    If Len(countyNote) &gt; 0 Then notes = notes &amp; countyNote</t>
  </si>
  <si>
    <t xml:space="preserve">    ' 3. town - heuristic guess (see ExtractTown for the safety checks used). Only</t>
  </si>
  <si>
    <t xml:space="preserve">    '    ever auto-fills when Town is currently blank; never overwrites a manually</t>
  </si>
  <si>
    <t xml:space="preserve">    '    entered Town. Either way, commas are gone from combined after this step.</t>
  </si>
  <si>
    <t xml:space="preserve">    If Len(existingTown) = 0 Then</t>
  </si>
  <si>
    <t xml:space="preserve">        townCandidate = ""</t>
  </si>
  <si>
    <t xml:space="preserve">        combined = ExtractTown(combined, townCandidate)</t>
  </si>
  <si>
    <t xml:space="preserve">        If Len(townCandidate) &gt; 0 Then</t>
  </si>
  <si>
    <t xml:space="preserve">            Me.Cells(r, TOWN_COL).Value = townCandidate</t>
  </si>
  <si>
    <t xml:space="preserve">            RestoreInputFormat Me.Cells(r, TOWN_COL)</t>
  </si>
  <si>
    <t xml:space="preserve">        combined = NormalizeSpaces(Replace(combined, ",", " "))</t>
  </si>
  <si>
    <t xml:space="preserve">    ' 4. abbreviations (standard postal short forms; "Unit" only shortens to "U."</t>
  </si>
  <si>
    <t xml:space="preserve">    '    when directly followed by an identifier, e.g. "Unit 3" / "Unit B" / "Unit No. 3")</t>
  </si>
  <si>
    <t xml:space="preserve">    combined = ApplyAbbreviations(combined)</t>
  </si>
  <si>
    <t xml:space="preserve">    combined = NormalizeSpaces(combined)</t>
  </si>
  <si>
    <t xml:space="preserve">    ' 5. re-pack into up to 3 lines of 35 characters, filling Line 1 then Line 2 first</t>
  </si>
  <si>
    <t xml:space="preserve">    overflowed = RepackLines(combined, line1, line2, line3)</t>
  </si>
  <si>
    <t xml:space="preserve">    If overflowed Then</t>
  </si>
  <si>
    <t xml:space="preserve">        notes = notes &amp; "Address still doesn't fit across 3 lines even after abbreviating - please shorten manually. "</t>
  </si>
  <si>
    <t xml:space="preserve">    Me.Cells(r, ADDR1_COL).Value = line1</t>
  </si>
  <si>
    <t xml:space="preserve">    Me.Cells(r, ADDR2_COL).Value = line2</t>
  </si>
  <si>
    <t xml:space="preserve">    Me.Cells(r, ADDR3_COL).Value = line3</t>
  </si>
  <si>
    <t xml:space="preserve">    RestoreInputFormat Me.Cells(r, ADDR1_COL)</t>
  </si>
  <si>
    <t xml:space="preserve">    RestoreInputFormat Me.Cells(r, ADDR2_COL)</t>
  </si>
  <si>
    <t xml:space="preserve">    RestoreInputFormat Me.Cells(r, ADDR3_COL)</t>
  </si>
  <si>
    <t xml:space="preserve">    ' v0.16: AE is now locked/protected too - same defensive wrap as the AD write above, and</t>
  </si>
  <si>
    <t xml:space="preserve">    ' for the same reason (this write happening last means Address Line 1-3 and Country/Town/</t>
  </si>
  <si>
    <t xml:space="preserve">    ' Postcode/County above are already safely written either way, but there's no reason not</t>
  </si>
  <si>
    <t xml:space="preserve">    ' to protect this one too).</t>
  </si>
  <si>
    <t xml:space="preserve">    Me.Cells(r, NOTES_COL).Value = Trim$(notes)</t>
  </si>
  <si>
    <t>Private Sub HandleCountyExtraction(ByVal r As Long, ByRef combinedText As String, ByVal countryCode As String, ByRef countyNote As String)</t>
  </si>
  <si>
    <t xml:space="preserve">    ' v0.12: real county/state auto-extraction using the curated reference list on</t>
  </si>
  <si>
    <t xml:space="preserve">    ' PRODUCT DATA (columns NX / NY - see ExtractCounty</t>
  </si>
  <si>
    <t xml:space="preserve">    ' for the matching rules). Only ever runs when County (column K) is currently blank -</t>
  </si>
  <si>
    <t xml:space="preserve">    ' never overwrites a manually entered County. countyNote is set to an ambiguity</t>
  </si>
  <si>
    <t xml:space="preserve">    ' message if more than one county was mentioned (mirroring how Country handles the</t>
  </si>
  <si>
    <t xml:space="preserve">    ' same situation); the caller folds it into the row's own Staff Review Notes.</t>
  </si>
  <si>
    <t xml:space="preserve">    Const COUNTY_COL As Long = 11   ' column K</t>
  </si>
  <si>
    <t xml:space="preserve">    Dim foundName As String, otherNames As String</t>
  </si>
  <si>
    <t xml:space="preserve">    If Len(Trim$(CStr(Me.Cells(r, COUNTY_COL).Value))) &gt; 0 Then Exit Sub</t>
  </si>
  <si>
    <t xml:space="preserve">    foundName = ""</t>
  </si>
  <si>
    <t xml:space="preserve">    otherNames = ""</t>
  </si>
  <si>
    <t xml:space="preserve">    combinedText = ExtractCounty(combinedText, countryCode, foundName, otherNames)</t>
  </si>
  <si>
    <t xml:space="preserve">    If Len(foundName) &gt; 0 Then</t>
  </si>
  <si>
    <t xml:space="preserve">        Me.Cells(r, COUNTY_COL).Value = foundName</t>
  </si>
  <si>
    <t xml:space="preserve">        RestoreInputFormat Me.Cells(r, COUNTY_COL)</t>
  </si>
  <si>
    <t xml:space="preserve">        If Len(otherNames) &gt; 0 Then</t>
  </si>
  <si>
    <t xml:space="preserve">            countyNote = "Address text mentioned more than one county ('" &amp; foundName &amp; "', " &amp; otherNames &amp; ") - used '" &amp; foundName &amp; "' (mentioned first) as County; please verify this is correct. "</t>
  </si>
  <si>
    <t>Private Sub HandleDublinEircodeCounty(ByVal r As Long)</t>
  </si>
  <si>
    <t xml:space="preserve">    ' v1.0, NEW (feature 6 - see the Worksheet_Change comment block). Auto-fills</t>
  </si>
  <si>
    <t xml:space="preserve">    ' County (K) from a Dublin EIRCODE ROUTING KEY, completely independent of</t>
  </si>
  <si>
    <t xml:space="preserve">    ' HandleCountyExtraction/ExtractCounty above (which only ever fires on an</t>
  </si>
  <si>
    <t xml:space="preserve">    ' explicit "Co. Dublin"/"County Dublin" MENTION inside pasted address text -</t>
  </si>
  <si>
    <t xml:space="preserve">    ' never on the Eircode itself). An Irish Eircode's first 3 characters are its</t>
  </si>
  <si>
    <t xml:space="preserve">    ' "routing key", and every Dublin routing key starts with the letter D:</t>
  </si>
  <si>
    <t xml:space="preserve">    '   - "D" + exactly 2 digits -&gt; that numbered Dublin postal district, leading</t>
  </si>
  <si>
    <t xml:space="preserve">    '     zero stripped (e.g. "D04 K7X4" -&gt; "Dublin 4"), but only for the digits</t>
  </si>
  <si>
    <t xml:space="preserve">    '     that are actually real Dublin districts: 1-24 EXCLUDING 19 and 23</t>
  </si>
  <si>
    <t xml:space="preserve">    '     (neither of those two is a real district - confirmed with the client).</t>
  </si>
  <si>
    <t xml:space="preserve">    '   - "D6W" specifically -&gt; "Dublin 6W", a distinct district in its own</t>
  </si>
  <si>
    <t xml:space="preserve">    '     right, never folded into plain "Dublin 6".</t>
  </si>
  <si>
    <t xml:space="preserve">    ' Only ever runs when Country resolves to Ireland (IE) - a "D"-shaped routing</t>
  </si>
  <si>
    <t xml:space="preserve">    ' key means nothing for any other country.</t>
  </si>
  <si>
    <t xml:space="preserve">    ' v1.1 fix: reads Country from COUNTRY_COL (M - the real cell that every</t>
  </si>
  <si>
    <t xml:space="preserve">    ' code path, including HandleAddressCleanup's country-mention extraction,</t>
  </si>
  <si>
    <t xml:space="preserve">    ' writes to directly with a plain VBA assignment) instead of the old</t>
  </si>
  <si>
    <t xml:space="preserve">    ' COUNTRYCODE_COL (N, a hidden helper FORMULA cell). N is only ever correct</t>
  </si>
  <si>
    <t xml:space="preserve">    ' once Excel has recalculated it, and Excel does not guarantee that a</t>
  </si>
  <si>
    <t xml:space="preserve">    ' formula cell is recalculated synchronously the instant a VBA procedure</t>
  </si>
  <si>
    <t xml:space="preserve">    ' writes to a cell it depends on - so when Country was JUST resolved by</t>
  </si>
  <si>
    <t xml:space="preserve">    ' HandleAddressCleanup earlier in the very same Worksheet_Change event</t>
  </si>
  <si>
    <t xml:space="preserve">    ' (e.g. pasting a full address line that mentions the country), N could</t>
  </si>
  <si>
    <t xml:space="preserve">    ' still read as blank/stale at the moment this Sub ran, silently skipping</t>
  </si>
  <si>
    <t xml:space="preserve">    ' the whole feature. M is always current the instant it's written, so</t>
  </si>
  <si>
    <t xml:space="preserve">    ' reading from M removes that timing risk entirely.</t>
  </si>
  <si>
    <t xml:space="preserve">    ' v1.3 fix (Cathy's feedback): this Sub used to ONLY EVER fill County the</t>
  </si>
  <si>
    <t xml:space="preserve">    ' very first time (it exited immediately the moment County held anything</t>
  </si>
  <si>
    <t xml:space="preserve">    ' at all) - so correcting a typo'd Eircode afterwards (e.g. D02DW22 -&gt;</t>
  </si>
  <si>
    <t xml:space="preserve">    ' D04HR54) never updated County again; it stayed on whichever Dublin</t>
  </si>
  <si>
    <t xml:space="preserve">    ' district the FIRST Eircode resolved to. Fixed by tracking, in a new</t>
  </si>
  <si>
    <t xml:space="preserve">    ' hidden helper column (AD, "County Auto-Fill Tracker"), the exact value</t>
  </si>
  <si>
    <t xml:space="preserve">    ' this Sub itself last wrote into County for this row. As long as County</t>
  </si>
  <si>
    <t xml:space="preserve">    ' still holds EXACTLY that value - nobody has typed over it since - this</t>
  </si>
  <si>
    <t xml:space="preserve">    ' Sub keeps it in sync with Postcode on every change, including clearing</t>
  </si>
  <si>
    <t xml:space="preserve">    ' it back to blank if Postcode no longer resolves to a Dublin district at</t>
  </si>
  <si>
    <t xml:space="preserve">    ' all (or Country is no longer Ireland). The moment a person types</t>
  </si>
  <si>
    <t xml:space="preserve">    ' directly into County (see Pass 1b above, which clears this same</t>
  </si>
  <si>
    <t xml:space="preserve">    ' tracker the instant that happens), County is treated as a deliberate</t>
  </si>
  <si>
    <t xml:space="preserve">    ' manual entry and this Sub never touches it again - exactly the</t>
  </si>
  <si>
    <t xml:space="preserve">    ' "don't clobber a manual override" protection the ORIGINAL design had,</t>
  </si>
  <si>
    <t xml:space="preserve">    ' just no longer confused with "was auto-filled and never touched since".</t>
  </si>
  <si>
    <t xml:space="preserve">    Const COUNTY_COL As Long = 11        ' column K</t>
  </si>
  <si>
    <t xml:space="preserve">    Const POSTCODE_COL As Long = 12      ' column L</t>
  </si>
  <si>
    <t xml:space="preserve">    Const COUNTRY_COL As Long = 13       ' column M (real cell, always synchronously current)</t>
  </si>
  <si>
    <t xml:space="preserve">    Const AUTOFILL_TRACKER_COL As Long = 30   ' column AD</t>
  </si>
  <si>
    <t xml:space="preserve">    Dim pc As String</t>
  </si>
  <si>
    <t xml:space="preserve">    Dim routingKey As String</t>
  </si>
  <si>
    <t xml:space="preserve">    Dim digits As String</t>
  </si>
  <si>
    <t xml:space="preserve">    Dim n As Long</t>
  </si>
  <si>
    <t xml:space="preserve">    Dim dublinName As String</t>
  </si>
  <si>
    <t xml:space="preserve">    Dim currentCounty As String</t>
  </si>
  <si>
    <t xml:space="preserve">    Dim tracker As String</t>
  </si>
  <si>
    <t xml:space="preserve">    currentCounty = Trim$(CStr(Me.Cells(r, COUNTY_COL).Value))</t>
  </si>
  <si>
    <t xml:space="preserve">    tracker = Trim$(CStr(Me.Cells(r, AUTOFILL_TRACKER_COL).Value))</t>
  </si>
  <si>
    <t xml:space="preserve">    ' A non-blank County that does NOT match what this Sub itself last wrote</t>
  </si>
  <si>
    <t xml:space="preserve">    ' is a manual entry (or a manual override of an old auto-fill) - leave it</t>
  </si>
  <si>
    <t xml:space="preserve">    ' alone completely, same spirit as the original design.</t>
  </si>
  <si>
    <t xml:space="preserve">    If Len(currentCounty) &gt; 0 Then</t>
  </si>
  <si>
    <t xml:space="preserve">        If StrComp(currentCounty, tracker, vbBinaryCompare) &lt;&gt; 0 Then Exit Sub</t>
  </si>
  <si>
    <t xml:space="preserve">    If StrComp(countryCode, "IE", vbTextCompare) &lt;&gt; 0 Then Exit Sub</t>
  </si>
  <si>
    <t xml:space="preserve">    pc = UCase$(Replace(Trim$(CStr(Me.Cells(r, POSTCODE_COL).Value)), " ", ""))</t>
  </si>
  <si>
    <t xml:space="preserve">    dublinName = ""</t>
  </si>
  <si>
    <t xml:space="preserve">    If Len(pc) &gt;= 3 And Left$(pc, 1) = "D" Then</t>
  </si>
  <si>
    <t xml:space="preserve">        routingKey = Left$(pc, 3)</t>
  </si>
  <si>
    <t xml:space="preserve">        If routingKey = "D6W" Then</t>
  </si>
  <si>
    <t xml:space="preserve">            dublinName = "Dublin 6W"</t>
  </si>
  <si>
    <t xml:space="preserve">            digits = Mid$(routingKey, 2, 2)</t>
  </si>
  <si>
    <t xml:space="preserve">            If IsNumeric(digits) Then</t>
  </si>
  <si>
    <t xml:space="preserve">                n = CLng(digits)</t>
  </si>
  <si>
    <t xml:space="preserve">                Select Case n</t>
  </si>
  <si>
    <t xml:space="preserve">                    Case 1 To 18, 20, 21, 22, 24   ' 1-24 excluding 19 and 23</t>
  </si>
  <si>
    <t xml:space="preserve">                        dublinName = "Dublin " &amp; CStr(n)</t>
  </si>
  <si>
    <t xml:space="preserve">                End Select</t>
  </si>
  <si>
    <t xml:space="preserve">    If StrComp(currentCounty, dublinName, vbBinaryCompare) &lt;&gt; 0 Then</t>
  </si>
  <si>
    <t xml:space="preserve">        Me.Cells(r, COUNTY_COL).Value = dublinName</t>
  </si>
  <si>
    <t xml:space="preserve">    Me.Cells(r, AUTOFILL_TRACKER_COL).Value = dublinName</t>
  </si>
  <si>
    <t>Private Function ExtractCounty(ByVal text As String, ByVal countryCode As String, ByRef foundName As String, ByRef otherNames As String) As String</t>
  </si>
  <si>
    <t xml:space="preserve">    ' Looks for "Co. &lt;name&gt;" / "County &lt;name&gt;" wording where &lt;name&gt; is a known county/state</t>
  </si>
  <si>
    <t xml:space="preserve">    ' for countryCode - see PRODUCT DATA columns NX (name) / NY</t>
  </si>
  <si>
    <t xml:space="preserve">    ' (which country that name belongs to). Two deliberate safety choices, per the approved</t>
  </si>
  <si>
    <t xml:space="preserve">    ' design:</t>
  </si>
  <si>
    <t xml:space="preserve">    '   COUNTRY-SCOPED - only ever compared against the counties belonging to countryCode.</t>
  </si>
  <si>
    <t xml:space="preserve">    '   This is what makes it safe to include short/common names like "Georgia" (a US state) -</t>
  </si>
  <si>
    <t xml:space="preserve">    '   it is only ever checked once countryCode = "US", so it can never be confused with the</t>
  </si>
  <si>
    <t xml:space="preserve">    '   unrelated, non-deliverable COUNTRY also named Georgia (which was never even a candidate,</t>
  </si>
  <si>
    <t xml:space="preserve">    '   since it isn't one of the 57 deliverable countries and so has no county list of its own).</t>
  </si>
  <si>
    <t xml:space="preserve">    '   MARKER-REQUIRED - only matches text explicitly introduced by "Co."/"County" wording.</t>
  </si>
  <si>
    <t xml:space="preserve">    '   A bare county/state name with no such marker is deliberately NOT matched, because this</t>
  </si>
  <si>
    <t xml:space="preserve">    '   exact reference list contains names that are ALSO real town names (e.g. "Dublin" is both</t>
  </si>
  <si>
    <t xml:space="preserve">    '   the Town and, prefixed with "Co.", the County) - matching a bare name would risk quietly</t>
  </si>
  <si>
    <t xml:space="preserve">    '   stealing a correct Town guess. Matching only ever happens on the marked form.</t>
  </si>
  <si>
    <t xml:space="preserve">    ' If countryCode is blank, nothing is attempted (no country resolved yet = nothing to scope</t>
  </si>
  <si>
    <t xml:space="preserve">    ' the county list to). Tries the LONGEST candidate names first and tracks claimed character</t>
  </si>
  <si>
    <t xml:space="preserve">    ' spans so a multi-word name (e.g. the Dublin postal district "Dublin 4") wins over a shorter</t>
  </si>
  <si>
    <t xml:space="preserve">    ' name that would otherwise match a prefix of the same text ("Dublin"). If more than one</t>
  </si>
  <si>
    <t xml:space="preserve">    ' distinct county is matched, the first (left to right in text) is returned via foundName and</t>
  </si>
  <si>
    <t xml:space="preserve">    ' any others via otherNames (comma-separated), for the caller to flag as an ambiguity, exactly</t>
  </si>
  <si>
    <t xml:space="preserve">    ' like ExtractCountryMention does for multiple countries. Returns text with every matched</t>
  </si>
  <si>
    <t xml:space="preserve">    ' "Co./County &lt;name&gt;" phrase removed.</t>
  </si>
  <si>
    <t xml:space="preserve">    Const NAME_COL As String = "NX"</t>
  </si>
  <si>
    <t xml:space="preserve">    Const CC_COL As String = "NY"</t>
  </si>
  <si>
    <t xml:space="preserve">    Dim lastRow As Long, i As Long, j As Long, k As Long</t>
  </si>
  <si>
    <t xml:space="preserve">    Dim re As Object, ms As Object</t>
  </si>
  <si>
    <t xml:space="preserve">    Dim candName As String</t>
  </si>
  <si>
    <t xml:space="preserve">    Dim names() As String</t>
  </si>
  <si>
    <t xml:space="preserve">    Dim cnt As Long</t>
  </si>
  <si>
    <t xml:space="preserve">    Dim tmpName As String, tmpLen As Long</t>
  </si>
  <si>
    <t xml:space="preserve">    Dim starts() As Long, ends() As Long, matchNames() As String</t>
  </si>
  <si>
    <t xml:space="preserve">    Dim claimCnt As Long</t>
  </si>
  <si>
    <t xml:space="preserve">    Dim mi As Long, s As Long, e As Long</t>
  </si>
  <si>
    <t xml:space="preserve">    Dim overlapped As Boolean</t>
  </si>
  <si>
    <t xml:space="preserve">    Dim ts As Long, te As Long, tn As String</t>
  </si>
  <si>
    <t xml:space="preserve">    Dim result As String</t>
  </si>
  <si>
    <t xml:space="preserve">    result = text</t>
  </si>
  <si>
    <t xml:space="preserve">    ExtractCounty = result</t>
  </si>
  <si>
    <t xml:space="preserve">    If Len(countryCode) = 0 Then Exit Function</t>
  </si>
  <si>
    <t xml:space="preserve">    lastRow = pd.Range(NAME_COL &amp; pd.Rows.Count).End(xlUp).Row</t>
  </si>
  <si>
    <t xml:space="preserve">    ReDim names(0 To lastRow)</t>
  </si>
  <si>
    <t xml:space="preserve">    cnt = 0</t>
  </si>
  <si>
    <t xml:space="preserve">        If StrComp(Trim$(CStr(pd.Range(CC_COL &amp; i).Value)), countryCode, vbTextCompare) = 0 Then</t>
  </si>
  <si>
    <t xml:space="preserve">            candName = Trim$(CStr(pd.Range(NAME_COL &amp; i).Value))</t>
  </si>
  <si>
    <t xml:space="preserve">            If Len(candName) &gt; 0 Then</t>
  </si>
  <si>
    <t xml:space="preserve">                names(cnt) = candName</t>
  </si>
  <si>
    <t xml:space="preserve">                cnt = cnt + 1</t>
  </si>
  <si>
    <t xml:space="preserve">    If cnt = 0 Then Exit Function</t>
  </si>
  <si>
    <t xml:space="preserve">    ' sort candidates by length descending (insertion sort - cnt is small, a few dozen at most).</t>
  </si>
  <si>
    <t xml:space="preserve">    ' NOTE (v0.13 fix): the loop guard below checks k &gt;= 0 on its OWN line, with the array</t>
  </si>
  <si>
    <t xml:space="preserve">    ' access (Len(names(k))) only ever reached once that is already known to be true. VBA's</t>
  </si>
  <si>
    <t xml:space="preserve">    ' "And" does NOT short-circuit like most languages' "&amp;&amp;" - "k &gt;= 0 And Len(names(k)) &lt; x"</t>
  </si>
  <si>
    <t xml:space="preserve">    ' evaluates Len(names(k)) even when k is -1, which threw a "Subscript out of range" crash</t>
  </si>
  <si>
    <t xml:space="preserve">    ' every time the insertion needed to move all the way to the front of the list (i.e. almost</t>
  </si>
  <si>
    <t xml:space="preserve">    ' any time a country had more than a couple of counties/states, so this crash was NOT</t>
  </si>
  <si>
    <t xml:space="preserve">    ' Ireland-specific coincidence - it silently broke County for most other countries).</t>
  </si>
  <si>
    <t xml:space="preserve">    For j = 1 To cnt - 1</t>
  </si>
  <si>
    <t xml:space="preserve">        tmpName = names(j)</t>
  </si>
  <si>
    <t xml:space="preserve">        tmpLen = Len(tmpName)</t>
  </si>
  <si>
    <t xml:space="preserve">        k = j - 1</t>
  </si>
  <si>
    <t xml:space="preserve">        Do While k &gt;= 0</t>
  </si>
  <si>
    <t xml:space="preserve">            If Not (Len(names(k)) &lt; tmpLen) Then Exit Do</t>
  </si>
  <si>
    <t xml:space="preserve">            names(k + 1) = names(k)</t>
  </si>
  <si>
    <t xml:space="preserve">            k = k - 1</t>
  </si>
  <si>
    <t xml:space="preserve">        Loop</t>
  </si>
  <si>
    <t xml:space="preserve">        names(k + 1) = tmpName</t>
  </si>
  <si>
    <t xml:space="preserve">    Next j</t>
  </si>
  <si>
    <t xml:space="preserve">    ReDim starts(0 To cnt - 1)</t>
  </si>
  <si>
    <t xml:space="preserve">    ReDim ends(0 To cnt - 1)</t>
  </si>
  <si>
    <t xml:space="preserve">    ReDim matchNames(0 To cnt - 1)</t>
  </si>
  <si>
    <t xml:space="preserve">    claimCnt = 0</t>
  </si>
  <si>
    <t xml:space="preserve">    Set re = CreateObject("VBScript.RegExp")</t>
  </si>
  <si>
    <t xml:space="preserve">    re.IgnoreCase = True</t>
  </si>
  <si>
    <t xml:space="preserve">    re.Global = True</t>
  </si>
  <si>
    <t xml:space="preserve">    For i = 0 To cnt - 1</t>
  </si>
  <si>
    <t xml:space="preserve">        re.pattern = "\b(?:Co\.?|County)\s+" &amp; RegexEscape(names(i)) &amp; "\b"</t>
  </si>
  <si>
    <t xml:space="preserve">        If re.Test(text) Then</t>
  </si>
  <si>
    <t xml:space="preserve">            Set ms = re.Execute(text)</t>
  </si>
  <si>
    <t xml:space="preserve">            For mi = 0 To ms.Count - 1</t>
  </si>
  <si>
    <t xml:space="preserve">                s = ms(mi).FirstIndex</t>
  </si>
  <si>
    <t xml:space="preserve">                e = s + ms(mi).Length</t>
  </si>
  <si>
    <t xml:space="preserve">                overlapped = False</t>
  </si>
  <si>
    <t xml:space="preserve">                For k = 0 To claimCnt - 1</t>
  </si>
  <si>
    <t xml:space="preserve">                    If Not (e &lt;= starts(k) Or s &gt;= ends(k)) Then</t>
  </si>
  <si>
    <t xml:space="preserve">                        overlapped = True</t>
  </si>
  <si>
    <t xml:space="preserve">                        Exit For</t>
  </si>
  <si>
    <t xml:space="preserve">                    End If</t>
  </si>
  <si>
    <t xml:space="preserve">                Next k</t>
  </si>
  <si>
    <t xml:space="preserve">                If Not overlapped Then</t>
  </si>
  <si>
    <t xml:space="preserve">                    starts(claimCnt) = s</t>
  </si>
  <si>
    <t xml:space="preserve">                    ends(claimCnt) = e</t>
  </si>
  <si>
    <t xml:space="preserve">                    matchNames(claimCnt) = names(i)</t>
  </si>
  <si>
    <t xml:space="preserve">                    claimCnt = claimCnt + 1</t>
  </si>
  <si>
    <t xml:space="preserve">            Next mi</t>
  </si>
  <si>
    <t xml:space="preserve">    If claimCnt = 0 Then Exit Function</t>
  </si>
  <si>
    <t xml:space="preserve">    ' sort claims by start position ascending (insertion sort). See the v0.13 fix note on the</t>
  </si>
  <si>
    <t xml:space="preserve">    ' candidate-length sort above - same "k &gt;= 0" isolation, same reason.</t>
  </si>
  <si>
    <t xml:space="preserve">    For j = 1 To claimCnt - 1</t>
  </si>
  <si>
    <t xml:space="preserve">        ts = starts(j): te = ends(j): tn = matchNames(j)</t>
  </si>
  <si>
    <t xml:space="preserve">            If Not (starts(k) &gt; ts) Then Exit Do</t>
  </si>
  <si>
    <t xml:space="preserve">            starts(k + 1) = starts(k)</t>
  </si>
  <si>
    <t xml:space="preserve">            ends(k + 1) = ends(k)</t>
  </si>
  <si>
    <t xml:space="preserve">            matchNames(k + 1) = matchNames(k)</t>
  </si>
  <si>
    <t xml:space="preserve">        starts(k + 1) = ts</t>
  </si>
  <si>
    <t xml:space="preserve">        ends(k + 1) = te</t>
  </si>
  <si>
    <t xml:space="preserve">        matchNames(k + 1) = tn</t>
  </si>
  <si>
    <t xml:space="preserve">    foundName = matchNames(0)</t>
  </si>
  <si>
    <t xml:space="preserve">        If Len(otherNames) &gt; 0 Then otherNames = otherNames &amp; ", "</t>
  </si>
  <si>
    <t xml:space="preserve">        otherNames = otherNames &amp; matchNames(j)</t>
  </si>
  <si>
    <t xml:space="preserve">    ' remove every claimed span, highest start first so earlier indices stay valid</t>
  </si>
  <si>
    <t xml:space="preserve">    For j = claimCnt - 1 To 0 Step -1</t>
  </si>
  <si>
    <t xml:space="preserve">        result = Left$(result, starts(j)) &amp; " " &amp; Mid$(result, ends(j) + 1)</t>
  </si>
  <si>
    <t xml:space="preserve">    ExtractCounty = NormalizeSpaces(result)</t>
  </si>
  <si>
    <t>Private Function GetPostcodePattern(ByVal countryCode As String) As String</t>
  </si>
  <si>
    <t xml:space="preserve">    ' Looks up the postcode regex pattern for countryCode from the PRODUCT DATA</t>
  </si>
  <si>
    <t xml:space="preserve">    ' postcode-pattern table (columns NU / NV). Returns ""</t>
  </si>
  <si>
    <t xml:space="preserve">    ' if countryCode is blank or not covered by that table (postcode auto-extraction</t>
  </si>
  <si>
    <t xml:space="preserve">    ' is then simply skipped for that row - Postcode still works as a normal typed field).</t>
  </si>
  <si>
    <t xml:space="preserve">    Const PC_CODE_COL As String = "NU"</t>
  </si>
  <si>
    <t xml:space="preserve">    Const PC_PATTERN_COL As String = "NV"</t>
  </si>
  <si>
    <t xml:space="preserve">    GetPostcodePattern = ""</t>
  </si>
  <si>
    <t xml:space="preserve">    lastRow = pd.Range(PC_CODE_COL &amp; pd.Rows.Count).End(xlUp).Row</t>
  </si>
  <si>
    <t xml:space="preserve">        If StrComp(Trim$(CStr(pd.Range(PC_CODE_COL &amp; i).Value)), countryCode, vbTextCompare) = 0 Then</t>
  </si>
  <si>
    <t xml:space="preserve">            GetPostcodePattern = CStr(pd.Range(PC_PATTERN_COL &amp; i).Value)</t>
  </si>
  <si>
    <t>Private Function ExtractPostcode(ByVal text As String, ByVal countryCode As String, ByRef found As String) As String</t>
  </si>
  <si>
    <t xml:space="preserve">    ' Searches text for a postcode matching countryCode's known format (if any) and</t>
  </si>
  <si>
    <t xml:space="preserve">    ' returns text with that match removed. found is set to the matched postcode, or</t>
  </si>
  <si>
    <t xml:space="preserve">    ' "" if no pattern is available for this country or nothing matched.</t>
  </si>
  <si>
    <t xml:space="preserve">    Dim pattern As String</t>
  </si>
  <si>
    <t xml:space="preserve">    Dim re As Object</t>
  </si>
  <si>
    <t xml:space="preserve">    Dim m As Object</t>
  </si>
  <si>
    <t xml:space="preserve">    found = ""</t>
  </si>
  <si>
    <t xml:space="preserve">    ExtractPostcode = text</t>
  </si>
  <si>
    <t xml:space="preserve">    pattern = GetPostcodePattern(countryCode)</t>
  </si>
  <si>
    <t xml:space="preserve">    If Len(pattern) = 0 Then Exit Function</t>
  </si>
  <si>
    <t xml:space="preserve">    re.pattern = "\b(" &amp; pattern &amp; ")\b"</t>
  </si>
  <si>
    <t xml:space="preserve">    re.Global = False</t>
  </si>
  <si>
    <t xml:space="preserve">    If re.Test(text) Then</t>
  </si>
  <si>
    <t xml:space="preserve">        Set m = re.Execute(text)</t>
  </si>
  <si>
    <t xml:space="preserve">        found = Trim$(m(0).Value)</t>
  </si>
  <si>
    <t xml:space="preserve">        ExtractPostcode = NormalizeSpaces(re.Replace(text, " "))</t>
  </si>
  <si>
    <t>Private Function ExtractCountryMention(ByVal text As String, ByRef foundNames As String) As String</t>
  </si>
  <si>
    <t xml:space="preserve">    ' Removes any FULL country name (from the PRODUCT DATA country table, column A)</t>
  </si>
  <si>
    <t xml:space="preserve">    ' found as a whole phrase in text. Deliberately does NOT try to match bare</t>
  </si>
  <si>
    <t xml:space="preserve">    ' 2-letter codes here - too ambiguous inside free-text address lines. Returns</t>
  </si>
  <si>
    <t xml:space="preserve">    ' the text with any matches removed; foundNames collects what was removed, IN</t>
  </si>
  <si>
    <t xml:space="preserve">    ' THE ORDER EACH NAME FIRST APPEARS IN text (left to right) - not PRODUCT DATA</t>
  </si>
  <si>
    <t xml:space="preserve">    ' row order - so a caller can treat the first name in foundNames as the</t>
  </si>
  <si>
    <t xml:space="preserve">    ' left-most (and, per policy, most likely intended destination) mention when</t>
  </si>
  <si>
    <t xml:space="preserve">    ' more than one country is mentioned. Comma-separated when more than one.</t>
  </si>
  <si>
    <t xml:space="preserve">    Dim re As Object, m As Object</t>
  </si>
  <si>
    <t xml:space="preserve">    Dim countryName As String</t>
  </si>
  <si>
    <t xml:space="preserve">    Dim positions() As Long</t>
  </si>
  <si>
    <t xml:space="preserve">    Dim tmpPos As Long, tmpName As String</t>
  </si>
  <si>
    <t xml:space="preserve">    foundNames = ""</t>
  </si>
  <si>
    <t xml:space="preserve">    If pd Is Nothing Then</t>
  </si>
  <si>
    <t xml:space="preserve">        ExtractCountryMention = result</t>
  </si>
  <si>
    <t xml:space="preserve">    ReDim positions(0 To lastRow)</t>
  </si>
  <si>
    <t xml:space="preserve">    ' Pass 1: find each distinct country name's FIRST position in the original text</t>
  </si>
  <si>
    <t xml:space="preserve">        countryName = Trim$(CStr(pd.Cells(i, 1).Value))</t>
  </si>
  <si>
    <t xml:space="preserve">        If Len(countryName) &gt; 0 Then</t>
  </si>
  <si>
    <t xml:space="preserve">            re.pattern = "\b" &amp; RegexEscape(countryName) &amp; "\b"</t>
  </si>
  <si>
    <t xml:space="preserve">            If re.Test(text) Then</t>
  </si>
  <si>
    <t xml:space="preserve">                Set m = re.Execute(text)</t>
  </si>
  <si>
    <t xml:space="preserve">                positions(cnt) = m(0).FirstIndex</t>
  </si>
  <si>
    <t xml:space="preserve">                names(cnt) = countryName</t>
  </si>
  <si>
    <t xml:space="preserve">    ' Pass 2: sort the found (position, name) pairs ascending by position - simple</t>
  </si>
  <si>
    <t xml:space="preserve">    ' insertion sort, since cnt is always tiny (a handful of matches at most). v0.13 fix:</t>
  </si>
  <si>
    <t xml:space="preserve">    ' same "k &gt;= 0" isolation as ExtractCounty's two sorts - this one could crash whenever</t>
  </si>
  <si>
    <t xml:space="preserve">    ' 2+ distinct countries were mentioned in an order that needed the earliest-positioned</t>
  </si>
  <si>
    <t xml:space="preserve">    ' one moved to the very front (an easy way to hit it: mention the LATER-alphabetical-row</t>
  </si>
  <si>
    <t xml:space="preserve">    ' country name FIRST in the text).</t>
  </si>
  <si>
    <t xml:space="preserve">        tmpPos = positions(j): tmpName = names(j)</t>
  </si>
  <si>
    <t xml:space="preserve">            If Not (positions(k) &gt; tmpPos) Then Exit Do</t>
  </si>
  <si>
    <t xml:space="preserve">            positions(k + 1) = positions(k)</t>
  </si>
  <si>
    <t xml:space="preserve">        positions(k + 1) = tmpPos</t>
  </si>
  <si>
    <t xml:space="preserve">    ' Pass 3: build foundNames in that positional order, and remove every matched</t>
  </si>
  <si>
    <t xml:space="preserve">    ' name from result</t>
  </si>
  <si>
    <t xml:space="preserve">    For j = 0 To cnt - 1</t>
  </si>
  <si>
    <t xml:space="preserve">        If Len(foundNames) &gt; 0 Then foundNames = foundNames &amp; ", "</t>
  </si>
  <si>
    <t xml:space="preserve">        foundNames = foundNames &amp; names(j)</t>
  </si>
  <si>
    <t xml:space="preserve">        re.pattern = "\b" &amp; RegexEscape(names(j)) &amp; "\b"</t>
  </si>
  <si>
    <t xml:space="preserve">        result = NormalizeSpaces(re.Replace(result, " "))</t>
  </si>
  <si>
    <t xml:space="preserve">    ExtractCountryMention = result</t>
  </si>
  <si>
    <t>Private Function ExtractTown(ByVal text As String, ByRef townCandidate As String) As String</t>
  </si>
  <si>
    <t xml:space="preserve">    ' Heuristic: text has already had Postcode and Country removed by this point.</t>
  </si>
  <si>
    <t xml:space="preserve">    ' Split what's left on commas - if 2+ non-blank segments remain, the LAST one</t>
  </si>
  <si>
    <t xml:space="preserve">    ' is a plausible Town, but only if it passes safety checks: no digits (street</t>
  </si>
  <si>
    <t xml:space="preserve">    ' numbers), no known street-type word (StripPunctuation'd token found in either</t>
  </si>
  <si>
    <t xml:space="preserve">    ' AbbreviationFor or the extra STREET_LIKE_WORDS list below), and within the</t>
  </si>
  <si>
    <t xml:space="preserve">    ' 35-character Town limit. Requires 2+ segments specifically so a single blob</t>
  </si>
  <si>
    <t xml:space="preserve">    ' with no commas at all (no reliable boundary between street text and a town</t>
  </si>
  <si>
    <t xml:space="preserve">    ' name) is correctly left alone - Town then simply stays a manual field, same</t>
  </si>
  <si>
    <t xml:space="preserve">    ' as always. Returns text with commas now stripped either way (accepted</t>
  </si>
  <si>
    <t xml:space="preserve">    ' segments rejoined with spaces, or the whole remainder if rejected);</t>
  </si>
  <si>
    <t xml:space="preserve">    ' townCandidate is set to the accepted Town, or "" if none passed the checks.</t>
  </si>
  <si>
    <t xml:space="preserve">    Const TOWN_LIMIT As Long = 35</t>
  </si>
  <si>
    <t xml:space="preserve">    Dim segsRaw() As String</t>
  </si>
  <si>
    <t xml:space="preserve">    Dim segs() As String</t>
  </si>
  <si>
    <t xml:space="preserve">    Dim n As Long, i As Long, nonBlank As Long</t>
  </si>
  <si>
    <t xml:space="preserve">    Dim candidate As String</t>
  </si>
  <si>
    <t xml:space="preserve">    Dim ok As Boolean</t>
  </si>
  <si>
    <t xml:space="preserve">    Dim reDigit As Object</t>
  </si>
  <si>
    <t xml:space="preserve">    Dim toks() As String</t>
  </si>
  <si>
    <t xml:space="preserve">    Dim ti As Long</t>
  </si>
  <si>
    <t xml:space="preserve">    Dim bareTok As String</t>
  </si>
  <si>
    <t xml:space="preserve">    Dim rebuilt As String</t>
  </si>
  <si>
    <t xml:space="preserve">    townCandidate = ""</t>
  </si>
  <si>
    <t xml:space="preserve">    segsRaw = Split(text, ",")</t>
  </si>
  <si>
    <t xml:space="preserve">    n = UBound(segsRaw) - LBound(segsRaw) + 1</t>
  </si>
  <si>
    <t xml:space="preserve">    ReDim segs(0 To n - 1)</t>
  </si>
  <si>
    <t xml:space="preserve">    nonBlank = 0</t>
  </si>
  <si>
    <t xml:space="preserve">    For i = 0 To n - 1</t>
  </si>
  <si>
    <t xml:space="preserve">        Dim t As String</t>
  </si>
  <si>
    <t xml:space="preserve">        t = Trim$(segsRaw(i))</t>
  </si>
  <si>
    <t xml:space="preserve">        If Len(t) &gt; 0 Then</t>
  </si>
  <si>
    <t xml:space="preserve">            segs(nonBlank) = t</t>
  </si>
  <si>
    <t xml:space="preserve">            nonBlank = nonBlank + 1</t>
  </si>
  <si>
    <t xml:space="preserve">    If nonBlank &lt; 2 Then</t>
  </si>
  <si>
    <t xml:space="preserve">        ExtractTown = NormalizeSpaces(Replace(text, ",", " "))</t>
  </si>
  <si>
    <t xml:space="preserve">    candidate = segs(nonBlank - 1)</t>
  </si>
  <si>
    <t xml:space="preserve">    ok = (Len(candidate) &gt; 0) And (Len(candidate) &lt;= TOWN_LIMIT)</t>
  </si>
  <si>
    <t xml:space="preserve">    If ok Then</t>
  </si>
  <si>
    <t xml:space="preserve">        Set reDigit = CreateObject("VBScript.RegExp")</t>
  </si>
  <si>
    <t xml:space="preserve">        reDigit.pattern = "\d"</t>
  </si>
  <si>
    <t xml:space="preserve">        If reDigit.Test(candidate) Then ok = False</t>
  </si>
  <si>
    <t xml:space="preserve">        toks = Split(candidate, " ")</t>
  </si>
  <si>
    <t xml:space="preserve">        For ti = LBound(toks) To UBound(toks)</t>
  </si>
  <si>
    <t xml:space="preserve">            bareTok = StripPunctuation(toks(ti))</t>
  </si>
  <si>
    <t xml:space="preserve">            If Len(AbbreviationFor(bareTok)) &gt; 0 Or IsStreetLikeWord(bareTok) Then</t>
  </si>
  <si>
    <t xml:space="preserve">                ok = False</t>
  </si>
  <si>
    <t xml:space="preserve">                Exit For</t>
  </si>
  <si>
    <t xml:space="preserve">        Next ti</t>
  </si>
  <si>
    <t xml:space="preserve">        townCandidate = candidate</t>
  </si>
  <si>
    <t xml:space="preserve">        rebuilt = ""</t>
  </si>
  <si>
    <t xml:space="preserve">        For i = 0 To nonBlank - 2</t>
  </si>
  <si>
    <t xml:space="preserve">            If Len(rebuilt) &gt; 0 Then rebuilt = rebuilt &amp; " "</t>
  </si>
  <si>
    <t xml:space="preserve">            rebuilt = rebuilt &amp; segs(i)</t>
  </si>
  <si>
    <t xml:space="preserve">        Next i</t>
  </si>
  <si>
    <t xml:space="preserve">        ExtractTown = NormalizeSpaces(rebuilt)</t>
  </si>
  <si>
    <t>Private Function IsStreetLikeWord(ByVal bareWord As String) As Boolean</t>
  </si>
  <si>
    <t xml:space="preserve">    ' Words that are NOT abbreviated (so AbbreviationFor doesn't already catch</t>
  </si>
  <si>
    <t xml:space="preserve">    ' them) but still strongly suggest "this is still part of the street address,</t>
  </si>
  <si>
    <t xml:space="preserve">    ' not a town name" - used only as a red flag by ExtractTown above. "Unit" is</t>
  </si>
  <si>
    <t xml:space="preserve">    ' included even though a bare "Unit" with no following identifier is left</t>
  </si>
  <si>
    <t xml:space="preserve">    ' untouched by ApplyAbbreviations - it should still never be mistaken for a</t>
  </si>
  <si>
    <t xml:space="preserve">    ' town. "Via"/"c/o"/"attn" catch routing or care-of wording that can otherwise</t>
  </si>
  <si>
    <t xml:space="preserve">    ' end up sharing a comma segment with a real town name (e.g. "via Dublin").</t>
  </si>
  <si>
    <t xml:space="preserve">    ' "Co."/"County" (e.g. "Co. Dublin", "County Dublin") catch county wording. Real</t>
  </si>
  <si>
    <t xml:space="preserve">    ' County extraction (ExtractCounty, v0.12) runs BEFORE Town and normally consumes</t>
  </si>
  <si>
    <t xml:space="preserve">    ' a recognised "Co. X" phrase entirely, so Town never even sees it - this guard</t>
  </si>
  <si>
    <t xml:space="preserve">    ' is the fallback for when "Co. X" DOESN'T match anything in the county reference</t>
  </si>
  <si>
    <t xml:space="preserve">    ' list (an unlisted place, or Country wasn't resolved yet): that text is left</t>
  </si>
  <si>
    <t xml:space="preserve">    ' alone in the address like any other unrecognised word, rather than risk it</t>
  </si>
  <si>
    <t xml:space="preserve">    ' being wrongly guessed as Town.</t>
  </si>
  <si>
    <t xml:space="preserve">    ' NOTE: bareWord has already been through StripPunctuation, which strips</t>
  </si>
  <si>
    <t xml:space="preserve">    ' everything except letters/digits/periods - so "c/o" arrives here as "co",</t>
  </si>
  <si>
    <t xml:space="preserve">    ' while "Attn."/"Co." keep their period. Both forms are listed below.</t>
  </si>
  <si>
    <t xml:space="preserve">    Select Case LCase$(bareWord)</t>
  </si>
  <si>
    <t xml:space="preserve">        Case "way", "row", "mews", "quay", "circus", "house", "unit", _</t>
  </si>
  <si>
    <t xml:space="preserve">             "via", "co", "attn", "attn.", "attention", "county", "co."</t>
  </si>
  <si>
    <t xml:space="preserve">            IsStreetLikeWord = True</t>
  </si>
  <si>
    <t xml:space="preserve">            IsStreetLikeWord = False</t>
  </si>
  <si>
    <t>Private Function RegexEscape(ByVal s As String) As String</t>
  </si>
  <si>
    <t xml:space="preserve">    ' Escapes regex metacharacters in s so it can be used as a literal match.</t>
  </si>
  <si>
    <t xml:space="preserve">    ' Backslash MUST be escaped first, before any of the characters below get</t>
  </si>
  <si>
    <t xml:space="preserve">    ' their own backslash inserted.</t>
  </si>
  <si>
    <t xml:space="preserve">    Dim specials As Variant</t>
  </si>
  <si>
    <t xml:space="preserve">    specials = Array("\", ".", "^", "$", "*", "+", "?", "(", ")", "[", "]", "{", "}", "|")</t>
  </si>
  <si>
    <t xml:space="preserve">    RegexEscape = s</t>
  </si>
  <si>
    <t xml:space="preserve">    For i = LBound(specials) To UBound(specials)</t>
  </si>
  <si>
    <t xml:space="preserve">        RegexEscape = Replace(RegexEscape, specials(i), "\" &amp; specials(i))</t>
  </si>
  <si>
    <t>Private Function NormalizeSpaces(ByVal s As String) As String</t>
  </si>
  <si>
    <t xml:space="preserve">    result = Trim$(s)</t>
  </si>
  <si>
    <t xml:space="preserve">    Do While InStr(result, "  ") &gt; 0</t>
  </si>
  <si>
    <t xml:space="preserve">        result = Replace(result, "  ", " ")</t>
  </si>
  <si>
    <t xml:space="preserve">    Loop</t>
  </si>
  <si>
    <t xml:space="preserve">    NormalizeSpaces = result</t>
  </si>
  <si>
    <t>Private Function ApplyAbbreviations(ByVal text As String) As String</t>
  </si>
  <si>
    <t xml:space="preserve">    ' Word-by-word standard postal abbreviations (see AbbreviationFor). Special case:</t>
  </si>
  <si>
    <t xml:space="preserve">    ' "Unit" only shortens to "U." when directly followed by an identifier - a single</t>
  </si>
  <si>
    <t xml:space="preserve">    ' letter, a number, or "No."/"No" (e.g. "Unit B" -&gt; "U. B", "Unit 3" -&gt; "U. 3",</t>
  </si>
  <si>
    <t xml:space="preserve">    ' "Unit No. 3" -&gt; "U. No. 3") - otherwise "Unit" is left exactly as typed.</t>
  </si>
  <si>
    <t xml:space="preserve">    Dim tokens() As String</t>
  </si>
  <si>
    <t xml:space="preserve">    Dim outParts As String</t>
  </si>
  <si>
    <t xml:space="preserve">    Dim bare As String, nextBare As String</t>
  </si>
  <si>
    <t xml:space="preserve">    Dim abbr As String</t>
  </si>
  <si>
    <t xml:space="preserve">    Dim isUnitPrefix As Boolean</t>
  </si>
  <si>
    <t xml:space="preserve">    If Len(Trim$(text)) = 0 Then</t>
  </si>
  <si>
    <t xml:space="preserve">        ApplyAbbreviations = text</t>
  </si>
  <si>
    <t xml:space="preserve">    tokens = Split(text, " ")</t>
  </si>
  <si>
    <t xml:space="preserve">    outParts = ""</t>
  </si>
  <si>
    <t xml:space="preserve">    i = LBound(tokens)</t>
  </si>
  <si>
    <t xml:space="preserve">    Do While i &lt;= UBound(tokens)</t>
  </si>
  <si>
    <t xml:space="preserve">        bare = StripPunctuation(tokens(i))</t>
  </si>
  <si>
    <t xml:space="preserve">        isUnitPrefix = False</t>
  </si>
  <si>
    <t xml:space="preserve">        If StrComp(bare, "unit", vbTextCompare) = 0 And i &lt; UBound(tokens) Then</t>
  </si>
  <si>
    <t xml:space="preserve">            nextBare = StripPunctuation(tokens(i + 1))</t>
  </si>
  <si>
    <t xml:space="preserve">            If IsSingleLetter(nextBare) Or IsNumberId(nextBare) _</t>
  </si>
  <si>
    <t xml:space="preserve">               Or StrComp(nextBare, "No.", vbTextCompare) = 0 Or StrComp(nextBare, "No", vbTextCompare) = 0 Then</t>
  </si>
  <si>
    <t xml:space="preserve">                isUnitPrefix = True</t>
  </si>
  <si>
    <t xml:space="preserve">        If isUnitPrefix Then</t>
  </si>
  <si>
    <t xml:space="preserve">            outParts = AppendToken(outParts, "U.")</t>
  </si>
  <si>
    <t xml:space="preserve">            outParts = AppendToken(outParts, tokens(i + 1))   ' identifier passes through unchanged</t>
  </si>
  <si>
    <t xml:space="preserve">            i = i + 2</t>
  </si>
  <si>
    <t xml:space="preserve">            abbr = AbbreviationFor(bare)</t>
  </si>
  <si>
    <t xml:space="preserve">            If Len(abbr) &gt; 0 Then</t>
  </si>
  <si>
    <t xml:space="preserve">                outParts = AppendToken(outParts, abbr)</t>
  </si>
  <si>
    <t xml:space="preserve">                outParts = AppendToken(outParts, tokens(i))</t>
  </si>
  <si>
    <t xml:space="preserve">            i = i + 1</t>
  </si>
  <si>
    <t xml:space="preserve">    ApplyAbbreviations = outParts</t>
  </si>
  <si>
    <t>Private Function AppendToken(ByVal existing As String, ByVal tok As String) As String</t>
  </si>
  <si>
    <t xml:space="preserve">    If Len(existing) = 0 Then</t>
  </si>
  <si>
    <t xml:space="preserve">        AppendToken = tok</t>
  </si>
  <si>
    <t xml:space="preserve">        AppendToken = existing &amp; " " &amp; tok</t>
  </si>
  <si>
    <t>Private Function StripPunctuation(ByVal s As String) As String</t>
  </si>
  <si>
    <t xml:space="preserve">    re.pattern = "[^A-Za-z0-9.]"</t>
  </si>
  <si>
    <t xml:space="preserve">    StripPunctuation = re.Replace(s, "")</t>
  </si>
  <si>
    <t>Private Function IsSingleLetter(ByVal s As String) As Boolean</t>
  </si>
  <si>
    <t xml:space="preserve">    IsSingleLetter = (Len(s) = 1 And UCase$(s) &gt;= "A" And UCase$(s) &lt;= "Z")</t>
  </si>
  <si>
    <t>Private Function IsNumberId(ByVal s As String) As Boolean</t>
  </si>
  <si>
    <t xml:space="preserve">    re.pattern = "^\d+[A-Za-z]*$"</t>
  </si>
  <si>
    <t xml:space="preserve">    IsNumberId = re.Test(s)</t>
  </si>
  <si>
    <t>Private Function AbbreviationFor(ByVal bareWord As String) As String</t>
  </si>
  <si>
    <t xml:space="preserve">    ' Standard, "slightly safer" postal short forms. Words not listed here are left</t>
  </si>
  <si>
    <t xml:space="preserve">    ' exactly as typed - this list is deliberately not exhaustive; ask to extend it.</t>
  </si>
  <si>
    <t xml:space="preserve">        Case "building": AbbreviationFor = "Bldg"</t>
  </si>
  <si>
    <t xml:space="preserve">        Case "buildings": AbbreviationFor = "Bldgs"</t>
  </si>
  <si>
    <t xml:space="preserve">        Case "park": AbbreviationFor = "Pk"</t>
  </si>
  <si>
    <t xml:space="preserve">        Case "road": AbbreviationFor = "Rd"</t>
  </si>
  <si>
    <t xml:space="preserve">        Case "street": AbbreviationFor = "St"</t>
  </si>
  <si>
    <t xml:space="preserve">        Case "saint": AbbreviationFor = "St"</t>
  </si>
  <si>
    <t xml:space="preserve">        Case "avenue": AbbreviationFor = "Ave"</t>
  </si>
  <si>
    <t xml:space="preserve">        Case "drive": AbbreviationFor = "Dr"</t>
  </si>
  <si>
    <t xml:space="preserve">        Case "court": AbbreviationFor = "Ct"</t>
  </si>
  <si>
    <t xml:space="preserve">        Case "close": AbbreviationFor = "Cl"</t>
  </si>
  <si>
    <t xml:space="preserve">        Case "lane": AbbreviationFor = "Ln"</t>
  </si>
  <si>
    <t xml:space="preserve">        Case "terrace": AbbreviationFor = "Terr"</t>
  </si>
  <si>
    <t xml:space="preserve">        Case "crescent": AbbreviationFor = "Cres"</t>
  </si>
  <si>
    <t xml:space="preserve">        Case "grove": AbbreviationFor = "Gr"</t>
  </si>
  <si>
    <t xml:space="preserve">        Case "square": AbbreviationFor = "Sq"</t>
  </si>
  <si>
    <t xml:space="preserve">        Case "place": AbbreviationFor = "Pl"</t>
  </si>
  <si>
    <t xml:space="preserve">        Case "apartment": AbbreviationFor = "Apt"</t>
  </si>
  <si>
    <t xml:space="preserve">        Case "apartments": AbbreviationFor = "Apts"</t>
  </si>
  <si>
    <t xml:space="preserve">        Case "floor": AbbreviationFor = "Fl"</t>
  </si>
  <si>
    <t xml:space="preserve">        Case "suite": AbbreviationFor = "Ste"</t>
  </si>
  <si>
    <t xml:space="preserve">        Case "north": AbbreviationFor = "N"</t>
  </si>
  <si>
    <t xml:space="preserve">        Case "south": AbbreviationFor = "S"</t>
  </si>
  <si>
    <t xml:space="preserve">        Case "east": AbbreviationFor = "E"</t>
  </si>
  <si>
    <t xml:space="preserve">        Case "west": AbbreviationFor = "W"</t>
  </si>
  <si>
    <t xml:space="preserve">        Case "mount": AbbreviationFor = "Mt"</t>
  </si>
  <si>
    <t xml:space="preserve">        Case "boulevard": AbbreviationFor = "Blvd"</t>
  </si>
  <si>
    <t xml:space="preserve">        Case "highway": AbbreviationFor = "Hwy"</t>
  </si>
  <si>
    <t xml:space="preserve">        Case "estate": AbbreviationFor = "Est"</t>
  </si>
  <si>
    <t xml:space="preserve">        Case "village": AbbreviationFor = "Vlg"</t>
  </si>
  <si>
    <t xml:space="preserve">        Case "cottage": AbbreviationFor = "Cott"</t>
  </si>
  <si>
    <t xml:space="preserve">        Case "cottages": AbbreviationFor = "Cotts"</t>
  </si>
  <si>
    <t xml:space="preserve">        Case "gardens": AbbreviationFor = "Gdns"</t>
  </si>
  <si>
    <t xml:space="preserve">        Case "garden": AbbreviationFor = "Gdn"</t>
  </si>
  <si>
    <t xml:space="preserve">        Case "view": AbbreviationFor = "Vw"</t>
  </si>
  <si>
    <t xml:space="preserve">        Case "hill": AbbreviationFor = "Hl"</t>
  </si>
  <si>
    <t xml:space="preserve">        Case "green": AbbreviationFor = "Grn"</t>
  </si>
  <si>
    <t xml:space="preserve">        Case "manor": AbbreviationFor = "Mnr"</t>
  </si>
  <si>
    <t xml:space="preserve">        Case "walk": AbbreviationFor = "Wlk"</t>
  </si>
  <si>
    <t xml:space="preserve">        Case "wharf": AbbreviationFor = "Whf"</t>
  </si>
  <si>
    <t xml:space="preserve">        Case "junction": AbbreviationFor = "Jct"</t>
  </si>
  <si>
    <t xml:space="preserve">        Case "number": AbbreviationFor = "No."</t>
  </si>
  <si>
    <t xml:space="preserve">        Case "business": AbbreviationFor = "Bus"</t>
  </si>
  <si>
    <t xml:space="preserve">        Case "industrial": AbbreviationFor = "Ind"</t>
  </si>
  <si>
    <t xml:space="preserve">        Case Else: AbbreviationFor = ""</t>
  </si>
  <si>
    <t>Private Function RepackLines(ByVal text As String, ByRef line1 As String, ByRef line2 As String, ByRef line3 As String) As Boolean</t>
  </si>
  <si>
    <t xml:space="preserve">    ' Greedily word-wraps text into up to 3 lines of at most 35 characters each,</t>
  </si>
  <si>
    <t xml:space="preserve">    ' never breaking a word. Returns True if some text didn't fit and was left out</t>
  </si>
  <si>
    <t xml:space="preserve">    ' (the pre-cleanup original is always in the backup column AD in that case).</t>
  </si>
  <si>
    <t xml:space="preserve">    Const LIMIT As Long = 35</t>
  </si>
  <si>
    <t xml:space="preserve">    Dim lines(1 To 3) As String</t>
  </si>
  <si>
    <t xml:space="preserve">    Dim curLine As Long</t>
  </si>
  <si>
    <t xml:space="preserve">    Dim overflow As Boolean</t>
  </si>
  <si>
    <t xml:space="preserve">    line1 = "": line2 = "": line3 = ""</t>
  </si>
  <si>
    <t xml:space="preserve">    overflow = False</t>
  </si>
  <si>
    <t xml:space="preserve">    text = Trim$(text)</t>
  </si>
  <si>
    <t xml:space="preserve">    If Len(text) = 0 Then</t>
  </si>
  <si>
    <t xml:space="preserve">        RepackLines = False</t>
  </si>
  <si>
    <t xml:space="preserve">    curLine = 1</t>
  </si>
  <si>
    <t xml:space="preserve">    lines(1) = "": lines(2) = "": lines(3) = ""</t>
  </si>
  <si>
    <t xml:space="preserve">    For i = LBound(tokens) To UBound(tokens)</t>
  </si>
  <si>
    <t xml:space="preserve">        If Len(tokens(i)) &gt; 0 Then</t>
  </si>
  <si>
    <t xml:space="preserve">            If Len(lines(curLine)) = 0 Then</t>
  </si>
  <si>
    <t xml:space="preserve">                candidate = tokens(i)</t>
  </si>
  <si>
    <t xml:space="preserve">                candidate = lines(curLine) &amp; " " &amp; tokens(i)</t>
  </si>
  <si>
    <t xml:space="preserve">            If Len(candidate) &lt;= LIMIT Then</t>
  </si>
  <si>
    <t xml:space="preserve">                lines(curLine) = candidate</t>
  </si>
  <si>
    <t xml:space="preserve">                If curLine &lt; 3 Then</t>
  </si>
  <si>
    <t xml:space="preserve">                    curLine = curLine + 1</t>
  </si>
  <si>
    <t xml:space="preserve">                    lines(curLine) = tokens(i)</t>
  </si>
  <si>
    <t xml:space="preserve">                Else</t>
  </si>
  <si>
    <t xml:space="preserve">                    overflow = True</t>
  </si>
  <si>
    <t xml:space="preserve">                    Exit For</t>
  </si>
  <si>
    <t xml:space="preserve">    line1 = lines(1)</t>
  </si>
  <si>
    <t xml:space="preserve">    line2 = lines(2)</t>
  </si>
  <si>
    <t xml:space="preserve">    line3 = lines(3)</t>
  </si>
  <si>
    <t xml:space="preserve">    RepackLines = overflow</t>
  </si>
  <si>
    <t>The ThisWorkbook code (also provided as ThisWorkbook_Code.bas) - paste this one into ThisWorkbook, NOT into CORP order form (see step 6 above):</t>
  </si>
  <si>
    <t>Private Sub Workbook_Open()</t>
  </si>
  <si>
    <t xml:space="preserve">    ' v0.16 - re-applies protection to CORP order form every time this file is</t>
  </si>
  <si>
    <t xml:space="preserve">    ' opened, using UserInterfaceOnly:=True. Excel does NOT remember that flag between sessions</t>
  </si>
  <si>
    <t xml:space="preserve">    ' - it has to be re-applied on every single open, which is exactly what this Sub is for.</t>
  </si>
  <si>
    <t xml:space="preserve">    ' Without it, the address-cleanup macro (Worksheet_Change / HandleAddressCleanup, in the</t>
  </si>
  <si>
    <t xml:space="preserve">    ' CORP order form module) would be blocked from writing into the locked Address</t>
  </si>
  <si>
    <t xml:space="preserve">    ' Backup (AD) and Address Cleanup Notes (AE) columns, exactly like a person typing into them</t>
  </si>
  <si>
    <t xml:space="preserve">    ' directly is blocked. With it, the macro can still write into those two locked columns, but</t>
  </si>
  <si>
    <t xml:space="preserve">    ' a person clicking in and typing still can't - closing the gap that let AD/AE be edited by</t>
  </si>
  <si>
    <t xml:space="preserve">    ' hand once they became visible in v0.15. Every other protection setting below (what</t>
  </si>
  <si>
    <t xml:space="preserve">    ' IS/ISN'T allowed on a protected sheet) is kept identical to how this sheet already ships -</t>
  </si>
  <si>
    <t xml:space="preserve">    ' this Sub only adds UserInterfaceOnly on top of the existing settings, it doesn't change</t>
  </si>
  <si>
    <t xml:space="preserve">    ' anything else about what staff can and can't do on the sheet.</t>
  </si>
  <si>
    <t xml:space="preserve">    ' v0.18 - the sheet name below was updated from "CLIENT ORDER FORM" to "CLIENT ORDER FORM</t>
  </si>
  <si>
    <t xml:space="preserve">    ' (ADVANCE)" to match that tab's rename; nothing else in this Sub changed.</t>
  </si>
  <si>
    <t xml:space="preserve">    ' v1.0 - the sheet name below was updated again, from "CLIENT ORDER FORM (ADVANCE)" to</t>
  </si>
  <si>
    <t xml:space="preserve">    ' "CORP order form", to match that tab's rename; nothing else in this Sub changed.</t>
  </si>
  <si>
    <t xml:space="preserve">    ' v1.2 - the sheet name below was updated again, from "CORP order form" to "ORDER Form",</t>
  </si>
  <si>
    <t xml:space="preserve">    ' to match that tab's latest rename; nothing else in this Sub changed. This hardcoded</t>
  </si>
  <si>
    <t xml:space="preserve">    ' string is exactly why renaming the tab without also updating this line throws</t>
  </si>
  <si>
    <t xml:space="preserve">    ' "Run-time error 9: Subscript out of range" the moment the file opens - Worksheets("...")</t>
  </si>
  <si>
    <t xml:space="preserve">    ' has to match the CURRENT tab name exactly, and VBA never updates it automatically when</t>
  </si>
  <si>
    <t xml:space="preserve">    ' someone renames a tab by hand.</t>
  </si>
  <si>
    <t xml:space="preserve">    ' v0.25 - BUG FIX: this Sub was setting .EnableSelection = xlUnlockedCells every time the</t>
  </si>
  <si>
    <t xml:space="preserve">    ' file opened, which silently re-imposes "you can't even select a locked cell" every single</t>
  </si>
  <si>
    <t xml:space="preserve">    ' session, regardless of what the file itself has saved for that setting. That's exactly the</t>
  </si>
  <si>
    <t xml:space="preserve">    ' bug reported live: dragging a selection across a row would stop dead right before Item</t>
  </si>
  <si>
    <t xml:space="preserve">    ' Description (column B) and again right before Gift Message 1 (column N, the hidden Country</t>
  </si>
  <si>
    <t xml:space="preserve">    ' Code helper, sits just before it) - because both are locked, and a locked cell couldn't be</t>
  </si>
  <si>
    <t xml:space="preserve">    ' selected at all with this line in place. Fixed by switching to xlNoRestrictions, which</t>
  </si>
  <si>
    <t xml:space="preserve">    ' matches the fix already made directly in the saved file: locked cells can be selected and</t>
  </si>
  <si>
    <t xml:space="preserve">    ' dragged over (so a row-wide drag-select or paste-range-selection works normally), they just</t>
  </si>
  <si>
    <t xml:space="preserve">    ' still can't be typed or pasted into by hand - that protection is completely unaffected.</t>
  </si>
  <si>
    <t xml:space="preserve">    ' v1.3, NEW (Cathy's feedback - lock the hidden/technical sheets so a</t>
  </si>
  <si>
    <t xml:space="preserve">    ' customer can no longer just right-click any visible tab and choose</t>
  </si>
  <si>
    <t xml:space="preserve">    ' Unhide to see ERROR SUMMARY, SAP COPY PASTE, RULES - STAFF ONLY, RULES</t>
  </si>
  <si>
    <t xml:space="preserve">    ' &amp; VERSION NOTES, VBA MACRO (OPTIONAL) or PRODUCT DATA). Hiding a sheet</t>
  </si>
  <si>
    <t xml:space="preserve">    ' by itself (Format &gt; Hide) is fully reversible by anyone via Unhide -</t>
  </si>
  <si>
    <t xml:space="preserve">    ' it does NOT need workbook STRUCTURE protection (a separate, distinct</t>
  </si>
  <si>
    <t xml:space="preserve">    ' lock from each individual sheet's own protection above/below, this one</t>
  </si>
  <si>
    <t xml:space="preserve">    ' specifically greys out Hide/Unhide/Insert/Delete-sheet) to actually</t>
  </si>
  <si>
    <t xml:space="preserve">    ' stop that. Re-applied every open, same reasoning as the sheet</t>
  </si>
  <si>
    <t xml:space="preserve">    ' protection below - Excel does not reliably persist every protection</t>
  </si>
  <si>
    <t xml:space="preserve">    ' flag between sessions, so this is cheap insurance either way. Uses the</t>
  </si>
  <si>
    <t xml:space="preserve">    ' same shared staff password as every other Protect call in this file.</t>
  </si>
  <si>
    <t xml:space="preserve">    ThisWorkbook.Protect Password:="GiftsDirect2026", Structure:=True, Windows:=False</t>
  </si>
  <si>
    <t xml:space="preserve">    ThisWorkbook.Worksheets("ORDER Form").Unprotect Password:="GiftsDirect2026"</t>
  </si>
  <si>
    <t xml:space="preserve">    With ThisWorkbook.Worksheets("ORDER Form")</t>
  </si>
  <si>
    <t xml:space="preserve">        .Protect Password:="GiftsDirect2026", DrawingObjects:=False, Contents:=True, _</t>
  </si>
  <si>
    <t xml:space="preserve">            Scenarios:=False, UserInterfaceOnly:=True, AllowFormattingCells:=True, _</t>
  </si>
  <si>
    <t xml:space="preserve">            AllowFormattingColumns:=True, AllowFormattingRows:=True, _</t>
  </si>
  <si>
    <t xml:space="preserve">            AllowInsertingColumns:=False, AllowInsertingRows:=True, _</t>
  </si>
  <si>
    <t xml:space="preserve">            AllowInsertingHyperlinks:=False, AllowDeletingColumns:=False, _</t>
  </si>
  <si>
    <t xml:space="preserve">            AllowDeletingRows:=True, AllowSorting:=True, AllowFiltering:=False, _</t>
  </si>
  <si>
    <t xml:space="preserve">            AllowUsingPivotTables:=False</t>
  </si>
  <si>
    <t xml:space="preserve">        .EnableSelection = xlNoRestrictions</t>
  </si>
  <si>
    <t>ISO Code</t>
  </si>
  <si>
    <t>Alcohol Allowed</t>
  </si>
  <si>
    <t>All Products</t>
  </si>
  <si>
    <t>BBOUQ05H</t>
  </si>
  <si>
    <t>BCHOC02</t>
  </si>
  <si>
    <t>BOLL05</t>
  </si>
  <si>
    <t>BOLL07</t>
  </si>
  <si>
    <t>BOLL09</t>
  </si>
  <si>
    <t>BUTL06</t>
  </si>
  <si>
    <t>BUTL10</t>
  </si>
  <si>
    <t>BUTL11</t>
  </si>
  <si>
    <t>BUTL24</t>
  </si>
  <si>
    <t>CHOCRH</t>
  </si>
  <si>
    <t>CONF10</t>
  </si>
  <si>
    <t>DOM02</t>
  </si>
  <si>
    <t>EBLDRIED01</t>
  </si>
  <si>
    <t>EBLDRIED02</t>
  </si>
  <si>
    <t>GAL01PRH</t>
  </si>
  <si>
    <t>GAL01PRH-P</t>
  </si>
  <si>
    <t>GAL01PWH</t>
  </si>
  <si>
    <t>GAL01RH</t>
  </si>
  <si>
    <t>GAL01RH-P</t>
  </si>
  <si>
    <t>GAL01WH</t>
  </si>
  <si>
    <t>GD100H</t>
  </si>
  <si>
    <t>GD101H</t>
  </si>
  <si>
    <t>GD102H</t>
  </si>
  <si>
    <t>GD103H</t>
  </si>
  <si>
    <t>GD104H</t>
  </si>
  <si>
    <t>GD105H</t>
  </si>
  <si>
    <t>GD105PR</t>
  </si>
  <si>
    <t>GD106H</t>
  </si>
  <si>
    <t>GD107H</t>
  </si>
  <si>
    <t>GD108H</t>
  </si>
  <si>
    <t>GD110H</t>
  </si>
  <si>
    <t>GD111H</t>
  </si>
  <si>
    <t>GD112H</t>
  </si>
  <si>
    <t>GD114H</t>
  </si>
  <si>
    <t>GD116H</t>
  </si>
  <si>
    <t>GD117H</t>
  </si>
  <si>
    <t>GD118H</t>
  </si>
  <si>
    <t>GD119H</t>
  </si>
  <si>
    <t>GD120H</t>
  </si>
  <si>
    <t>GD121H</t>
  </si>
  <si>
    <t>GD122H</t>
  </si>
  <si>
    <t>GD123H</t>
  </si>
  <si>
    <t>GD124H</t>
  </si>
  <si>
    <t>GD124H-P</t>
  </si>
  <si>
    <t>GD124HC</t>
  </si>
  <si>
    <t>GD124HC-1</t>
  </si>
  <si>
    <t>GD125H</t>
  </si>
  <si>
    <t>GD125H-P</t>
  </si>
  <si>
    <t>GD125HC</t>
  </si>
  <si>
    <t>GD125HC_1</t>
  </si>
  <si>
    <t>GD126H</t>
  </si>
  <si>
    <t>GD126H-P</t>
  </si>
  <si>
    <t>GD126HC</t>
  </si>
  <si>
    <t>GD126HC_1</t>
  </si>
  <si>
    <t>GD127H</t>
  </si>
  <si>
    <t>GD127H-P</t>
  </si>
  <si>
    <t>GD127HC</t>
  </si>
  <si>
    <t>GD128H</t>
  </si>
  <si>
    <t>GD128H-P</t>
  </si>
  <si>
    <t>GD128HC</t>
  </si>
  <si>
    <t>GD129H</t>
  </si>
  <si>
    <t>GD129H-P</t>
  </si>
  <si>
    <t>GD129HC</t>
  </si>
  <si>
    <t>GD130H</t>
  </si>
  <si>
    <t>GD130H-P</t>
  </si>
  <si>
    <t>GD130HC</t>
  </si>
  <si>
    <t>GD131H</t>
  </si>
  <si>
    <t>GD132H</t>
  </si>
  <si>
    <t>GD133H</t>
  </si>
  <si>
    <t>GD140H</t>
  </si>
  <si>
    <t>GD141H</t>
  </si>
  <si>
    <t>GD142H</t>
  </si>
  <si>
    <t>GD150H</t>
  </si>
  <si>
    <t>GD151H</t>
  </si>
  <si>
    <t>GD153H</t>
  </si>
  <si>
    <t>GD154H</t>
  </si>
  <si>
    <t>GD154WH</t>
  </si>
  <si>
    <t>GD155H</t>
  </si>
  <si>
    <t>GD156H</t>
  </si>
  <si>
    <t>GD157H</t>
  </si>
  <si>
    <t>GD158H</t>
  </si>
  <si>
    <t>GD160H</t>
  </si>
  <si>
    <t>GD162H</t>
  </si>
  <si>
    <t>GD169H</t>
  </si>
  <si>
    <t>GD178H</t>
  </si>
  <si>
    <t>GD179H</t>
  </si>
  <si>
    <t>GD180H</t>
  </si>
  <si>
    <t>GD181H</t>
  </si>
  <si>
    <t>GD185H</t>
  </si>
  <si>
    <t>GD186H</t>
  </si>
  <si>
    <t>GD187H</t>
  </si>
  <si>
    <t>GD197H</t>
  </si>
  <si>
    <t>GD198H</t>
  </si>
  <si>
    <t>GD203H</t>
  </si>
  <si>
    <t>GDBS01</t>
  </si>
  <si>
    <t>GDGSS01</t>
  </si>
  <si>
    <t>GF001R</t>
  </si>
  <si>
    <t>GF001W</t>
  </si>
  <si>
    <t>GF002H</t>
  </si>
  <si>
    <t>GF003H</t>
  </si>
  <si>
    <t>GF004H</t>
  </si>
  <si>
    <t>GF005H</t>
  </si>
  <si>
    <t>GF005R</t>
  </si>
  <si>
    <t>GF005W</t>
  </si>
  <si>
    <t>GF006R</t>
  </si>
  <si>
    <t>GF006W</t>
  </si>
  <si>
    <t>GF007R</t>
  </si>
  <si>
    <t>GF007W</t>
  </si>
  <si>
    <t>GF010H</t>
  </si>
  <si>
    <t>GF011H</t>
  </si>
  <si>
    <t>GF012H</t>
  </si>
  <si>
    <t>GF013H</t>
  </si>
  <si>
    <t>GF015H</t>
  </si>
  <si>
    <t>GF016H</t>
  </si>
  <si>
    <t>GF017H</t>
  </si>
  <si>
    <t>GF018H</t>
  </si>
  <si>
    <t>GF019H</t>
  </si>
  <si>
    <t>GF020H</t>
  </si>
  <si>
    <t>GF023H</t>
  </si>
  <si>
    <t>GF024H</t>
  </si>
  <si>
    <t>GF028H</t>
  </si>
  <si>
    <t>GF052410H</t>
  </si>
  <si>
    <t>GF052411H</t>
  </si>
  <si>
    <t>GF052413H</t>
  </si>
  <si>
    <t>GF052414H</t>
  </si>
  <si>
    <t>GF052415H</t>
  </si>
  <si>
    <t>GF052416H</t>
  </si>
  <si>
    <t>GF052417H</t>
  </si>
  <si>
    <t>GF05241H</t>
  </si>
  <si>
    <t>GF05242H</t>
  </si>
  <si>
    <t>GF05243H</t>
  </si>
  <si>
    <t>GF05244H</t>
  </si>
  <si>
    <t>GF05245H</t>
  </si>
  <si>
    <t>GF05246H</t>
  </si>
  <si>
    <t>GF05247H</t>
  </si>
  <si>
    <t>GF05248H</t>
  </si>
  <si>
    <t>GF05249H</t>
  </si>
  <si>
    <t>GF073H</t>
  </si>
  <si>
    <t>GF086H</t>
  </si>
  <si>
    <t>GF094H</t>
  </si>
  <si>
    <t>GF111CH</t>
  </si>
  <si>
    <t>GF111RH</t>
  </si>
  <si>
    <t>GF111WH</t>
  </si>
  <si>
    <t>GF112PH</t>
  </si>
  <si>
    <t>GF115CH</t>
  </si>
  <si>
    <t>GF115H</t>
  </si>
  <si>
    <t>GF122H</t>
  </si>
  <si>
    <t>GF125H</t>
  </si>
  <si>
    <t>GF160H</t>
  </si>
  <si>
    <t>GF173H</t>
  </si>
  <si>
    <t>GF174H</t>
  </si>
  <si>
    <t>GF201H</t>
  </si>
  <si>
    <t>GF211H</t>
  </si>
  <si>
    <t>GF220H</t>
  </si>
  <si>
    <t>GF221H</t>
  </si>
  <si>
    <t>GF222H</t>
  </si>
  <si>
    <t>GF223H</t>
  </si>
  <si>
    <t>GF353H</t>
  </si>
  <si>
    <t>GF590H</t>
  </si>
  <si>
    <t>GF591H</t>
  </si>
  <si>
    <t>GF594H</t>
  </si>
  <si>
    <t>GF595H</t>
  </si>
  <si>
    <t>GF600H</t>
  </si>
  <si>
    <t>GF647H</t>
  </si>
  <si>
    <t>GF647H-P</t>
  </si>
  <si>
    <t>GF647WH</t>
  </si>
  <si>
    <t>GF648H</t>
  </si>
  <si>
    <t>GF648WH</t>
  </si>
  <si>
    <t>GF663H</t>
  </si>
  <si>
    <t>GF664H</t>
  </si>
  <si>
    <t>GF665H</t>
  </si>
  <si>
    <t>GF722H</t>
  </si>
  <si>
    <t>GF722PH</t>
  </si>
  <si>
    <t>GF723H</t>
  </si>
  <si>
    <t>GF72402H</t>
  </si>
  <si>
    <t>GF724CH</t>
  </si>
  <si>
    <t>GF724FSH</t>
  </si>
  <si>
    <t>GF724JAH</t>
  </si>
  <si>
    <t>GF735H</t>
  </si>
  <si>
    <t>GF750AGEDH</t>
  </si>
  <si>
    <t>GF750BDH</t>
  </si>
  <si>
    <t>GF750FORTYH</t>
  </si>
  <si>
    <t>GF750H</t>
  </si>
  <si>
    <t>GF750THIRTYH</t>
  </si>
  <si>
    <t>GF750WEDH</t>
  </si>
  <si>
    <t>GF751H</t>
  </si>
  <si>
    <t>GF752H</t>
  </si>
  <si>
    <t>GF755H</t>
  </si>
  <si>
    <t>GF755H21</t>
  </si>
  <si>
    <t>GF755H30</t>
  </si>
  <si>
    <t>GF755H40</t>
  </si>
  <si>
    <t>GF755H50</t>
  </si>
  <si>
    <t>GF755H60</t>
  </si>
  <si>
    <t>GF763H</t>
  </si>
  <si>
    <t>GF764H</t>
  </si>
  <si>
    <t>GF768H</t>
  </si>
  <si>
    <t>GF769H</t>
  </si>
  <si>
    <t>GF770H</t>
  </si>
  <si>
    <t>GF772H</t>
  </si>
  <si>
    <t>GF773H</t>
  </si>
  <si>
    <t>GF776H</t>
  </si>
  <si>
    <t>GF777H</t>
  </si>
  <si>
    <t>GF800H</t>
  </si>
  <si>
    <t>GF801H</t>
  </si>
  <si>
    <t>GF802H</t>
  </si>
  <si>
    <t>GF803H</t>
  </si>
  <si>
    <t>GF807H</t>
  </si>
  <si>
    <t>GF808H</t>
  </si>
  <si>
    <t>GF809H</t>
  </si>
  <si>
    <t>GF810H</t>
  </si>
  <si>
    <t>GF811H</t>
  </si>
  <si>
    <t>GF813H</t>
  </si>
  <si>
    <t>GF813PH</t>
  </si>
  <si>
    <t>GF813TYPH</t>
  </si>
  <si>
    <t>GF813VH</t>
  </si>
  <si>
    <t>GF814H</t>
  </si>
  <si>
    <t>GF814PH</t>
  </si>
  <si>
    <t>GF815H</t>
  </si>
  <si>
    <t>GF816H</t>
  </si>
  <si>
    <t>GF817H</t>
  </si>
  <si>
    <t>GF817PH</t>
  </si>
  <si>
    <t>GF820H</t>
  </si>
  <si>
    <t>GF823H</t>
  </si>
  <si>
    <t>GF824H</t>
  </si>
  <si>
    <t>GF825H</t>
  </si>
  <si>
    <t>GF826H</t>
  </si>
  <si>
    <t>GF828H</t>
  </si>
  <si>
    <t>GF829H</t>
  </si>
  <si>
    <t>GF830H</t>
  </si>
  <si>
    <t>GF831H</t>
  </si>
  <si>
    <t>GF832H</t>
  </si>
  <si>
    <t>GF833H</t>
  </si>
  <si>
    <t>GF834H</t>
  </si>
  <si>
    <t>GF836H</t>
  </si>
  <si>
    <t>GF838H</t>
  </si>
  <si>
    <t>GF839H</t>
  </si>
  <si>
    <t>GF840H</t>
  </si>
  <si>
    <t>GF841H</t>
  </si>
  <si>
    <t>GF846H</t>
  </si>
  <si>
    <t>GF847H</t>
  </si>
  <si>
    <t>GF849H</t>
  </si>
  <si>
    <t>GF849H-P</t>
  </si>
  <si>
    <t>GF849WH</t>
  </si>
  <si>
    <t>GF854H</t>
  </si>
  <si>
    <t>GF859H</t>
  </si>
  <si>
    <t>GF859H2</t>
  </si>
  <si>
    <t>GF860H</t>
  </si>
  <si>
    <t>GF866H</t>
  </si>
  <si>
    <t>GF868H</t>
  </si>
  <si>
    <t>GF869H</t>
  </si>
  <si>
    <t>GF870H</t>
  </si>
  <si>
    <t>GF871H</t>
  </si>
  <si>
    <t>GF879H</t>
  </si>
  <si>
    <t>GF879PH</t>
  </si>
  <si>
    <t>GF880H</t>
  </si>
  <si>
    <t>GF888H</t>
  </si>
  <si>
    <t>GF889H</t>
  </si>
  <si>
    <t>GF898H</t>
  </si>
  <si>
    <t>GF898H-P</t>
  </si>
  <si>
    <t>GF898PH</t>
  </si>
  <si>
    <t>GF898PH2</t>
  </si>
  <si>
    <t>GF898PH2-P</t>
  </si>
  <si>
    <t>GF898PWH</t>
  </si>
  <si>
    <t>GF898PWH2</t>
  </si>
  <si>
    <t>GF898WH</t>
  </si>
  <si>
    <t>GF899H</t>
  </si>
  <si>
    <t>GF900H</t>
  </si>
  <si>
    <t>GF901H</t>
  </si>
  <si>
    <t>GF912H</t>
  </si>
  <si>
    <t>GF915H</t>
  </si>
  <si>
    <t>GF919H</t>
  </si>
  <si>
    <t>GF920H1</t>
  </si>
  <si>
    <t>GF922H</t>
  </si>
  <si>
    <t>GF923H</t>
  </si>
  <si>
    <t>GF924H</t>
  </si>
  <si>
    <t>GF925H</t>
  </si>
  <si>
    <t>GF926H</t>
  </si>
  <si>
    <t>GF928H</t>
  </si>
  <si>
    <t>GF929H</t>
  </si>
  <si>
    <t>GF9300H</t>
  </si>
  <si>
    <t>GF9301H</t>
  </si>
  <si>
    <t>GF931H</t>
  </si>
  <si>
    <t>GF932H</t>
  </si>
  <si>
    <t>GF934H</t>
  </si>
  <si>
    <t>GF935H</t>
  </si>
  <si>
    <t>GF936H</t>
  </si>
  <si>
    <t>GF937H</t>
  </si>
  <si>
    <t>GF938H</t>
  </si>
  <si>
    <t>GF939H</t>
  </si>
  <si>
    <t>GF940H</t>
  </si>
  <si>
    <t>GF941H</t>
  </si>
  <si>
    <t>GF941H-P</t>
  </si>
  <si>
    <t>GF942H</t>
  </si>
  <si>
    <t>GF945H</t>
  </si>
  <si>
    <t>GF946H</t>
  </si>
  <si>
    <t>GF947H</t>
  </si>
  <si>
    <t>GF948H</t>
  </si>
  <si>
    <t>GF949H</t>
  </si>
  <si>
    <t>GF950H</t>
  </si>
  <si>
    <t>GF951H</t>
  </si>
  <si>
    <t>GF952H</t>
  </si>
  <si>
    <t>GF953H</t>
  </si>
  <si>
    <t>GF954H</t>
  </si>
  <si>
    <t>GFBOLL08</t>
  </si>
  <si>
    <t>GFMOET06</t>
  </si>
  <si>
    <t>GFMOET09</t>
  </si>
  <si>
    <t>GFPROM1</t>
  </si>
  <si>
    <t>GFVDAY1</t>
  </si>
  <si>
    <t>GFVDAY2</t>
  </si>
  <si>
    <t>GFVDAY3</t>
  </si>
  <si>
    <t>GFVDAY7</t>
  </si>
  <si>
    <t>GFVDAY8</t>
  </si>
  <si>
    <t>GFVDAY9</t>
  </si>
  <si>
    <t>GFX001H</t>
  </si>
  <si>
    <t>GFX002H</t>
  </si>
  <si>
    <t>GFX003H</t>
  </si>
  <si>
    <t>GFX004H</t>
  </si>
  <si>
    <t>GFX005H</t>
  </si>
  <si>
    <t>GFX01H</t>
  </si>
  <si>
    <t>GLEN01</t>
  </si>
  <si>
    <t>GREES02H</t>
  </si>
  <si>
    <t>IFBOX01</t>
  </si>
  <si>
    <t>IFBOX02</t>
  </si>
  <si>
    <t>IFBOX03</t>
  </si>
  <si>
    <t>IFBOX04</t>
  </si>
  <si>
    <t>JAME02H</t>
  </si>
  <si>
    <t>JAME03H</t>
  </si>
  <si>
    <t>KRUG01</t>
  </si>
  <si>
    <t>LAUR01</t>
  </si>
  <si>
    <t>MCHOC03</t>
  </si>
  <si>
    <t>MDGIFT10H</t>
  </si>
  <si>
    <t>MDGIFT11H</t>
  </si>
  <si>
    <t>MDGIFT12H</t>
  </si>
  <si>
    <t>MDGIFT14H</t>
  </si>
  <si>
    <t>MDGIFT15H</t>
  </si>
  <si>
    <t>MDGIFT16H</t>
  </si>
  <si>
    <t>MDGIFT17H</t>
  </si>
  <si>
    <t>MGIFT02H</t>
  </si>
  <si>
    <t>MGIFT03H</t>
  </si>
  <si>
    <t>MGIFT04H</t>
  </si>
  <si>
    <t>MGIFT05H</t>
  </si>
  <si>
    <t>MGIFT06H</t>
  </si>
  <si>
    <t>MGIFT07H</t>
  </si>
  <si>
    <t>MGIFTC01H</t>
  </si>
  <si>
    <t>MGIFTCP01H</t>
  </si>
  <si>
    <t>MGIFTR01PH</t>
  </si>
  <si>
    <t>MGIFTW01PH</t>
  </si>
  <si>
    <t>MIDL02H</t>
  </si>
  <si>
    <t>MOET02</t>
  </si>
  <si>
    <t>MOET08</t>
  </si>
  <si>
    <t>PAMP01H</t>
  </si>
  <si>
    <t>PAMP01H-P</t>
  </si>
  <si>
    <t>PAMP01PH</t>
  </si>
  <si>
    <t>PAMP01PH-P</t>
  </si>
  <si>
    <t>PAMP02H</t>
  </si>
  <si>
    <t>PAMP02PH</t>
  </si>
  <si>
    <t>PAMP03H</t>
  </si>
  <si>
    <t>PAMP04H</t>
  </si>
  <si>
    <t>PAMP05H</t>
  </si>
  <si>
    <t>PCHOCRH</t>
  </si>
  <si>
    <t>PCHOCWH</t>
  </si>
  <si>
    <t>PMOTRH</t>
  </si>
  <si>
    <t>PMOTWH</t>
  </si>
  <si>
    <t>US853H</t>
  </si>
  <si>
    <t>US855H</t>
  </si>
  <si>
    <t>VEUV01</t>
  </si>
  <si>
    <t>VEUV02</t>
  </si>
  <si>
    <t>VEUV05</t>
  </si>
  <si>
    <t>VEUV06</t>
  </si>
  <si>
    <t>VEUV09</t>
  </si>
  <si>
    <t>VEUV11</t>
  </si>
  <si>
    <t>VPERS04H</t>
  </si>
  <si>
    <t>GDPAT01</t>
  </si>
  <si>
    <t>Key (SKU|Country)</t>
  </si>
  <si>
    <t>Actual SAP Code</t>
  </si>
  <si>
    <t>Base SKU</t>
  </si>
  <si>
    <t>Product Name</t>
  </si>
  <si>
    <t>Postcode Pattern: Country Code</t>
  </si>
  <si>
    <t>Postcode Pattern: Regex</t>
  </si>
  <si>
    <t>County/State Reference Name</t>
  </si>
  <si>
    <t>Belongs to Country Code</t>
  </si>
  <si>
    <t>Australia</t>
  </si>
  <si>
    <t>AU</t>
  </si>
  <si>
    <t>NO</t>
  </si>
  <si>
    <t>Ireland</t>
  </si>
  <si>
    <t>Austria</t>
  </si>
  <si>
    <t>USA</t>
  </si>
  <si>
    <t>Get Well Soon Balloon Bouquet</t>
  </si>
  <si>
    <t>AT</t>
  </si>
  <si>
    <t>\d{4}</t>
  </si>
  <si>
    <t>Dubai</t>
  </si>
  <si>
    <t>AE</t>
  </si>
  <si>
    <t>YES</t>
  </si>
  <si>
    <t>IE</t>
  </si>
  <si>
    <t>Belgium</t>
  </si>
  <si>
    <t>US</t>
  </si>
  <si>
    <t>GF899H|United Kingdom</t>
  </si>
  <si>
    <t>GF899HUK</t>
  </si>
  <si>
    <t>Butlers Ballotin A0953 200g</t>
  </si>
  <si>
    <t>Ansfelden</t>
  </si>
  <si>
    <t>BE</t>
  </si>
  <si>
    <t>Bulgaria</t>
  </si>
  <si>
    <t>GF849H|United Kingdom</t>
  </si>
  <si>
    <t>GF849HUK</t>
  </si>
  <si>
    <t>Bollinger Rose SC Pink Champagne Celebration Gift</t>
  </si>
  <si>
    <t>Garsten</t>
  </si>
  <si>
    <t>Bosnia &amp; Herzegovina</t>
  </si>
  <si>
    <t>BA</t>
  </si>
  <si>
    <t>Canary Islands, The</t>
  </si>
  <si>
    <t>GF833H|United Kingdom</t>
  </si>
  <si>
    <t>GF833HUK</t>
  </si>
  <si>
    <t>Bollinger La Grand Annee 2012 Vintage Champagne</t>
  </si>
  <si>
    <t>CA</t>
  </si>
  <si>
    <t>[A-Za-z]\d[A-Za-z]\s?\d[A-Za-z]\d</t>
  </si>
  <si>
    <t>Mils</t>
  </si>
  <si>
    <t>BG</t>
  </si>
  <si>
    <t>Croatia</t>
  </si>
  <si>
    <t>GF948H|United Kingdom</t>
  </si>
  <si>
    <t>GF948HUK</t>
  </si>
  <si>
    <t>Bollinger Special Cuvee NV Jeroboam 3lt Bottle of Champagne</t>
  </si>
  <si>
    <t>CH</t>
  </si>
  <si>
    <t>Tirol</t>
  </si>
  <si>
    <t>Canada</t>
  </si>
  <si>
    <t>Cyprus</t>
  </si>
  <si>
    <t>GF811H|United Kingdom</t>
  </si>
  <si>
    <t>GF811HUK</t>
  </si>
  <si>
    <t>Butlers Luxury Chocolates 250G</t>
  </si>
  <si>
    <t>DE</t>
  </si>
  <si>
    <t>\d{5}</t>
  </si>
  <si>
    <t>Wien</t>
  </si>
  <si>
    <t>IC</t>
  </si>
  <si>
    <t>Czech Rep., The</t>
  </si>
  <si>
    <t>GF814H|United Kingdom</t>
  </si>
  <si>
    <t>GF814HUK</t>
  </si>
  <si>
    <t>Butlers Luxury Chocolate Assortment 1000G</t>
  </si>
  <si>
    <t>DK</t>
  </si>
  <si>
    <t>Australian Capital Territory</t>
  </si>
  <si>
    <t>Cape Verde</t>
  </si>
  <si>
    <t>CV</t>
  </si>
  <si>
    <t>Denmark</t>
  </si>
  <si>
    <t>GF949H|United Kingdom</t>
  </si>
  <si>
    <t>GF949HUK</t>
  </si>
  <si>
    <t>Butlers Assorted Chocolates 500G</t>
  </si>
  <si>
    <t>ES</t>
  </si>
  <si>
    <t>New South Wales</t>
  </si>
  <si>
    <t>Chile</t>
  </si>
  <si>
    <t>CL</t>
  </si>
  <si>
    <t>Estonia</t>
  </si>
  <si>
    <t>GF860H|United Kingdom</t>
  </si>
  <si>
    <t>GF860HUK</t>
  </si>
  <si>
    <t>Butlers Luxury Chocolate Assortment 750G</t>
  </si>
  <si>
    <t>FI</t>
  </si>
  <si>
    <t>Queensland</t>
  </si>
  <si>
    <t>HR</t>
  </si>
  <si>
    <t>Finland</t>
  </si>
  <si>
    <t>GF941H|United Kingdom</t>
  </si>
  <si>
    <t>GF941HUK</t>
  </si>
  <si>
    <t>Red Wine &amp; 320g Butlers Chocolates</t>
  </si>
  <si>
    <t>FR</t>
  </si>
  <si>
    <t>South Australia</t>
  </si>
  <si>
    <t>CY</t>
  </si>
  <si>
    <t>France</t>
  </si>
  <si>
    <t>GF803H|United Kingdom</t>
  </si>
  <si>
    <t>GF803HUK</t>
  </si>
  <si>
    <t>Butlers Luxury Christmas Chocolates 400G</t>
  </si>
  <si>
    <t>GB</t>
  </si>
  <si>
    <t>[A-Za-z]{1,2}\d[A-Za-z0-9]?\s*\d[A-Za-z]{2}</t>
  </si>
  <si>
    <t>Tasmania</t>
  </si>
  <si>
    <t>CZ</t>
  </si>
  <si>
    <t>Germany</t>
  </si>
  <si>
    <t>JAME03H|United Kingdom</t>
  </si>
  <si>
    <t>JAME03HUK</t>
  </si>
  <si>
    <t>Dom Perignon Gift Boxed Vintage Champagne</t>
  </si>
  <si>
    <t>[A-Za-z]\d[A-Za-z0-9]\s?[A-Za-z0-9]{4}</t>
  </si>
  <si>
    <t>Victoria</t>
  </si>
  <si>
    <t>Greece</t>
  </si>
  <si>
    <t>JAME02H|United Kingdom</t>
  </si>
  <si>
    <t>JAME02HUK</t>
  </si>
  <si>
    <t>Pink Everblooms Bouquet</t>
  </si>
  <si>
    <t>IT</t>
  </si>
  <si>
    <t>Western Australia</t>
  </si>
  <si>
    <t>EE</t>
  </si>
  <si>
    <t>Hungary</t>
  </si>
  <si>
    <t>GF919H|United Kingdom</t>
  </si>
  <si>
    <t>GF919HUK</t>
  </si>
  <si>
    <t>Plum Everblooms Bouquet</t>
  </si>
  <si>
    <t>JP</t>
  </si>
  <si>
    <t>\d{3}-?\d{4}</t>
  </si>
  <si>
    <t>Antwerpen</t>
  </si>
  <si>
    <t>GF808H|United Kingdom</t>
  </si>
  <si>
    <t>GF808HUK</t>
  </si>
  <si>
    <t>Personalised Red Wine &amp; Galway Crystal Gift Set</t>
  </si>
  <si>
    <t>NL</t>
  </si>
  <si>
    <t>\d{4}\s?[A-Za-z]{2}</t>
  </si>
  <si>
    <t>Brussels</t>
  </si>
  <si>
    <t>Italy</t>
  </si>
  <si>
    <t>GF830H|United Kingdom</t>
  </si>
  <si>
    <t>GF830HUK</t>
  </si>
  <si>
    <t>Personalised Wine &amp; Galway Crystal Gift Set</t>
  </si>
  <si>
    <t>Flandes Oriental</t>
  </si>
  <si>
    <t>Latvia</t>
  </si>
  <si>
    <t>GF816H|United Kingdom</t>
  </si>
  <si>
    <t>GF816HUK</t>
  </si>
  <si>
    <t>Personalised White Wine &amp; Galway Crystal Gift Set</t>
  </si>
  <si>
    <t>NZ</t>
  </si>
  <si>
    <t>Kraainem</t>
  </si>
  <si>
    <t>GR</t>
  </si>
  <si>
    <t>Lithuania</t>
  </si>
  <si>
    <t>GF813H|United Kingdom</t>
  </si>
  <si>
    <t>GF813HUK</t>
  </si>
  <si>
    <t>Red Wine &amp; Galway Crystal Gift Set</t>
  </si>
  <si>
    <t>PL</t>
  </si>
  <si>
    <t>\d{2}-\d{3}</t>
  </si>
  <si>
    <t>Theux</t>
  </si>
  <si>
    <t>Guernsey</t>
  </si>
  <si>
    <t>GG</t>
  </si>
  <si>
    <t>Luxembourg</t>
  </si>
  <si>
    <t>GF923H|United Kingdom</t>
  </si>
  <si>
    <t>GF923HUK</t>
  </si>
  <si>
    <t>Galway Crystal &amp; Wine Gift Set</t>
  </si>
  <si>
    <t>PT</t>
  </si>
  <si>
    <t>\d{4}-\d{3}</t>
  </si>
  <si>
    <t>Wallonie</t>
  </si>
  <si>
    <t>Hong Kong SAR China</t>
  </si>
  <si>
    <t>HK</t>
  </si>
  <si>
    <t>Malta</t>
  </si>
  <si>
    <t>GF925H|United Kingdom</t>
  </si>
  <si>
    <t>GF925HUK</t>
  </si>
  <si>
    <t>White Wine &amp; Galway Crystal Gift Set</t>
  </si>
  <si>
    <t>SE</t>
  </si>
  <si>
    <t>\d{3}\s?\d{2}</t>
  </si>
  <si>
    <t>Alberta</t>
  </si>
  <si>
    <t>HU</t>
  </si>
  <si>
    <t>Netherlands, The</t>
  </si>
  <si>
    <t>GF160H|United Kingdom</t>
  </si>
  <si>
    <t>GF160HUK</t>
  </si>
  <si>
    <t>The Birthday Surprise Luxury Gift Box</t>
  </si>
  <si>
    <t>\d{5}(-\d{4})?</t>
  </si>
  <si>
    <t>British Columbia</t>
  </si>
  <si>
    <t>Iceland</t>
  </si>
  <si>
    <t>IS</t>
  </si>
  <si>
    <t>Poland</t>
  </si>
  <si>
    <t>GF846H|USA</t>
  </si>
  <si>
    <t>US846H</t>
  </si>
  <si>
    <t>Prosecco Night In Gift Box</t>
  </si>
  <si>
    <t>Manitoba</t>
  </si>
  <si>
    <t>Portugal</t>
  </si>
  <si>
    <t>GF807H|USA</t>
  </si>
  <si>
    <t>US807H</t>
  </si>
  <si>
    <t>Happy Birthday Bubbles &amp; Chocolates</t>
  </si>
  <si>
    <t>New Brunswick</t>
  </si>
  <si>
    <t>Isle of Man</t>
  </si>
  <si>
    <t>IM</t>
  </si>
  <si>
    <t>Romania</t>
  </si>
  <si>
    <t>GF809H|USA</t>
  </si>
  <si>
    <t>US809H</t>
  </si>
  <si>
    <t>Happy Birthday Bubbles</t>
  </si>
  <si>
    <t>Newfoundland and Labrador</t>
  </si>
  <si>
    <t>Slovakia</t>
  </si>
  <si>
    <t>Happy Birthday Personalised Wine Duo</t>
  </si>
  <si>
    <t>Nova Scotia</t>
  </si>
  <si>
    <t>Japan</t>
  </si>
  <si>
    <t>Slovenia</t>
  </si>
  <si>
    <t>Better With Age Personalised Wine Pair</t>
  </si>
  <si>
    <t>Ontario</t>
  </si>
  <si>
    <t>Jersey</t>
  </si>
  <si>
    <t>JE</t>
  </si>
  <si>
    <t>Spain</t>
  </si>
  <si>
    <t>Christmas Wine Pair</t>
  </si>
  <si>
    <t>Quebec</t>
  </si>
  <si>
    <t>Jordan</t>
  </si>
  <si>
    <t>JO</t>
  </si>
  <si>
    <t>Sweden</t>
  </si>
  <si>
    <t>Personalised Fine Wine Birthday Duo</t>
  </si>
  <si>
    <t>Saskatchewan</t>
  </si>
  <si>
    <t>LV</t>
  </si>
  <si>
    <t>Vatican City</t>
  </si>
  <si>
    <t>United Kingdom</t>
  </si>
  <si>
    <t>Bergamot &amp; Eucalyptus Luxury Hand Duo</t>
  </si>
  <si>
    <t>Graubunden</t>
  </si>
  <si>
    <t>Lebanon</t>
  </si>
  <si>
    <t>LB</t>
  </si>
  <si>
    <t>Raise A Glass Mini Wine Selection</t>
  </si>
  <si>
    <t>Vaud</t>
  </si>
  <si>
    <t>Liechtenstein</t>
  </si>
  <si>
    <t>LI</t>
  </si>
  <si>
    <t>Grace O' Malley Whiskey Gift Set</t>
  </si>
  <si>
    <t>Zurich</t>
  </si>
  <si>
    <t>LT</t>
  </si>
  <si>
    <t>Super Dad Gift Box</t>
  </si>
  <si>
    <t>Paphos</t>
  </si>
  <si>
    <t>LU</t>
  </si>
  <si>
    <t>Best Dad Ever Personalised Wine Duo</t>
  </si>
  <si>
    <t>Altena</t>
  </si>
  <si>
    <t>Macau SAR China</t>
  </si>
  <si>
    <t>MO</t>
  </si>
  <si>
    <t>Pamper Treat Box For Him</t>
  </si>
  <si>
    <t>Baden-Wutterberg</t>
  </si>
  <si>
    <t>Malaysia</t>
  </si>
  <si>
    <t>MY</t>
  </si>
  <si>
    <t>The Gluten-Free Party Treat Box</t>
  </si>
  <si>
    <t>Bavaria</t>
  </si>
  <si>
    <t>MT</t>
  </si>
  <si>
    <t>The Gluten-Free Gourmet Delights Hamper</t>
  </si>
  <si>
    <t>Bayern</t>
  </si>
  <si>
    <t>Moldova, Rep. Of</t>
  </si>
  <si>
    <t>MD</t>
  </si>
  <si>
    <t>The Gourmet Breakfast Gift Box</t>
  </si>
  <si>
    <t>Berlin</t>
  </si>
  <si>
    <t>The Coffee Lovers Treat Gift Box</t>
  </si>
  <si>
    <t>Bernbeuren</t>
  </si>
  <si>
    <t>New Zealand</t>
  </si>
  <si>
    <t>The Very Vegan Gourmet Collection</t>
  </si>
  <si>
    <t>Erfurt</t>
  </si>
  <si>
    <t>Norway</t>
  </si>
  <si>
    <t>Celebration Afternoon Tea Gift Box</t>
  </si>
  <si>
    <t>Freising</t>
  </si>
  <si>
    <t>The Picnic Essentials Gourmet Gift Box</t>
  </si>
  <si>
    <t>Hamburg</t>
  </si>
  <si>
    <t>The Premium Vineyard Duo</t>
  </si>
  <si>
    <t>Heilbronn</t>
  </si>
  <si>
    <t>Qatar</t>
  </si>
  <si>
    <t>QA</t>
  </si>
  <si>
    <t>Happy 18th Birthday Personalised Champagne</t>
  </si>
  <si>
    <t>Hessen</t>
  </si>
  <si>
    <t>RO</t>
  </si>
  <si>
    <t>Konz</t>
  </si>
  <si>
    <t>San Marino</t>
  </si>
  <si>
    <t>SM</t>
  </si>
  <si>
    <t>Happy 18th Birthday Personalised Champagne &amp; Chocolates</t>
  </si>
  <si>
    <t>Köln</t>
  </si>
  <si>
    <t>Saudi Arabia</t>
  </si>
  <si>
    <t>SA</t>
  </si>
  <si>
    <t>Linz am Rhein</t>
  </si>
  <si>
    <t>SK</t>
  </si>
  <si>
    <t>Happy 21st Birthday Personalised Champagne</t>
  </si>
  <si>
    <t>Mulheim an der Ruhr</t>
  </si>
  <si>
    <t>SI</t>
  </si>
  <si>
    <t>Munich</t>
  </si>
  <si>
    <t>Happy 21st Birthday Personalised Champagne &amp; Chocolates</t>
  </si>
  <si>
    <t>Niedersachsen</t>
  </si>
  <si>
    <t>Nordrhein-Westfalen</t>
  </si>
  <si>
    <t>Switzerland</t>
  </si>
  <si>
    <t>Happy 30th Birthday Personalised Champagne</t>
  </si>
  <si>
    <t>North Rhine Westphalia</t>
  </si>
  <si>
    <t>Turkey</t>
  </si>
  <si>
    <t>TR</t>
  </si>
  <si>
    <t>Rheinland-Pfalz</t>
  </si>
  <si>
    <t>Happy 30th Birthday Personalised Champagne &amp; Chocolates</t>
  </si>
  <si>
    <t>Schleswig-Holstein</t>
  </si>
  <si>
    <t>Ukraine</t>
  </si>
  <si>
    <t>UA</t>
  </si>
  <si>
    <t>Sembach</t>
  </si>
  <si>
    <t>United Arab Emirates</t>
  </si>
  <si>
    <t>Happy 40th Birthday Personalised Champagne</t>
  </si>
  <si>
    <t>Wuppertal</t>
  </si>
  <si>
    <t>Copenhagen</t>
  </si>
  <si>
    <t>VA</t>
  </si>
  <si>
    <t>Happy 40th Birthday Personalised Champagne &amp; Chocolates</t>
  </si>
  <si>
    <t>Midtjylland</t>
  </si>
  <si>
    <t>Happy 50th Birthday Personalised Champagne</t>
  </si>
  <si>
    <t>Nordjylland</t>
  </si>
  <si>
    <t>Barcelona</t>
  </si>
  <si>
    <t>Happy 50th Birthday Personalised Champagne &amp; Chocolates</t>
  </si>
  <si>
    <t>Ciudad Real</t>
  </si>
  <si>
    <t>Happy 60th Birthday Personalised Champagne</t>
  </si>
  <si>
    <t>Girona</t>
  </si>
  <si>
    <t>Madrid</t>
  </si>
  <si>
    <t>Happy 60th Birthday Personalised Champagne &amp; Chocolates</t>
  </si>
  <si>
    <t>Sant Marti</t>
  </si>
  <si>
    <t>Happy 70th Birthday Personalised Champagne</t>
  </si>
  <si>
    <t>Valencia</t>
  </si>
  <si>
    <t>Helsinki</t>
  </si>
  <si>
    <t>Happy 70th Birthday Personalised Champagne and Chocolate</t>
  </si>
  <si>
    <t>Besancon</t>
  </si>
  <si>
    <t>Sláinte Personalised Champagne &amp; Luxury Candle</t>
  </si>
  <si>
    <t>Bethune</t>
  </si>
  <si>
    <t>Sláinte Personalised Champagne &amp; Chocolates</t>
  </si>
  <si>
    <t>Drome</t>
  </si>
  <si>
    <t>Sláinte Personalised Champagne</t>
  </si>
  <si>
    <t>Hagenthal-le-Bas</t>
  </si>
  <si>
    <t>Champagne And Lovato 3 Wick Candle</t>
  </si>
  <si>
    <t>Haute-Savoie</t>
  </si>
  <si>
    <t>Champagne, Butlers &amp; Lovato Candle Gift Set</t>
  </si>
  <si>
    <t>Jacou</t>
  </si>
  <si>
    <t>Whispering Angel Rose And Chocolates</t>
  </si>
  <si>
    <t>la Garnache</t>
  </si>
  <si>
    <t>The Blissful Breakfast Treat Box</t>
  </si>
  <si>
    <t>Le Bouscat</t>
  </si>
  <si>
    <t>The Picnic Treat Box</t>
  </si>
  <si>
    <t>Le Bretonneux</t>
  </si>
  <si>
    <t>The Sparkling Treat Box</t>
  </si>
  <si>
    <t>Nice</t>
  </si>
  <si>
    <t>The Wine &amp; Cheese Treat Box - Red</t>
  </si>
  <si>
    <t>Rhone</t>
  </si>
  <si>
    <t>The Wine &amp; Cheese Treat Box - White</t>
  </si>
  <si>
    <t>Taradeau</t>
  </si>
  <si>
    <t>The BBQ Essentials Gift Box</t>
  </si>
  <si>
    <t>Villeneuve-d'Ascq</t>
  </si>
  <si>
    <t>Wicklow Wolf Treat Box</t>
  </si>
  <si>
    <t>Villeurbanne</t>
  </si>
  <si>
    <t>Wine &amp; Nibbles Treat Box</t>
  </si>
  <si>
    <t>Antrim</t>
  </si>
  <si>
    <t>Aperol Spritz Party Pack</t>
  </si>
  <si>
    <t>Armagh</t>
  </si>
  <si>
    <t>The Whiskey Lovers Gift Box</t>
  </si>
  <si>
    <t>Banbridge</t>
  </si>
  <si>
    <t>Aperol Spritz Gift Box</t>
  </si>
  <si>
    <t>Bangor</t>
  </si>
  <si>
    <t>Newborn Baby Aran Gift Set</t>
  </si>
  <si>
    <t>Bedfordshire</t>
  </si>
  <si>
    <t>Mc Nutt My First Blanket Gift Set - Blue</t>
  </si>
  <si>
    <t>Belfast</t>
  </si>
  <si>
    <t>Mc Nutt My First Blanket Gift Set - Pink</t>
  </si>
  <si>
    <t>Berkshire</t>
  </si>
  <si>
    <t>Foxford Baby Blanket Gift Set-Blue</t>
  </si>
  <si>
    <t>Brackley</t>
  </si>
  <si>
    <t>Foxford Baby Blanket Gift Set-Pink</t>
  </si>
  <si>
    <t>Cambridge</t>
  </si>
  <si>
    <t>The Calming Care Package</t>
  </si>
  <si>
    <t>Cambridgeshire</t>
  </si>
  <si>
    <t>Bertie Bear &amp; Luxury Chocolates Gift</t>
  </si>
  <si>
    <t>Canterbury</t>
  </si>
  <si>
    <t>Molly Bear &amp; Luxury Chocolates Gift</t>
  </si>
  <si>
    <t>Cheshire</t>
  </si>
  <si>
    <t>Luxury Cocktail Gift Box</t>
  </si>
  <si>
    <t>Christchurch</t>
  </si>
  <si>
    <t>Cocktail Classics Gift Box</t>
  </si>
  <si>
    <t>Cleveland</t>
  </si>
  <si>
    <t>Butlers Chocolate Lovers Gift Set</t>
  </si>
  <si>
    <t>Congleton</t>
  </si>
  <si>
    <t>Craft Beer &amp; Snacks Gift Box</t>
  </si>
  <si>
    <t>Cornwall</t>
  </si>
  <si>
    <t>Green Spot Whiskey Stone Set</t>
  </si>
  <si>
    <t>Craigavon</t>
  </si>
  <si>
    <t>The Christmas Classic Hamper-Red Wine</t>
  </si>
  <si>
    <t>Darlington</t>
  </si>
  <si>
    <t>The Christmas Classic Hamper-White Wine</t>
  </si>
  <si>
    <t>Derbyshire</t>
  </si>
  <si>
    <t>Home Moment Candle And Christmas Decoration</t>
  </si>
  <si>
    <t>Derry</t>
  </si>
  <si>
    <t>Lilly O'Brien Chocolate Christmas Hamper</t>
  </si>
  <si>
    <t>Devon</t>
  </si>
  <si>
    <t>Taste Of Christmas Hamper</t>
  </si>
  <si>
    <t>Down</t>
  </si>
  <si>
    <t>A Classic Christmas Treat</t>
  </si>
  <si>
    <t>Durham</t>
  </si>
  <si>
    <t>Fine Wine, Chocolate And Candle Gift Set-Red</t>
  </si>
  <si>
    <t>East Sussex</t>
  </si>
  <si>
    <t>Fine Wine, Chocolate And Candle Gift Set-White</t>
  </si>
  <si>
    <t>Edinburgh</t>
  </si>
  <si>
    <t>Fine Wine And Christmas Decoration - Red</t>
  </si>
  <si>
    <t>England</t>
  </si>
  <si>
    <t>Fine Wine And Christmas Decoration - White</t>
  </si>
  <si>
    <t>Enniskillen</t>
  </si>
  <si>
    <t>Fine Wine, Chocolate Sleep Kit - Red</t>
  </si>
  <si>
    <t>Essex</t>
  </si>
  <si>
    <t>Fine Wine, Chocolate Sleep Kit - White</t>
  </si>
  <si>
    <t>Exeter</t>
  </si>
  <si>
    <t>The Ultimate Handcrafted Cheese Lover Hamper</t>
  </si>
  <si>
    <t>Fermanagh</t>
  </si>
  <si>
    <t>The Handcrafted Cheese Lover Hamper</t>
  </si>
  <si>
    <t>Glasgow</t>
  </si>
  <si>
    <t>Gin Lovers Hamper</t>
  </si>
  <si>
    <t>Gloucestershire</t>
  </si>
  <si>
    <t>The Mulled Wine Gift Set</t>
  </si>
  <si>
    <t>Hampshire</t>
  </si>
  <si>
    <t>The Chanel Luxury Hamper</t>
  </si>
  <si>
    <t>Hertfordshire</t>
  </si>
  <si>
    <t>Cozy Night In Hamper</t>
  </si>
  <si>
    <t>Hull</t>
  </si>
  <si>
    <t>The Ultimate Jo Browne Relax And Unwind Hamper</t>
  </si>
  <si>
    <t>Isle of Wight</t>
  </si>
  <si>
    <t>The Jo Browne Relax And Unwind Hamper</t>
  </si>
  <si>
    <t>Kent</t>
  </si>
  <si>
    <t>Ultimate Hug In A Mug Christmas Hamper</t>
  </si>
  <si>
    <t>Lancashire</t>
  </si>
  <si>
    <t>The Ultimate Christmas Essentials Hamper</t>
  </si>
  <si>
    <t>Leicester</t>
  </si>
  <si>
    <t>Butlers Chocolate And Candle</t>
  </si>
  <si>
    <t>Liverpool</t>
  </si>
  <si>
    <t>Jo Browne Relaxation Oil With Chocolate And Candle</t>
  </si>
  <si>
    <t>London</t>
  </si>
  <si>
    <t>Ultimate Relaxation Pamper Gift</t>
  </si>
  <si>
    <t>LondonDerry</t>
  </si>
  <si>
    <t>Best Bridesmaid Ever Gift</t>
  </si>
  <si>
    <t>Magherafelt</t>
  </si>
  <si>
    <t>Ultimate Relaxation &amp; Bubbles Pamper Hamper</t>
  </si>
  <si>
    <t>Marlborough</t>
  </si>
  <si>
    <t>Ultimate Relaxation &amp; Red Wine Pamper Hamper</t>
  </si>
  <si>
    <t>Merseyside</t>
  </si>
  <si>
    <t>Cocktail Trio Gift Box</t>
  </si>
  <si>
    <t>Middlesex</t>
  </si>
  <si>
    <t>Sweet Vegan Bliss Box</t>
  </si>
  <si>
    <t>Newry</t>
  </si>
  <si>
    <t>The Wellness Gift Box</t>
  </si>
  <si>
    <t>North East Lincolnshire</t>
  </si>
  <si>
    <t>Employee Thank You Gift</t>
  </si>
  <si>
    <t>Northern Ireland</t>
  </si>
  <si>
    <t>Red Wine &amp; Cheese Gift Box</t>
  </si>
  <si>
    <t>Northumberland</t>
  </si>
  <si>
    <t>White Wine &amp; Cheese Gift Box</t>
  </si>
  <si>
    <t>Nottinghamshire</t>
  </si>
  <si>
    <t>Wine &amp; Gourmet Delights Hamper</t>
  </si>
  <si>
    <t>Oxford</t>
  </si>
  <si>
    <t>Chocoholics Dream Gift Box</t>
  </si>
  <si>
    <t>Oxfordshire</t>
  </si>
  <si>
    <t>Gourmet Goodies Gift Box</t>
  </si>
  <si>
    <t>Perth</t>
  </si>
  <si>
    <t>Gourmet Delights Hamper</t>
  </si>
  <si>
    <t>Scotland</t>
  </si>
  <si>
    <t>Relaxation Treat Box</t>
  </si>
  <si>
    <t>Shropshire</t>
  </si>
  <si>
    <t>The Dublin Herbalists Collection</t>
  </si>
  <si>
    <t>Somerset</t>
  </si>
  <si>
    <t>Relax &amp; Rejuvenate Gift Box</t>
  </si>
  <si>
    <t>South Yorkshire</t>
  </si>
  <si>
    <t>Gourmet Feast</t>
  </si>
  <si>
    <t>Staffordshire</t>
  </si>
  <si>
    <t>Cuddly Floppsy Rabbit &amp; Personalised Champagne</t>
  </si>
  <si>
    <t>Strabane</t>
  </si>
  <si>
    <t>Bertie Bear &amp; Personalised Champagne</t>
  </si>
  <si>
    <t>Suffolk</t>
  </si>
  <si>
    <t>Personalised Champagne with Happy Birthday Balloon</t>
  </si>
  <si>
    <t>Surrey</t>
  </si>
  <si>
    <t>Personalised Red Wine with Happy Birthday Balloon</t>
  </si>
  <si>
    <t>Tyne and Wear</t>
  </si>
  <si>
    <t>Personalised White Wine with Happy Birthday Balloon</t>
  </si>
  <si>
    <t>Tyrone</t>
  </si>
  <si>
    <t>Congratulations Balloon with Personalised Champagne</t>
  </si>
  <si>
    <t>Warwickshire</t>
  </si>
  <si>
    <t>Personalised Champagne With Galway Flutes and Chocolates</t>
  </si>
  <si>
    <t>Watford</t>
  </si>
  <si>
    <t>Personalised Champagne &amp; Galway Crystal Liberty Flutes</t>
  </si>
  <si>
    <t>West Midlands</t>
  </si>
  <si>
    <t>Welcome Home Mum &amp; Baby -Neutral</t>
  </si>
  <si>
    <t>West Sussex</t>
  </si>
  <si>
    <t>Personalised Wedding Champagne &amp; Galway Crystal Flutes</t>
  </si>
  <si>
    <t>Wiltshire</t>
  </si>
  <si>
    <t>Moet &amp; Chandon Champagne &amp; Chocolates</t>
  </si>
  <si>
    <t>Worcestershire</t>
  </si>
  <si>
    <t>New Born Baby Gift Basket Boy</t>
  </si>
  <si>
    <t>Yorkshire</t>
  </si>
  <si>
    <t>New Born Baby Gift Basket Girl</t>
  </si>
  <si>
    <t>Charlie Bear &amp; Luxury Chocolates Gift</t>
  </si>
  <si>
    <t>Peloponnisos</t>
  </si>
  <si>
    <t>Lily O'Brien Chocolate And Christmas Decoration</t>
  </si>
  <si>
    <t>Fuerteventura</t>
  </si>
  <si>
    <t>Twinkle Toes Baby Gift- Boy</t>
  </si>
  <si>
    <t>Las Palmas</t>
  </si>
  <si>
    <t>Twinkle Toes Baby Gift- Girl</t>
  </si>
  <si>
    <t>Las Palmas de Gran Canaria</t>
  </si>
  <si>
    <t>Welcome Home Mum &amp; Baby - Boy</t>
  </si>
  <si>
    <t>Santa Cruz de Tenerife</t>
  </si>
  <si>
    <t>Welcome Home Mum &amp; Baby - Girl</t>
  </si>
  <si>
    <t>Baltinglass</t>
  </si>
  <si>
    <t>Deluxe Welcome Home Mum &amp; Baby</t>
  </si>
  <si>
    <t>Carlow</t>
  </si>
  <si>
    <t>The Little Princess Baby Girl Gift Basket (0-6 Mths)</t>
  </si>
  <si>
    <t>Cavan</t>
  </si>
  <si>
    <t>The Little Prince Baby Boy Gift Basket (0-6 Mts)</t>
  </si>
  <si>
    <t>Clare</t>
  </si>
  <si>
    <t>Green Angel Irish Skincare Pamper Gift Box</t>
  </si>
  <si>
    <t>Cork</t>
  </si>
  <si>
    <t>Champagne Bernard Remy Gift Box</t>
  </si>
  <si>
    <t>Donegal</t>
  </si>
  <si>
    <t>Little Red Riding Hood Baby Basket</t>
  </si>
  <si>
    <t>Dublin</t>
  </si>
  <si>
    <t>Personalised Red or White Wine &amp; Butlers Chocolates</t>
  </si>
  <si>
    <t>Dublin 1</t>
  </si>
  <si>
    <t>Personalised Red Wine or White Wine with Butlers Chocolates</t>
  </si>
  <si>
    <t>Dublin 10</t>
  </si>
  <si>
    <t>Personalised White Wine &amp; Butler's Chocolates</t>
  </si>
  <si>
    <t>Dublin 11</t>
  </si>
  <si>
    <t>Personalised Red Wine Gift</t>
  </si>
  <si>
    <t>Dublin 12</t>
  </si>
  <si>
    <t>Personalised White Wine Gift</t>
  </si>
  <si>
    <t>Dublin 13</t>
  </si>
  <si>
    <t>Twin Baby Newborn Gift Basket</t>
  </si>
  <si>
    <t>Dublin 14</t>
  </si>
  <si>
    <t>Personalised Champagne and Bear Blue</t>
  </si>
  <si>
    <t>Dublin 15</t>
  </si>
  <si>
    <t>Personalised Champagne and Cuddly Pink Teddy Bear</t>
  </si>
  <si>
    <t>Dublin 16</t>
  </si>
  <si>
    <t>Ultimate Relaxation With Wine Pamper Gift</t>
  </si>
  <si>
    <t>Dublin 17</t>
  </si>
  <si>
    <t>Ultimate Relaxation with Personalised Wine Pamper Gift</t>
  </si>
  <si>
    <t>Dublin 18</t>
  </si>
  <si>
    <t>Hennessey Brandy</t>
  </si>
  <si>
    <t>Dublin 2</t>
  </si>
  <si>
    <t>The At Home Cocktail Gift Set</t>
  </si>
  <si>
    <t>Dublin 20</t>
  </si>
  <si>
    <t>The Irish Christmas Treat Box</t>
  </si>
  <si>
    <t>Dublin 22</t>
  </si>
  <si>
    <t>The Irish Festive Fare</t>
  </si>
  <si>
    <t>Dublin 24</t>
  </si>
  <si>
    <t>The Jameson Hip Flask Gift Get</t>
  </si>
  <si>
    <t>Dublin 3</t>
  </si>
  <si>
    <t>Veuve Clicquot Vintage Champagne</t>
  </si>
  <si>
    <t>Dublin 4</t>
  </si>
  <si>
    <t>Personalised Aged to Perfection Champagne &amp; Chocolates Gift Box</t>
  </si>
  <si>
    <t>Dublin 5</t>
  </si>
  <si>
    <t>Birthday Bubbles in a Box</t>
  </si>
  <si>
    <t>Dublin 6</t>
  </si>
  <si>
    <t>Personalised 40th Birthday Champagne &amp; Chocolates Gift Box</t>
  </si>
  <si>
    <t>Dublin 6W</t>
  </si>
  <si>
    <t>Personalised Champagne &amp; Chocolates Gift Box</t>
  </si>
  <si>
    <t>Dublin 7</t>
  </si>
  <si>
    <t>Personalised 30th Birthday Champagne &amp; Chocolates Gift Box</t>
  </si>
  <si>
    <t>Dublin 8</t>
  </si>
  <si>
    <t>Personalised Wedding Champagne &amp; Chocolates Gift Box</t>
  </si>
  <si>
    <t>Dublin 9</t>
  </si>
  <si>
    <t>Personalised Wine Cuvee Montplo Duo Gift Box</t>
  </si>
  <si>
    <t>Galway</t>
  </si>
  <si>
    <t>Personalised Red &amp; White Fine Wine Gift Box</t>
  </si>
  <si>
    <t>Kerry</t>
  </si>
  <si>
    <t>Personalised Celebration Champagne Gift</t>
  </si>
  <si>
    <t>Kildare</t>
  </si>
  <si>
    <t>Personalised 21st Birthday Champagne Gift</t>
  </si>
  <si>
    <t>Kilkenny</t>
  </si>
  <si>
    <t>Personalised 30th Birthday Champagne Gift</t>
  </si>
  <si>
    <t>Laois</t>
  </si>
  <si>
    <t>Personalised 40th Birthday Champagne Gift</t>
  </si>
  <si>
    <t>Leitrim</t>
  </si>
  <si>
    <t>Personalised 50th Birthday Champagne Gift</t>
  </si>
  <si>
    <t>Limerick</t>
  </si>
  <si>
    <t>Personalised 60th Birthday Champagne Gift</t>
  </si>
  <si>
    <t>Longford</t>
  </si>
  <si>
    <t>Champagne Triple Celebration Gift Box</t>
  </si>
  <si>
    <t>Louth</t>
  </si>
  <si>
    <t>Personalised Champagne Celebration Gift Set</t>
  </si>
  <si>
    <t>Mayo</t>
  </si>
  <si>
    <t>Personalised Brut Champagne</t>
  </si>
  <si>
    <t>Meath</t>
  </si>
  <si>
    <t>Personalised Happy Birthday Champagne</t>
  </si>
  <si>
    <t>Monaghan</t>
  </si>
  <si>
    <t>Personalised Wedding Champagne</t>
  </si>
  <si>
    <t>Offaly</t>
  </si>
  <si>
    <t>Personalised Happy Birthday Champagne &amp; Luxury Irish Chocolates</t>
  </si>
  <si>
    <t>Portlaoise</t>
  </si>
  <si>
    <t>Personalised Wedding Champagne &amp; Luxury Irish Chocolates</t>
  </si>
  <si>
    <t>Roscommon</t>
  </si>
  <si>
    <t>Father's Day Fine Wine &amp; Cheese Hamper</t>
  </si>
  <si>
    <t>Sligo</t>
  </si>
  <si>
    <t>Personalised Red and White Wine</t>
  </si>
  <si>
    <t>Swords</t>
  </si>
  <si>
    <t>The Supreme Christmas Feast</t>
  </si>
  <si>
    <t>Tipperary</t>
  </si>
  <si>
    <t>The Celebration</t>
  </si>
  <si>
    <t>Waterford</t>
  </si>
  <si>
    <t>The Festive Fireside</t>
  </si>
  <si>
    <t>Westmeath</t>
  </si>
  <si>
    <t>The Silent Night</t>
  </si>
  <si>
    <t>Wexford</t>
  </si>
  <si>
    <t>The Irish Banquet</t>
  </si>
  <si>
    <t>Wicklow</t>
  </si>
  <si>
    <t>The Christmas Eve Casket</t>
  </si>
  <si>
    <t>Bolognese</t>
  </si>
  <si>
    <t>Season Selection</t>
  </si>
  <si>
    <t>Chieti</t>
  </si>
  <si>
    <t>St. Stephen's Day</t>
  </si>
  <si>
    <t>Emilia-Romagna</t>
  </si>
  <si>
    <t>The Classical</t>
  </si>
  <si>
    <t>MB Lombardy</t>
  </si>
  <si>
    <t>Wine &amp; Cheese For You</t>
  </si>
  <si>
    <t>Monza and Brianza</t>
  </si>
  <si>
    <t>Personalised Fine Wine &amp; Gourmet Cheese Hamper</t>
  </si>
  <si>
    <t>Verona</t>
  </si>
  <si>
    <t>Thank You Gourmet Gift</t>
  </si>
  <si>
    <t>Tokyo</t>
  </si>
  <si>
    <t>The Perfect Combination Wine &amp; Cheese Gift</t>
  </si>
  <si>
    <t>Sandakan</t>
  </si>
  <si>
    <t>Family Luxury Treats Hamper</t>
  </si>
  <si>
    <t>Amsterdam</t>
  </si>
  <si>
    <t>Thinking Of You Hamper</t>
  </si>
  <si>
    <t>Eindhoven</t>
  </si>
  <si>
    <t>Christmas Family Delights</t>
  </si>
  <si>
    <t>Gelderland</t>
  </si>
  <si>
    <t>The Thank You Hamper</t>
  </si>
  <si>
    <t>Neede</t>
  </si>
  <si>
    <t>Flavours Of Ireland</t>
  </si>
  <si>
    <t>Noord-Holland</t>
  </si>
  <si>
    <t>Well Wishes Hamper</t>
  </si>
  <si>
    <t>Overijssel</t>
  </si>
  <si>
    <t>Chocolate Sensations</t>
  </si>
  <si>
    <t>Oslo</t>
  </si>
  <si>
    <t>The Christmas Wine Selection</t>
  </si>
  <si>
    <t>Taranaki</t>
  </si>
  <si>
    <t>The Cellar Master Wine Gift</t>
  </si>
  <si>
    <t>Waikanae</t>
  </si>
  <si>
    <t>The Connoisseurs Case</t>
  </si>
  <si>
    <t>Warsaw</t>
  </si>
  <si>
    <t>Tour De France</t>
  </si>
  <si>
    <t>Woj. Zachodniopomorskie</t>
  </si>
  <si>
    <t>Supreme French Trio</t>
  </si>
  <si>
    <t>Wojewodztwo Podlaskie</t>
  </si>
  <si>
    <t>French Classic</t>
  </si>
  <si>
    <t>Almancil</t>
  </si>
  <si>
    <t>The Sommelier</t>
  </si>
  <si>
    <t>Milharado</t>
  </si>
  <si>
    <t>The Riviera</t>
  </si>
  <si>
    <t>Bucharest</t>
  </si>
  <si>
    <t>A Taste Of Christmas</t>
  </si>
  <si>
    <t>Sandviken</t>
  </si>
  <si>
    <t>Champagne &amp; Chocolates</t>
  </si>
  <si>
    <t>Umea</t>
  </si>
  <si>
    <t>Supreme Bollinger Celebration Champagne &amp; Chocolates</t>
  </si>
  <si>
    <t>Alabama</t>
  </si>
  <si>
    <t>Jameson Irish Coffee Set</t>
  </si>
  <si>
    <t>Alaska</t>
  </si>
  <si>
    <t>The Grand Irish Gourmet</t>
  </si>
  <si>
    <t>Arizona</t>
  </si>
  <si>
    <t>The Traditional Irish Feast</t>
  </si>
  <si>
    <t>Arkansas</t>
  </si>
  <si>
    <t>The Finest Irish Fare</t>
  </si>
  <si>
    <t>California</t>
  </si>
  <si>
    <t>Across The Miles Hamper</t>
  </si>
  <si>
    <t>Colorado</t>
  </si>
  <si>
    <t>The Irish Christmas</t>
  </si>
  <si>
    <t>Connecticut</t>
  </si>
  <si>
    <t>The Merry Christmas</t>
  </si>
  <si>
    <t>Dallas</t>
  </si>
  <si>
    <t>Red Wine &amp; Chocolates</t>
  </si>
  <si>
    <t>Delaware</t>
  </si>
  <si>
    <t>Bottle of Wine &amp; Butlers Chocolates</t>
  </si>
  <si>
    <t>District of Columbia</t>
  </si>
  <si>
    <t>White Wine &amp; Chocolates</t>
  </si>
  <si>
    <t>Florida</t>
  </si>
  <si>
    <t>Irelands Traditional Treat Box</t>
  </si>
  <si>
    <t>Georgia</t>
  </si>
  <si>
    <t>Wine Duo &amp; Chocolates</t>
  </si>
  <si>
    <t>Hawaii</t>
  </si>
  <si>
    <t>Personalised Wine Duo &amp; Chocolates</t>
  </si>
  <si>
    <t>Idaho</t>
  </si>
  <si>
    <t>Jameson Whiskey &amp; Chocolates</t>
  </si>
  <si>
    <t>Illinois</t>
  </si>
  <si>
    <t>Penfolds Koonunga Hill Gift Pack</t>
  </si>
  <si>
    <t>Indiana</t>
  </si>
  <si>
    <t>Jameson Irish Whiskey &amp; Mullingar Pewter Flask</t>
  </si>
  <si>
    <t>Iowa</t>
  </si>
  <si>
    <t>Fine French Wine Duo</t>
  </si>
  <si>
    <t>Kansas</t>
  </si>
  <si>
    <t>European Fine Wine Duo</t>
  </si>
  <si>
    <t>Kentucky</t>
  </si>
  <si>
    <t>Spanish Fine Wine Duo</t>
  </si>
  <si>
    <t>Los Angeles</t>
  </si>
  <si>
    <t>Luxury Pamper Hamper With Champagne</t>
  </si>
  <si>
    <t>Louisiana</t>
  </si>
  <si>
    <t>Luxury Personalised Robe &amp; Champagne Pamper Hamper</t>
  </si>
  <si>
    <t>Maine</t>
  </si>
  <si>
    <t>Rose Moet &amp; Chandon Pink Champagne With Butlers Chocolates</t>
  </si>
  <si>
    <t>Maryland</t>
  </si>
  <si>
    <t>The Wine Duo</t>
  </si>
  <si>
    <t>Massachusetts</t>
  </si>
  <si>
    <t>The Butlers Gift Box</t>
  </si>
  <si>
    <t>Michigan</t>
  </si>
  <si>
    <t>Fine Red Wine &amp; Delicious Lindt Chocolates</t>
  </si>
  <si>
    <t>Military Pacific Area</t>
  </si>
  <si>
    <t>Fine Wine &amp; Delicious Lindt Chocolates</t>
  </si>
  <si>
    <t>Minnesota</t>
  </si>
  <si>
    <t>Personalised Fine Red Wine &amp; Delicious Lindt Chocolates</t>
  </si>
  <si>
    <t>Mississippi</t>
  </si>
  <si>
    <t>Personalised Red Wine &amp; Delicious Lindt Chocolates</t>
  </si>
  <si>
    <t>Missouri</t>
  </si>
  <si>
    <t>Personalised Wine &amp; Delicious Lindt Chocolates</t>
  </si>
  <si>
    <t>Nebraska</t>
  </si>
  <si>
    <t>Personalised Fine White Wine &amp; Delicious Lindt Chocolates</t>
  </si>
  <si>
    <t>Nevada</t>
  </si>
  <si>
    <t>Personalised White Wine &amp; Delicious Lindt Chocolates</t>
  </si>
  <si>
    <t>New Hampshire</t>
  </si>
  <si>
    <t>Fine White Wine &amp; Delicious Lindt Chocolates</t>
  </si>
  <si>
    <t>New Jersey</t>
  </si>
  <si>
    <t>Baileys &amp; Chocolates</t>
  </si>
  <si>
    <t>New Mexico</t>
  </si>
  <si>
    <t>Deliciously Chocolatey Lindt Chocolate Gift Box</t>
  </si>
  <si>
    <t>New York</t>
  </si>
  <si>
    <t>Deliciously Chocolatey Lindt Chocolate Gift Box With Red Wine</t>
  </si>
  <si>
    <t>North Carolina</t>
  </si>
  <si>
    <t>The Sparkles</t>
  </si>
  <si>
    <t>North Dakota</t>
  </si>
  <si>
    <t>Deluxe Irish Treat Box</t>
  </si>
  <si>
    <t>Ohio</t>
  </si>
  <si>
    <t>The Deluxe Wine &amp; Cheese</t>
  </si>
  <si>
    <t>Oklahoma</t>
  </si>
  <si>
    <t>Wicklow Wolf Craft Beer &amp; Snacks Gift Box</t>
  </si>
  <si>
    <t>Oregon</t>
  </si>
  <si>
    <t>Veuve Clicquot &amp; Truffles</t>
  </si>
  <si>
    <t>Pennsylvania</t>
  </si>
  <si>
    <t>Prosecco &amp; Chocolates</t>
  </si>
  <si>
    <t>Rhode Island</t>
  </si>
  <si>
    <t>Sweet Irish Pantry Box</t>
  </si>
  <si>
    <t>South Carolina</t>
  </si>
  <si>
    <t>Cheese &amp; Wine Gift Box</t>
  </si>
  <si>
    <t>South Dakota</t>
  </si>
  <si>
    <t>Savoury &amp; Sweet Gift Box</t>
  </si>
  <si>
    <t>Tennessee</t>
  </si>
  <si>
    <t>Gun Powder Gin Gift Set</t>
  </si>
  <si>
    <t>Texas</t>
  </si>
  <si>
    <t>Gluten Free Hamper</t>
  </si>
  <si>
    <t>Utah</t>
  </si>
  <si>
    <t>Guinness Hamper</t>
  </si>
  <si>
    <t>Vermont</t>
  </si>
  <si>
    <t>The Guinness Gourmet Treats Hamper</t>
  </si>
  <si>
    <t>Virginia</t>
  </si>
  <si>
    <t>Happy Birthday Surprise Gift Box</t>
  </si>
  <si>
    <t>Washington</t>
  </si>
  <si>
    <t>Personalised Wine &amp; Cheese - Live, Laugh, Love</t>
  </si>
  <si>
    <t>West Virginia</t>
  </si>
  <si>
    <t>Mr &amp; Mrs Personalised Wedding Champagne Gift Box</t>
  </si>
  <si>
    <t>Wisconsin</t>
  </si>
  <si>
    <t>Personalised Live, Laugh, Love Wine &amp; Chocs</t>
  </si>
  <si>
    <t>Wyoming</t>
  </si>
  <si>
    <t>Mini Moet Treat Box</t>
  </si>
  <si>
    <t>Prosecco Time Pamper Box</t>
  </si>
  <si>
    <t>The Luxury Champagne Pamper Gift Box</t>
  </si>
  <si>
    <t>The Moet Relaxation Gift Box</t>
  </si>
  <si>
    <t>Luxury Champagne Relaxation Gift Box</t>
  </si>
  <si>
    <t>Gourmet Red Wine And Cheese Gift Box</t>
  </si>
  <si>
    <t>Gourmet Wine &amp; Cheese Gift Box</t>
  </si>
  <si>
    <t>Gourmet White Wine And Cheese Gift Box</t>
  </si>
  <si>
    <t>The New Parent Pamper Gift Box</t>
  </si>
  <si>
    <t>Dublin Herbalist Pamper Treat Box</t>
  </si>
  <si>
    <t>Relax &amp; Revive Pamper Gift Box</t>
  </si>
  <si>
    <t>Red Breast Whiskey And Chocolate Gift</t>
  </si>
  <si>
    <t>Red Breast Whiskey Gift</t>
  </si>
  <si>
    <t>The Ultimate Gin &amp; Tonic Gift Box</t>
  </si>
  <si>
    <t>Big Night In Craft Beer Box</t>
  </si>
  <si>
    <t>The Pink Gin O'Clock Gift Box</t>
  </si>
  <si>
    <t>Bollinger Special Cuvee Champagne 75cl</t>
  </si>
  <si>
    <t>The Ultimate Wine &amp; Cheese Feast</t>
  </si>
  <si>
    <t>Bollinger Magnum Special Cuvee Champagne</t>
  </si>
  <si>
    <t>Moet &amp; Chandon NV Magnum Champagne</t>
  </si>
  <si>
    <t>Moet &amp; Chandon NV Magnum Rose Champagne</t>
  </si>
  <si>
    <t>Gourmet Collection - White Wine</t>
  </si>
  <si>
    <t>Romantic Night In Hamper for Two</t>
  </si>
  <si>
    <t>Loved Up Personalised Wine Duo</t>
  </si>
  <si>
    <t>Always Love You Wine Pair</t>
  </si>
  <si>
    <t>Personalised Love Champagne &amp; Chocolates</t>
  </si>
  <si>
    <t>Always Love You Champagne &amp; Chocolates</t>
  </si>
  <si>
    <t>Personalised Love Champagne</t>
  </si>
  <si>
    <t>Christmas Treats Gift Box</t>
  </si>
  <si>
    <t>Christmas Eve Kids Treat Box</t>
  </si>
  <si>
    <t>Baby's First Christmas Gift Box</t>
  </si>
  <si>
    <t>Festive Cocktail Gift Box</t>
  </si>
  <si>
    <t>Best Teacher Ever Christmas Gift</t>
  </si>
  <si>
    <t>Robin Redbreast Christmas Gift</t>
  </si>
  <si>
    <t>Glenmorangie 10 Yr Old Single Malt Scotch Whiskey</t>
  </si>
  <si>
    <t>Green Spot Irish Whiskey</t>
  </si>
  <si>
    <t>The Irish Chocoholic Gift Box</t>
  </si>
  <si>
    <t>Its Your Birthday Treat Box</t>
  </si>
  <si>
    <t>Tastes Of Home Treat Box</t>
  </si>
  <si>
    <t>The Irish Tea And Treats Box</t>
  </si>
  <si>
    <t>Jameson Black Barrel Irish Whiskey Gift Boxed</t>
  </si>
  <si>
    <t>Bottle Of Jameson Irish Whiskey 70Cl Giftboxed</t>
  </si>
  <si>
    <t>Krug Grand Cuvee Champagne</t>
  </si>
  <si>
    <t>Laurent Perrier Gift Boxed Champagne</t>
  </si>
  <si>
    <t>Butler's Luxury Irish Chocolate Box</t>
  </si>
  <si>
    <t>Best Mum Ever Personalised Wine Duo</t>
  </si>
  <si>
    <t>Best Mum Ever Personalised Champagne</t>
  </si>
  <si>
    <t>Mothers Day Bubbles &amp; Chocolates</t>
  </si>
  <si>
    <t>Super Mum Pamper Gift Box</t>
  </si>
  <si>
    <t>Greatest Granny Treat Box</t>
  </si>
  <si>
    <t>Personalised Treat Box for Mum</t>
  </si>
  <si>
    <t>The Ultimate Irish Afternoon Tea Hamper</t>
  </si>
  <si>
    <t>Pink Everblooms Bouquet &amp; Prosecco Gift</t>
  </si>
  <si>
    <t>Plum Everblooms Bouquet &amp; Prosecco Gift</t>
  </si>
  <si>
    <t>Pink Everblooms Bouquet &amp; Chocolates Gift</t>
  </si>
  <si>
    <t>Plum Everblooms Bouquet &amp; Chocolates Gift</t>
  </si>
  <si>
    <t>Afternoon Tea Treat Box</t>
  </si>
  <si>
    <t>Pink Fizz Celebration Gift Box</t>
  </si>
  <si>
    <t>Pampering Treat Box With Champagne</t>
  </si>
  <si>
    <t>Pampering Treat Box with Personalised Champagne</t>
  </si>
  <si>
    <t>Pamper Treat Box with Personalised Red Wine</t>
  </si>
  <si>
    <t>Pamper Treat Box with Personalised White Wine</t>
  </si>
  <si>
    <t>Midleton Very Rare Irish Whiskey</t>
  </si>
  <si>
    <t>Rose Moet and Chandon Pink Champagne</t>
  </si>
  <si>
    <t>Moet Chandon Nv Gift Boxed Champagne</t>
  </si>
  <si>
    <t>Luxury Pamper Hamper With Red Wine</t>
  </si>
  <si>
    <t>Luxury Pamper Hamper with Wine</t>
  </si>
  <si>
    <t>Luxury Pamper Hamper with Personalised Red Wine</t>
  </si>
  <si>
    <t>Luxury Pamper Hamper with Personalised Wine</t>
  </si>
  <si>
    <t>Luxury Pamper Hamper With White Wine</t>
  </si>
  <si>
    <t>Luxury Pamper Hamper with Personalised White Wine</t>
  </si>
  <si>
    <t>The Handmade Soap Company Gift</t>
  </si>
  <si>
    <t>Pamper Night In Treat Box</t>
  </si>
  <si>
    <t>Luxury Lemongrass &amp; Cedarwood Pamper Hamper</t>
  </si>
  <si>
    <t>Personalised Red Wine &amp; 320g Butlers Chocolates</t>
  </si>
  <si>
    <t>Personalised White Wine &amp; 320g Butlers Chocolates</t>
  </si>
  <si>
    <t>Personalised Red Wine &amp; Butlers Chocolates</t>
  </si>
  <si>
    <t>Personalised White Wine &amp; Chocolates</t>
  </si>
  <si>
    <t>USA Irish Breakfast Basket</t>
  </si>
  <si>
    <t>USA Deluxe Irish Family Breakfast Basket</t>
  </si>
  <si>
    <t>Veuve Clicquot Vintage Champagne 2015</t>
  </si>
  <si>
    <t>Magnum of Veuve Clicquot</t>
  </si>
  <si>
    <t>Veuve Clicquot Brut Nv Yellow Label Champagne Gift Box</t>
  </si>
  <si>
    <t>Veuve Clicquot Rose - Pink Champagne in a Gift Box</t>
  </si>
  <si>
    <t>Veuve Clicquot Jeroboam 3litres</t>
  </si>
  <si>
    <t>Vintage Rose Veuve Clicquot Pink Champagne</t>
  </si>
  <si>
    <t>Personalised Heart Champagne</t>
  </si>
  <si>
    <t>St. Patrick's Day Hamper</t>
  </si>
  <si>
    <t>HOW TO COMPLETE YOUR ORDER</t>
  </si>
  <si>
    <t xml:space="preserve"> </t>
  </si>
  <si>
    <t>Enter the Item Code/SKU. The description fills automatically.</t>
  </si>
  <si>
    <t>Enable Macros if prompted and allow Excel a moment to check addresses.</t>
  </si>
  <si>
    <t>Phone: required, digits only, e.g. 0871634285.</t>
  </si>
  <si>
    <t>1. Complete all sender details.</t>
  </si>
  <si>
    <t>Company name: optional, maximum 35 characters.</t>
  </si>
  <si>
    <t>3. Email the form to corporate@giftsdirect.com or your Account Manager.</t>
  </si>
  <si>
    <t>Address Line 1: required, maximum 35 characters.</t>
  </si>
  <si>
    <t>4. We will check the order and send your invoice.</t>
  </si>
  <si>
    <t>5. Pay by card or bank transfer. Credit must be agreed in advance.</t>
  </si>
  <si>
    <t>6. Submitting the order confirms acceptance of our Terms &amp; Conditions.</t>
  </si>
  <si>
    <t>Gift message: optional, maximum 40 characters per line.</t>
  </si>
  <si>
    <r>
      <rPr>
        <b/>
        <sz val="11"/>
        <color rgb="FFC00000"/>
        <rFont val="Calibri"/>
        <family val="2"/>
      </rPr>
      <t>Sender details:</t>
    </r>
    <r>
      <rPr>
        <b/>
        <sz val="11"/>
        <color rgb="FFFF0000"/>
        <rFont val="Calibri"/>
        <family val="2"/>
      </rPr>
      <t xml:space="preserve"> </t>
    </r>
    <r>
      <rPr>
        <sz val="11"/>
        <color rgb="FF000000"/>
        <rFont val="Calibri"/>
        <family val="2"/>
      </rPr>
      <t>billing address, contact name, company, phone and email.</t>
    </r>
  </si>
  <si>
    <t>Thank you for choosing GiftsDirect</t>
  </si>
  <si>
    <t>PO number: add if applicable.</t>
  </si>
  <si>
    <t>Pre-Christmas delivery applies to qualifying seasonal orders.</t>
  </si>
  <si>
    <t>VAT number: add if applicable.</t>
  </si>
  <si>
    <t>Need help? Contact your Account Manager or corporate@giftsdirect.com.</t>
  </si>
  <si>
    <t>Your order is confirmed once all information and payment are received.</t>
  </si>
  <si>
    <t xml:space="preserve">SENDER DETAILS </t>
  </si>
  <si>
    <t>Company Name:</t>
  </si>
  <si>
    <t>Recipient Phone*
(local to the Country)</t>
  </si>
  <si>
    <t>Postcode*</t>
  </si>
  <si>
    <t>Town*</t>
  </si>
  <si>
    <t>Recipient name:  maximum 35 characters.</t>
  </si>
  <si>
    <t>Town, County &amp; Postodes: required.</t>
  </si>
  <si>
    <t>Enter your quantity required. Delivery options vary by hamper, for eg, alcohol cannot be sent to the US.</t>
  </si>
  <si>
    <r>
      <t>• Complete all blue mandatory cells - (</t>
    </r>
    <r>
      <rPr>
        <i/>
        <sz val="13"/>
        <color theme="1"/>
        <rFont val="Calibri"/>
        <family val="2"/>
      </rPr>
      <t>If not completed the cell will change to red</t>
    </r>
    <r>
      <rPr>
        <sz val="13"/>
        <color theme="1"/>
        <rFont val="Calibri"/>
        <family val="2"/>
      </rPr>
      <t>).
• Enter the SKU, quantity and delivery details.
• Select the Country and add a gift message if needed.
• The description fills automatically.</t>
    </r>
  </si>
  <si>
    <t>Contact Email:</t>
  </si>
  <si>
    <t>Billing Email:</t>
  </si>
  <si>
    <t>Made by: Aditya Thakar</t>
  </si>
  <si>
    <t>SAP COPY PASTE - ready to paste into SAP</t>
  </si>
  <si>
    <t>STANDARD GIFT MESSAGE  &gt;  type it here once (one line per cell, max 40 characters). Used automatically for any row where the customer left all 7 gift message lines blank.</t>
  </si>
  <si>
    <t>Item No.</t>
  </si>
  <si>
    <t>Item Description
(gap - SAP fills)</t>
  </si>
  <si>
    <t>Unit Price
(gap)</t>
  </si>
  <si>
    <t>Discount %
(gap)</t>
  </si>
  <si>
    <t>Tax Code
(gap)</t>
  </si>
  <si>
    <t>In Stock
(gap)</t>
  </si>
  <si>
    <t>Weight
(gap)</t>
  </si>
  <si>
    <t>Country/Region of Origin
(gap)</t>
  </si>
  <si>
    <t>Contact First Name
(recipient name)</t>
  </si>
  <si>
    <t>Contact Tel 1</t>
  </si>
  <si>
    <t>Contact Company Name</t>
  </si>
  <si>
    <t>Delivery Address 1</t>
  </si>
  <si>
    <t>Delivery Address 2</t>
  </si>
  <si>
    <t>Integration Address
(address line 3)</t>
  </si>
  <si>
    <t>Country Code</t>
  </si>
  <si>
    <t>Gift Message Line 1</t>
  </si>
  <si>
    <t>Gift Message Line 2</t>
  </si>
  <si>
    <t>Gift Message Line 3</t>
  </si>
  <si>
    <t>Gift Message Line 4</t>
  </si>
  <si>
    <t>Gift Message Line 5</t>
  </si>
  <si>
    <t>Gift Message Line 6</t>
  </si>
  <si>
    <t>Gift Message Line 7</t>
  </si>
  <si>
    <t>ORDER Form row
(not for SAP)</t>
  </si>
  <si>
    <t>helper: OK row number</t>
  </si>
  <si>
    <t>helper: use standard message</t>
  </si>
  <si>
    <t>v1.7: matches the SAP sales-order row grid exactly, left to right - Item No., [Item Description - gap], Quantity, [Unit Price, Discount %, Tax Code, In Stock, Weight, Country/Region of Origin - gaps], Contact First Name (recipient name), Contact Tel 1, Contact Company Name, Delivery Address 1, Delivery Address 2, Integration Address (address line 3), Town, County, Postcode, Country Code, Gift Message Line 1-7. Gap columns stay empty so SAP's own values (description, price, tax code, etc.) fill in. Only OK rows are listed, packed together with no blank rows, so A5 down to the last filled row pastes into SAP in one go. A standard gift message typed once in T3:Z3 is used for any row where the customer left all 7 gift message lines blank. ORDER Form row number is shown in column AB, outside the paste range.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</si>
</sst>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theme="1"/>
      <name val="Calibri"/>
      <family val="2"/>
      <charset val="1"/>
    </font>
    <font>
      <b/>
      <sz val="11"/>
      <name val="Cambria"/>
      <family val="1"/>
    </font>
    <font>
      <b/>
      <sz val="11"/>
      <color rgb="FF000000"/>
      <name val="Calibri"/>
      <family val="2"/>
    </font>
    <font>
      <b/>
      <sz val="14"/>
      <color rgb="FF1C4587"/>
      <name val="Cambria"/>
      <family val="1"/>
    </font>
    <font>
      <b/>
      <sz val="11"/>
      <color rgb="FFC00000"/>
      <name val="Cambria"/>
      <family val="1"/>
    </font>
    <font>
      <b/>
      <sz val="10"/>
      <color rgb="FFFFFFFF"/>
      <name val="Cambria"/>
      <family val="1"/>
    </font>
    <font>
      <b/>
      <sz val="12"/>
      <color rgb="FF9C0006"/>
      <name val="Cambria"/>
      <family val="1"/>
    </font>
    <font>
      <b/>
      <sz val="11"/>
      <color rgb="FF9C0006"/>
      <name val="Cambria"/>
      <family val="1"/>
    </font>
    <font>
      <b/>
      <sz val="11"/>
      <color rgb="FF1C4587"/>
      <name val="Cambria"/>
      <family val="1"/>
    </font>
    <font>
      <sz val="9"/>
      <name val="Consolas"/>
      <family val="3"/>
    </font>
    <font>
      <sz val="11"/>
      <color rgb="FF000000"/>
      <name val="Calibri"/>
      <family val="2"/>
    </font>
    <font>
      <b/>
      <sz val="11"/>
      <color rgb="FFFF0000"/>
      <name val="Calibri"/>
      <family val="2"/>
    </font>
    <font>
      <b/>
      <sz val="12"/>
      <color rgb="FF000000"/>
      <name val="Calibri"/>
      <family val="2"/>
    </font>
    <font>
      <b/>
      <sz val="11"/>
      <color rgb="FFD20000"/>
      <name val="Calibri"/>
      <family val="2"/>
    </font>
    <font>
      <b/>
      <sz val="11"/>
      <color rgb="FFC00000"/>
      <name val="Calibri"/>
      <family val="2"/>
    </font>
    <font>
      <sz val="11"/>
      <color rgb="FF000000"/>
      <name val="Calibri"/>
      <family val="2"/>
      <charset val="1"/>
    </font>
    <font>
      <sz val="11"/>
      <color rgb="FF000000"/>
      <name val="Calibri"/>
      <family val="2"/>
    </font>
    <font>
      <b/>
      <sz val="11"/>
      <color rgb="FFFF0000"/>
      <name val="Calibri"/>
      <family val="2"/>
    </font>
    <font>
      <sz val="11"/>
      <name val="Calibri"/>
      <family val="2"/>
    </font>
    <font>
      <b/>
      <sz val="10"/>
      <color rgb="FFC00000"/>
      <name val="Calibri"/>
      <family val="2"/>
    </font>
    <font>
      <sz val="12"/>
      <color theme="1"/>
      <name val="Calibri"/>
      <family val="2"/>
      <charset val="1"/>
    </font>
    <font>
      <sz val="12"/>
      <color theme="1"/>
      <name val="Calibri"/>
      <family val="2"/>
      <scheme val="minor"/>
    </font>
    <font>
      <b/>
      <sz val="12"/>
      <name val="Calibri"/>
      <family val="2"/>
    </font>
    <font>
      <b/>
      <sz val="12"/>
      <color theme="1"/>
      <name val="Calibri"/>
      <family val="2"/>
      <scheme val="minor"/>
    </font>
    <font>
      <sz val="12"/>
      <name val="Calibri"/>
      <family val="2"/>
    </font>
    <font>
      <b/>
      <sz val="12"/>
      <name val="Cambria"/>
      <family val="1"/>
    </font>
    <font>
      <sz val="13"/>
      <color theme="1"/>
      <name val="Calibri"/>
      <family val="2"/>
    </font>
    <font>
      <i/>
      <sz val="13"/>
      <color theme="1"/>
      <name val="Calibri"/>
      <family val="2"/>
    </font>
    <font>
      <sz val="11"/>
      <color theme="0"/>
      <name val="Calibri"/>
      <family val="2"/>
      <scheme val="minor"/>
    </font>
    <font>
      <b/>
      <sz val="10"/>
      <color rgb="FF595959"/>
      <name val="Cambria"/>
      <family val="1"/>
    </font>
  </fonts>
  <fills count="14">
    <fill>
      <patternFill patternType="none"/>
    </fill>
    <fill>
      <patternFill patternType="gray125"/>
    </fill>
    <fill>
      <patternFill patternType="solid">
        <fgColor theme="0"/>
        <bgColor indexed="64"/>
      </patternFill>
    </fill>
    <fill>
      <patternFill patternType="solid">
        <fgColor rgb="FFA9D18E"/>
        <bgColor rgb="FFBFBFBF"/>
      </patternFill>
    </fill>
    <fill>
      <patternFill patternType="solid">
        <fgColor rgb="FFDAE3F3"/>
        <bgColor rgb="FFD9EAD3"/>
      </patternFill>
    </fill>
    <fill>
      <patternFill patternType="solid">
        <fgColor rgb="FFEDEDED"/>
        <bgColor rgb="FFDAE3F3"/>
      </patternFill>
    </fill>
    <fill>
      <patternFill patternType="solid">
        <fgColor rgb="FFFFFFFF"/>
        <bgColor rgb="FFEDEDED"/>
      </patternFill>
    </fill>
    <fill>
      <patternFill patternType="solid">
        <fgColor rgb="FF1C4587"/>
        <bgColor rgb="FF003366"/>
      </patternFill>
    </fill>
    <fill>
      <patternFill patternType="solid">
        <fgColor rgb="FFFFFFFF"/>
      </patternFill>
    </fill>
    <fill>
      <patternFill patternType="solid">
        <fgColor rgb="FFEDEDED"/>
      </patternFill>
    </fill>
    <fill>
      <patternFill patternType="solid">
        <fgColor rgb="FF92D050"/>
        <bgColor rgb="FF000000"/>
      </patternFill>
    </fill>
    <fill>
      <patternFill patternType="solid">
        <fgColor rgb="FFFDE9D9"/>
        <bgColor rgb="FF000000"/>
      </patternFill>
    </fill>
    <fill>
      <patternFill patternType="solid">
        <fgColor rgb="FFFFFFFF"/>
        <bgColor rgb="FF000000"/>
      </patternFill>
    </fill>
    <fill>
      <patternFill patternType="solid">
        <fgColor theme="0"/>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right style="thin">
        <color rgb="FFBFBFBF"/>
      </right>
      <top style="thin">
        <color rgb="FFBFBFBF"/>
      </top>
      <bottom style="thin">
        <color rgb="FFBFBFBF"/>
      </bottom>
      <diagonal/>
    </border>
    <border>
      <left style="thin">
        <color indexed="64"/>
      </left>
      <right style="thin">
        <color indexed="64"/>
      </right>
      <top style="thin">
        <color indexed="64"/>
      </top>
      <bottom/>
      <diagonal/>
    </border>
    <border>
      <left style="thin">
        <color rgb="FFBFBFBF"/>
      </left>
      <right style="thin">
        <color rgb="FFBFBFBF"/>
      </right>
      <top style="thin">
        <color rgb="FFBFBFBF"/>
      </top>
      <bottom/>
      <diagonal/>
    </border>
    <border>
      <left style="thin">
        <color rgb="FFBFBFBF"/>
      </left>
      <right style="thin">
        <color rgb="FFBFBFBF"/>
      </right>
      <top/>
      <bottom style="thin">
        <color rgb="FFBFBFBF"/>
      </bottom>
      <diagonal/>
    </border>
    <border>
      <left style="thin">
        <color indexed="64"/>
      </left>
      <right/>
      <top/>
      <bottom/>
      <diagonal/>
    </border>
  </borders>
  <cellStyleXfs count="2">
    <xf numFmtId="0" fontId="0" fillId="0" borderId="0"/>
    <xf numFmtId="0" fontId="1" fillId="0" borderId="0"/>
  </cellStyleXfs>
  <cellXfs count="73">
    <xf numFmtId="0" fontId="0" fillId="0" borderId="0" xfId="0"/>
    <xf numFmtId="0" fontId="1" fillId="0" borderId="0" xfId="0" applyFont="1" applyAlignment="1">
      <alignment vertical="top" wrapText="1"/>
    </xf>
    <xf numFmtId="0" fontId="2" fillId="0" borderId="0" xfId="0" applyFont="1"/>
    <xf numFmtId="0" fontId="4" fillId="0" borderId="0" xfId="0" applyFont="1"/>
    <xf numFmtId="0" fontId="5" fillId="0" borderId="0" xfId="0" applyFont="1"/>
    <xf numFmtId="0" fontId="6" fillId="7" borderId="4" xfId="0" applyFont="1" applyFill="1" applyBorder="1" applyAlignment="1">
      <alignment horizontal="center" vertical="center" wrapText="1"/>
    </xf>
    <xf numFmtId="0" fontId="1" fillId="0" borderId="0" xfId="0" applyFont="1" applyAlignment="1">
      <alignment vertical="top"/>
    </xf>
    <xf numFmtId="0" fontId="6" fillId="7" borderId="4" xfId="0" applyFont="1" applyFill="1" applyBorder="1" applyAlignment="1">
      <alignment vertical="top" wrapText="1"/>
    </xf>
    <xf numFmtId="0" fontId="1" fillId="0" borderId="4" xfId="0" applyFont="1" applyBorder="1" applyAlignment="1">
      <alignment vertical="top" wrapText="1"/>
    </xf>
    <xf numFmtId="0" fontId="7" fillId="0" borderId="0" xfId="0" applyFont="1"/>
    <xf numFmtId="0" fontId="8" fillId="0" borderId="0" xfId="0" applyFont="1" applyAlignment="1">
      <alignment vertical="top" wrapText="1"/>
    </xf>
    <xf numFmtId="0" fontId="9" fillId="0" borderId="0" xfId="0" applyFont="1" applyAlignment="1">
      <alignment vertical="top" wrapText="1"/>
    </xf>
    <xf numFmtId="0" fontId="10" fillId="0" borderId="0" xfId="0" applyFont="1"/>
    <xf numFmtId="0" fontId="13" fillId="10" borderId="1" xfId="1" applyFont="1" applyFill="1" applyBorder="1" applyAlignment="1">
      <alignment horizontal="center"/>
    </xf>
    <xf numFmtId="0" fontId="3" fillId="12" borderId="1" xfId="1" applyFont="1" applyFill="1" applyBorder="1"/>
    <xf numFmtId="0" fontId="3" fillId="0" borderId="2" xfId="1" applyFont="1" applyBorder="1" applyAlignment="1">
      <alignment horizontal="left" vertical="center"/>
    </xf>
    <xf numFmtId="0" fontId="15" fillId="0" borderId="1" xfId="1" applyFont="1" applyBorder="1" applyAlignment="1">
      <alignment vertical="center" wrapText="1"/>
    </xf>
    <xf numFmtId="0" fontId="16" fillId="0" borderId="1" xfId="1" applyFont="1" applyBorder="1"/>
    <xf numFmtId="0" fontId="3" fillId="0" borderId="1" xfId="1" applyFont="1" applyBorder="1" applyAlignment="1">
      <alignment wrapText="1"/>
    </xf>
    <xf numFmtId="0" fontId="17" fillId="0" borderId="1" xfId="1" applyFont="1" applyBorder="1"/>
    <xf numFmtId="0" fontId="16" fillId="0" borderId="1" xfId="1" applyFont="1" applyBorder="1" applyAlignment="1">
      <alignment wrapText="1"/>
    </xf>
    <xf numFmtId="0" fontId="15" fillId="0" borderId="1" xfId="1" applyFont="1" applyBorder="1"/>
    <xf numFmtId="0" fontId="16" fillId="0" borderId="1" xfId="1" applyFont="1" applyBorder="1" applyAlignment="1">
      <alignment horizontal="left" wrapText="1"/>
    </xf>
    <xf numFmtId="0" fontId="16" fillId="12" borderId="1" xfId="1" applyFont="1" applyFill="1" applyBorder="1" applyAlignment="1">
      <alignment horizontal="left"/>
    </xf>
    <xf numFmtId="0" fontId="19" fillId="12" borderId="1" xfId="1" applyFont="1" applyFill="1" applyBorder="1" applyAlignment="1">
      <alignment horizontal="center"/>
    </xf>
    <xf numFmtId="0" fontId="3" fillId="13" borderId="1" xfId="1" applyFont="1" applyFill="1" applyBorder="1" applyAlignment="1">
      <alignment horizontal="center"/>
    </xf>
    <xf numFmtId="0" fontId="3" fillId="11" borderId="1" xfId="1" applyFont="1" applyFill="1" applyBorder="1" applyAlignment="1">
      <alignment horizontal="center"/>
    </xf>
    <xf numFmtId="0" fontId="3" fillId="13" borderId="2" xfId="1" applyFont="1" applyFill="1" applyBorder="1" applyAlignment="1">
      <alignment horizontal="left" vertical="center"/>
    </xf>
    <xf numFmtId="0" fontId="18" fillId="0" borderId="1" xfId="1" applyFont="1" applyBorder="1" applyAlignment="1">
      <alignment horizontal="left" wrapText="1"/>
    </xf>
    <xf numFmtId="0" fontId="20" fillId="0" borderId="1" xfId="1" applyFont="1" applyBorder="1" applyAlignment="1">
      <alignment horizontal="center"/>
    </xf>
    <xf numFmtId="0" fontId="14" fillId="0" borderId="1" xfId="1" applyFont="1" applyBorder="1" applyAlignment="1">
      <alignment vertical="top" wrapText="1"/>
    </xf>
    <xf numFmtId="0" fontId="11" fillId="0" borderId="1" xfId="1" applyFont="1" applyBorder="1"/>
    <xf numFmtId="0" fontId="22" fillId="0" borderId="0" xfId="0" applyFont="1"/>
    <xf numFmtId="0" fontId="26" fillId="0" borderId="0" xfId="0" applyFont="1"/>
    <xf numFmtId="0" fontId="13" fillId="3" borderId="8"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0" xfId="0" applyFont="1" applyFill="1"/>
    <xf numFmtId="49" fontId="21" fillId="4" borderId="5" xfId="0" applyNumberFormat="1" applyFont="1" applyFill="1" applyBorder="1" applyProtection="1">
      <protection locked="0"/>
    </xf>
    <xf numFmtId="0" fontId="21" fillId="5" borderId="6" xfId="0" applyFont="1" applyFill="1" applyBorder="1"/>
    <xf numFmtId="0" fontId="21" fillId="4" borderId="4" xfId="0" applyFont="1" applyFill="1" applyBorder="1" applyProtection="1">
      <protection locked="0"/>
    </xf>
    <xf numFmtId="49" fontId="21" fillId="4" borderId="4" xfId="0" applyNumberFormat="1" applyFont="1" applyFill="1" applyBorder="1" applyProtection="1">
      <protection locked="0"/>
    </xf>
    <xf numFmtId="0" fontId="21" fillId="6" borderId="4" xfId="0" applyFont="1" applyFill="1" applyBorder="1" applyProtection="1">
      <protection locked="0"/>
    </xf>
    <xf numFmtId="49" fontId="21" fillId="5" borderId="4" xfId="0" applyNumberFormat="1" applyFont="1" applyFill="1" applyBorder="1"/>
    <xf numFmtId="0" fontId="21" fillId="5" borderId="4" xfId="0" applyFont="1" applyFill="1" applyBorder="1"/>
    <xf numFmtId="0" fontId="21" fillId="5" borderId="4" xfId="0" applyFont="1" applyFill="1" applyBorder="1" applyAlignment="1">
      <alignment vertical="top" wrapText="1"/>
    </xf>
    <xf numFmtId="0" fontId="25" fillId="9" borderId="0" xfId="0" applyFont="1" applyFill="1"/>
    <xf numFmtId="49" fontId="21" fillId="4" borderId="9" xfId="0" applyNumberFormat="1" applyFont="1" applyFill="1" applyBorder="1" applyProtection="1">
      <protection locked="0"/>
    </xf>
    <xf numFmtId="0" fontId="29" fillId="0" borderId="0" xfId="0" applyFont="1"/>
    <xf numFmtId="0" fontId="30" fillId="9" borderId="4" xfId="0" applyFont="1" applyFill="1" applyBorder="1" applyAlignment="1">
      <alignment horizontal="center" vertical="center" wrapText="1"/>
    </xf>
    <xf numFmtId="0" fontId="1" fillId="9" borderId="4" xfId="0" applyFont="1" applyFill="1" applyBorder="1"/>
    <xf numFmtId="49" fontId="1" fillId="0" borderId="4" xfId="0" applyNumberFormat="1" applyFont="1" applyBorder="1"/>
    <xf numFmtId="0" fontId="1" fillId="0" borderId="4" xfId="0" applyFont="1" applyBorder="1"/>
    <xf numFmtId="49" fontId="1" fillId="4" borderId="4" xfId="0" applyNumberFormat="1" applyFont="1" applyFill="1" applyBorder="1" applyProtection="1">
      <protection locked="0"/>
    </xf>
    <xf numFmtId="0" fontId="16" fillId="0" borderId="7" xfId="1" applyFont="1" applyBorder="1"/>
    <xf numFmtId="0" fontId="16" fillId="0" borderId="3" xfId="1" applyFont="1" applyBorder="1"/>
    <xf numFmtId="0" fontId="16" fillId="0" borderId="2" xfId="1" applyFont="1" applyBorder="1"/>
    <xf numFmtId="0" fontId="27" fillId="0" borderId="0" xfId="1" applyFont="1" applyAlignment="1">
      <alignment vertical="top" wrapText="1"/>
    </xf>
    <xf numFmtId="0" fontId="27" fillId="0" borderId="0" xfId="1" applyFont="1"/>
    <xf numFmtId="0" fontId="25" fillId="2" borderId="0" xfId="0" applyFont="1" applyFill="1" applyAlignment="1" applyProtection="1">
      <alignment horizontal="left" vertical="center"/>
      <protection locked="0"/>
    </xf>
    <xf numFmtId="0" fontId="22" fillId="2" borderId="0" xfId="0" applyFont="1" applyFill="1" applyProtection="1">
      <protection locked="0"/>
    </xf>
    <xf numFmtId="0" fontId="23" fillId="8" borderId="1" xfId="0" applyFont="1" applyFill="1" applyBorder="1" applyAlignment="1">
      <alignment horizontal="left" vertical="center"/>
    </xf>
    <xf numFmtId="0" fontId="22" fillId="0" borderId="1" xfId="0" applyFont="1" applyBorder="1" applyAlignment="1">
      <alignment horizontal="left"/>
    </xf>
    <xf numFmtId="0" fontId="23" fillId="2" borderId="1" xfId="0" applyFont="1" applyFill="1" applyBorder="1" applyAlignment="1" applyProtection="1">
      <alignment horizontal="left" vertical="center"/>
      <protection locked="0"/>
    </xf>
    <xf numFmtId="0" fontId="24" fillId="2" borderId="1" xfId="0" applyFont="1" applyFill="1" applyBorder="1" applyProtection="1">
      <protection locked="0"/>
    </xf>
    <xf numFmtId="0" fontId="23" fillId="8" borderId="3" xfId="0" applyFont="1" applyFill="1" applyBorder="1" applyAlignment="1">
      <alignment horizontal="left" vertical="center"/>
    </xf>
    <xf numFmtId="0" fontId="22" fillId="0" borderId="10" xfId="0" applyFont="1" applyBorder="1" applyAlignment="1">
      <alignment horizontal="left"/>
    </xf>
    <xf numFmtId="0" fontId="23" fillId="2" borderId="1" xfId="0" applyFont="1" applyFill="1" applyBorder="1" applyAlignment="1" applyProtection="1">
      <alignment vertical="center"/>
      <protection locked="0"/>
    </xf>
    <xf numFmtId="0" fontId="0" fillId="0" borderId="0" xfId="0"/>
    <xf numFmtId="0" fontId="4" fillId="0" borderId="0" xfId="0" applyFont="1"/>
    <xf numFmtId="0" fontId="9" fillId="0" borderId="0" xfId="0" applyFont="1" applyAlignment="1">
      <alignment vertical="center"/>
    </xf>
    <xf numFmtId="0" fontId="15" fillId="0" borderId="0" xfId="0" applyFont="1" applyAlignment="1">
      <alignment vertical="center"/>
    </xf>
    <xf numFmtId="0" fontId="1" fillId="0" borderId="0" xfId="0" applyFont="1" applyAlignment="1">
      <alignment vertical="center" wrapText="1"/>
    </xf>
    <xf numFmtId="0" fontId="3" fillId="0" borderId="0" xfId="0" applyFont="1" applyAlignment="1">
      <alignment horizontal="right" vertical="center" wrapText="1"/>
    </xf>
  </cellXfs>
  <cellStyles count="2">
    <cellStyle name="Normal" xfId="0" builtinId="0"/>
    <cellStyle name="Normal 2" xfId="1" xr:uid="{00000000-0005-0000-0000-00002F000000}"/>
  </cellStyles>
  <dxfs count="10">
    <dxf>
      <font>
        <b/>
        <color rgb="FF7F6000"/>
      </font>
      <fill>
        <patternFill>
          <bgColor rgb="FFFCE5CD"/>
        </patternFill>
      </fill>
    </dxf>
    <dxf>
      <font>
        <b/>
        <color rgb="FF274E13"/>
      </font>
      <fill>
        <patternFill>
          <bgColor rgb="FFD9EAD3"/>
        </patternFill>
      </fill>
    </dxf>
    <dxf>
      <font>
        <b/>
        <color rgb="FF9C0006"/>
      </font>
      <fill>
        <patternFill>
          <bgColor rgb="FFF4CCCC"/>
        </patternFill>
      </fill>
    </dxf>
    <dxf>
      <fill>
        <patternFill>
          <bgColor rgb="FFF4CCCC"/>
        </patternFill>
      </fill>
    </dxf>
    <dxf>
      <fill>
        <patternFill>
          <bgColor rgb="FFF4CCCC"/>
        </patternFill>
      </fill>
    </dxf>
    <dxf>
      <fill>
        <patternFill>
          <bgColor rgb="FFF4CCCC"/>
        </patternFill>
      </fill>
    </dxf>
    <dxf>
      <fill>
        <patternFill>
          <bgColor rgb="FFF4CCCC"/>
        </patternFill>
      </fill>
    </dxf>
    <dxf>
      <fill>
        <patternFill>
          <bgColor rgb="FFF4CCCC"/>
        </patternFill>
      </fill>
    </dxf>
    <dxf>
      <fill>
        <patternFill>
          <bgColor rgb="FFF4CCCC"/>
        </patternFill>
      </fill>
    </dxf>
    <dxf>
      <fill>
        <patternFill>
          <bgColor rgb="FFF4CCCC"/>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1222375</xdr:colOff>
      <xdr:row>13</xdr:row>
      <xdr:rowOff>34925</xdr:rowOff>
    </xdr:from>
    <xdr:to>
      <xdr:col>0</xdr:col>
      <xdr:colOff>3411592</xdr:colOff>
      <xdr:row>18</xdr:row>
      <xdr:rowOff>25400</xdr:rowOff>
    </xdr:to>
    <xdr:pic>
      <xdr:nvPicPr>
        <xdr:cNvPr id="2" name="Picture 1">
          <a:extLst>
            <a:ext uri="{FF2B5EF4-FFF2-40B4-BE49-F238E27FC236}">
              <a16:creationId xmlns:a16="http://schemas.microsoft.com/office/drawing/2014/main" id="{D6E74A47-CE68-4510-99EC-DAE3AD561CA5}"/>
            </a:ext>
          </a:extLst>
        </xdr:cNvPr>
        <xdr:cNvPicPr>
          <a:picLocks noChangeAspect="1"/>
        </xdr:cNvPicPr>
      </xdr:nvPicPr>
      <xdr:blipFill>
        <a:blip xmlns:r="http://schemas.openxmlformats.org/officeDocument/2006/relationships" r:embed="rId1"/>
        <a:stretch>
          <a:fillRect/>
        </a:stretch>
      </xdr:blipFill>
      <xdr:spPr>
        <a:xfrm>
          <a:off x="1222375" y="2809875"/>
          <a:ext cx="2189217" cy="911225"/>
        </a:xfrm>
        <a:prstGeom prst="rect">
          <a:avLst/>
        </a:prstGeom>
      </xdr:spPr>
    </xdr:pic>
    <xdr:clientData/>
  </xdr:twoCellAnchor>
  <xdr:twoCellAnchor editAs="oneCell">
    <xdr:from>
      <xdr:col>1</xdr:col>
      <xdr:colOff>1895475</xdr:colOff>
      <xdr:row>13</xdr:row>
      <xdr:rowOff>104775</xdr:rowOff>
    </xdr:from>
    <xdr:to>
      <xdr:col>1</xdr:col>
      <xdr:colOff>4086531</xdr:colOff>
      <xdr:row>18</xdr:row>
      <xdr:rowOff>95382</xdr:rowOff>
    </xdr:to>
    <xdr:pic>
      <xdr:nvPicPr>
        <xdr:cNvPr id="4" name="Picture 3">
          <a:extLst>
            <a:ext uri="{FF2B5EF4-FFF2-40B4-BE49-F238E27FC236}">
              <a16:creationId xmlns:a16="http://schemas.microsoft.com/office/drawing/2014/main" id="{CF0D7376-8EA4-8E05-70D4-F2876B11571F}"/>
            </a:ext>
          </a:extLst>
        </xdr:cNvPr>
        <xdr:cNvPicPr>
          <a:picLocks noChangeAspect="1"/>
        </xdr:cNvPicPr>
      </xdr:nvPicPr>
      <xdr:blipFill>
        <a:blip xmlns:r="http://schemas.openxmlformats.org/officeDocument/2006/relationships" r:embed="rId2"/>
        <a:stretch>
          <a:fillRect/>
        </a:stretch>
      </xdr:blipFill>
      <xdr:spPr>
        <a:xfrm>
          <a:off x="7235825" y="2879725"/>
          <a:ext cx="2191056" cy="91135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20"/>
  <sheetViews>
    <sheetView showGridLines="0" tabSelected="1" workbookViewId="0">
      <selection activeCell="A4" sqref="A4"/>
    </sheetView>
  </sheetViews>
  <sheetFormatPr defaultColWidth="8.7109375" defaultRowHeight="15" x14ac:dyDescent="0.25"/>
  <cols>
    <col min="1" max="1" width="76.42578125" customWidth="1"/>
    <col min="2" max="2" width="89.85546875" customWidth="1"/>
    <col min="3" max="3" width="34" customWidth="1"/>
    <col min="4" max="4" width="30" customWidth="1"/>
    <col min="5" max="5" width="24" customWidth="1"/>
  </cols>
  <sheetData>
    <row r="1" spans="1:2" ht="15.75" x14ac:dyDescent="0.25">
      <c r="A1" s="13" t="s">
        <v>2658</v>
      </c>
      <c r="B1" s="13" t="s">
        <v>2678</v>
      </c>
    </row>
    <row r="2" spans="1:2" x14ac:dyDescent="0.25">
      <c r="A2" s="20" t="s">
        <v>2659</v>
      </c>
      <c r="B2" s="14" t="s">
        <v>2659</v>
      </c>
    </row>
    <row r="3" spans="1:2" x14ac:dyDescent="0.25">
      <c r="A3" s="15" t="s">
        <v>2660</v>
      </c>
      <c r="B3" s="27" t="s">
        <v>2661</v>
      </c>
    </row>
    <row r="4" spans="1:2" ht="30" x14ac:dyDescent="0.25">
      <c r="A4" s="30" t="s">
        <v>2685</v>
      </c>
      <c r="B4" s="16" t="s">
        <v>2659</v>
      </c>
    </row>
    <row r="5" spans="1:2" x14ac:dyDescent="0.25">
      <c r="A5" s="17" t="s">
        <v>2662</v>
      </c>
      <c r="B5" s="18" t="s">
        <v>2663</v>
      </c>
    </row>
    <row r="6" spans="1:2" x14ac:dyDescent="0.25">
      <c r="A6" s="31" t="s">
        <v>2683</v>
      </c>
      <c r="B6" s="17" t="s">
        <v>2665</v>
      </c>
    </row>
    <row r="7" spans="1:2" x14ac:dyDescent="0.25">
      <c r="A7" s="17" t="s">
        <v>2664</v>
      </c>
      <c r="B7" s="17" t="s">
        <v>2667</v>
      </c>
    </row>
    <row r="8" spans="1:2" x14ac:dyDescent="0.25">
      <c r="A8" s="21" t="s">
        <v>2666</v>
      </c>
      <c r="B8" s="19" t="s">
        <v>2668</v>
      </c>
    </row>
    <row r="9" spans="1:2" x14ac:dyDescent="0.25">
      <c r="A9" s="17" t="s">
        <v>2684</v>
      </c>
      <c r="B9" s="17" t="s">
        <v>2669</v>
      </c>
    </row>
    <row r="10" spans="1:2" ht="33" customHeight="1" x14ac:dyDescent="0.25">
      <c r="A10" s="22" t="s">
        <v>2670</v>
      </c>
      <c r="B10" s="28" t="s">
        <v>2671</v>
      </c>
    </row>
    <row r="11" spans="1:2" x14ac:dyDescent="0.25">
      <c r="A11" s="26" t="s">
        <v>2672</v>
      </c>
      <c r="B11" s="23" t="s">
        <v>2673</v>
      </c>
    </row>
    <row r="12" spans="1:2" x14ac:dyDescent="0.25">
      <c r="A12" s="24" t="s">
        <v>2674</v>
      </c>
      <c r="B12" s="23" t="s">
        <v>2675</v>
      </c>
    </row>
    <row r="13" spans="1:2" x14ac:dyDescent="0.25">
      <c r="A13" s="29" t="s">
        <v>2676</v>
      </c>
      <c r="B13" s="25" t="s">
        <v>2677</v>
      </c>
    </row>
    <row r="14" spans="1:2" x14ac:dyDescent="0.25">
      <c r="A14" s="53"/>
      <c r="B14" s="53"/>
    </row>
    <row r="15" spans="1:2" x14ac:dyDescent="0.25">
      <c r="A15" s="54"/>
      <c r="B15" s="54"/>
    </row>
    <row r="16" spans="1:2" x14ac:dyDescent="0.25">
      <c r="A16" s="54"/>
      <c r="B16" s="54"/>
    </row>
    <row r="17" spans="1:2" x14ac:dyDescent="0.25">
      <c r="A17" s="54"/>
      <c r="B17" s="54"/>
    </row>
    <row r="18" spans="1:2" x14ac:dyDescent="0.25">
      <c r="A18" s="54"/>
      <c r="B18" s="54"/>
    </row>
    <row r="19" spans="1:2" x14ac:dyDescent="0.25">
      <c r="A19" s="54"/>
      <c r="B19" s="54"/>
    </row>
    <row r="20" spans="1:2" x14ac:dyDescent="0.25">
      <c r="A20" s="55"/>
      <c r="B20" s="55"/>
    </row>
  </sheetData>
  <mergeCells count="2">
    <mergeCell ref="B14:B20"/>
    <mergeCell ref="A14:A20"/>
  </mergeCells>
  <pageMargins left="0.75" right="0.75" top="1" bottom="1" header="0.5" footer="0.5"/>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C1000"/>
  <sheetViews>
    <sheetView showGridLines="0" workbookViewId="0">
      <pane ySplit="5" topLeftCell="A6" activePane="bottomLeft" state="frozen"/>
      <selection pane="bottomLeft" activeCell="D1000" sqref="D1000"/>
    </sheetView>
  </sheetViews>
  <sheetFormatPr defaultColWidth="8.7109375" defaultRowHeight="15.75" x14ac:dyDescent="0.25"/>
  <cols>
    <col min="1" max="1" width="25.140625" style="32" customWidth="1"/>
    <col min="2" max="2" width="22.42578125" style="32" customWidth="1"/>
    <col min="3" max="3" width="9.7109375" style="32" customWidth="1"/>
    <col min="4" max="4" width="20" style="32" customWidth="1"/>
    <col min="5" max="5" width="22.7109375" style="32" customWidth="1"/>
    <col min="6" max="6" width="22" style="32" customWidth="1"/>
    <col min="7" max="7" width="26" style="32" customWidth="1"/>
    <col min="8" max="8" width="23.85546875" style="32" customWidth="1"/>
    <col min="9" max="9" width="16.42578125" style="32" customWidth="1"/>
    <col min="10" max="10" width="18" style="32" customWidth="1"/>
    <col min="11" max="11" width="14" style="32" customWidth="1"/>
    <col min="12" max="12" width="11.7109375" style="32" customWidth="1"/>
    <col min="13" max="13" width="18" style="32" customWidth="1"/>
    <col min="14" max="14" width="12" style="32" hidden="1" customWidth="1"/>
    <col min="15" max="15" width="16.28515625" style="32" customWidth="1"/>
    <col min="16" max="17" width="15.5703125" style="32" customWidth="1"/>
    <col min="18" max="18" width="15.42578125" style="32" customWidth="1"/>
    <col min="19" max="19" width="15.85546875" style="32" customWidth="1"/>
    <col min="20" max="20" width="15" style="32" customWidth="1"/>
    <col min="21" max="21" width="15.42578125" style="32" customWidth="1"/>
    <col min="22" max="22" width="11" style="32" hidden="1" customWidth="1"/>
    <col min="23" max="23" width="30" style="32" hidden="1" customWidth="1"/>
    <col min="24" max="24" width="46" style="32" hidden="1" customWidth="1"/>
    <col min="25" max="25" width="40" style="32" hidden="1" customWidth="1"/>
    <col min="26" max="26" width="60" style="32" hidden="1" customWidth="1"/>
    <col min="27" max="27" width="50" style="32" hidden="1" customWidth="1"/>
    <col min="28" max="31" width="13" style="32" hidden="1" customWidth="1"/>
    <col min="32" max="16380" width="8.7109375" style="32"/>
    <col min="16381" max="16381" width="11.5703125" style="32" customWidth="1"/>
    <col min="16382" max="16384" width="8.7109375" style="32"/>
  </cols>
  <sheetData>
    <row r="1" spans="1:31" ht="70.5" customHeight="1" x14ac:dyDescent="0.3">
      <c r="A1" s="56" t="s">
        <v>2686</v>
      </c>
      <c r="B1" s="57"/>
      <c r="C1" s="57"/>
      <c r="D1" s="57"/>
      <c r="E1" s="57"/>
      <c r="F1" s="57"/>
      <c r="G1" s="57"/>
      <c r="H1" s="57"/>
      <c r="I1" s="57"/>
      <c r="J1" s="57"/>
      <c r="K1" s="57"/>
      <c r="L1" s="57"/>
      <c r="M1" s="57"/>
      <c r="N1" s="57"/>
      <c r="O1" s="57"/>
      <c r="P1" s="57"/>
      <c r="Q1" s="57"/>
      <c r="R1" s="57"/>
      <c r="S1" s="57"/>
      <c r="T1" s="57"/>
      <c r="U1" s="57"/>
      <c r="V1" s="57"/>
      <c r="W1" s="57"/>
      <c r="X1" s="57"/>
      <c r="Y1" s="57"/>
    </row>
    <row r="2" spans="1:31" ht="20.100000000000001" customHeight="1" x14ac:dyDescent="0.25">
      <c r="A2" s="60" t="s">
        <v>2679</v>
      </c>
      <c r="B2" s="61"/>
      <c r="C2" s="66" t="s">
        <v>0</v>
      </c>
      <c r="D2" s="63"/>
      <c r="E2" s="63"/>
      <c r="F2" s="63"/>
      <c r="G2" s="64" t="s">
        <v>2659</v>
      </c>
      <c r="H2" s="65"/>
      <c r="I2" s="58"/>
      <c r="J2" s="59"/>
      <c r="K2" s="59"/>
      <c r="L2" s="59"/>
      <c r="M2" s="59"/>
    </row>
    <row r="3" spans="1:31" ht="20.100000000000001" customHeight="1" x14ac:dyDescent="0.25">
      <c r="A3" s="60" t="s">
        <v>1</v>
      </c>
      <c r="B3" s="61"/>
      <c r="C3" s="62" t="s">
        <v>2687</v>
      </c>
      <c r="D3" s="63"/>
      <c r="E3" s="63"/>
      <c r="F3" s="63"/>
      <c r="G3" s="60" t="s">
        <v>2688</v>
      </c>
      <c r="H3" s="61"/>
      <c r="I3" s="58"/>
      <c r="J3" s="59"/>
      <c r="K3" s="59"/>
      <c r="L3" s="59"/>
      <c r="M3" s="59"/>
    </row>
    <row r="4" spans="1:31" ht="2.25" customHeight="1" x14ac:dyDescent="0.25">
      <c r="A4" s="33"/>
    </row>
    <row r="5" spans="1:31" ht="57.75" customHeight="1" x14ac:dyDescent="0.25">
      <c r="A5" s="34" t="s">
        <v>2</v>
      </c>
      <c r="B5" s="35" t="s">
        <v>3</v>
      </c>
      <c r="C5" s="35" t="s">
        <v>4</v>
      </c>
      <c r="D5" s="35" t="s">
        <v>5</v>
      </c>
      <c r="E5" s="35" t="s">
        <v>2680</v>
      </c>
      <c r="F5" s="35" t="s">
        <v>57</v>
      </c>
      <c r="G5" s="35" t="s">
        <v>6</v>
      </c>
      <c r="H5" s="35" t="s">
        <v>7</v>
      </c>
      <c r="I5" s="35" t="s">
        <v>8</v>
      </c>
      <c r="J5" s="35" t="s">
        <v>2682</v>
      </c>
      <c r="K5" s="35" t="s">
        <v>65</v>
      </c>
      <c r="L5" s="35" t="s">
        <v>2681</v>
      </c>
      <c r="M5" s="35" t="s">
        <v>9</v>
      </c>
      <c r="N5" s="35" t="s">
        <v>10</v>
      </c>
      <c r="O5" s="35" t="s">
        <v>11</v>
      </c>
      <c r="P5" s="35" t="s">
        <v>12</v>
      </c>
      <c r="Q5" s="35" t="s">
        <v>13</v>
      </c>
      <c r="R5" s="35" t="s">
        <v>14</v>
      </c>
      <c r="S5" s="35" t="s">
        <v>15</v>
      </c>
      <c r="T5" s="35" t="s">
        <v>16</v>
      </c>
      <c r="U5" s="35" t="s">
        <v>17</v>
      </c>
      <c r="V5" s="35" t="s">
        <v>18</v>
      </c>
      <c r="W5" s="35" t="s">
        <v>19</v>
      </c>
      <c r="X5" s="35" t="s">
        <v>20</v>
      </c>
      <c r="Y5" s="35" t="s">
        <v>21</v>
      </c>
      <c r="Z5" s="35" t="s">
        <v>22</v>
      </c>
      <c r="AA5" s="35" t="s">
        <v>23</v>
      </c>
      <c r="AB5" s="36" t="s">
        <v>24</v>
      </c>
      <c r="AC5" s="36" t="s">
        <v>25</v>
      </c>
      <c r="AD5" s="32" t="s">
        <v>26</v>
      </c>
      <c r="AE5" s="32" t="s">
        <v>27</v>
      </c>
    </row>
    <row r="6" spans="1:31" ht="15" customHeight="1" x14ac:dyDescent="0.25">
      <c r="A6" s="37"/>
      <c r="B6" s="38" t="str">
        <f>IF($A6="","",IFERROR(VLOOKUP($AC6,'PRODUCT DATA'!$NR$2:$NS$374,2,FALSE()),"UNKNOWN ITEM CODE - please check"))</f>
        <v/>
      </c>
      <c r="C6" s="39">
        <v>1</v>
      </c>
      <c r="D6" s="39"/>
      <c r="E6" s="40"/>
      <c r="F6" s="41"/>
      <c r="G6" s="39"/>
      <c r="H6" s="41"/>
      <c r="I6" s="41"/>
      <c r="J6" s="39"/>
      <c r="K6" s="41"/>
      <c r="L6" s="40"/>
      <c r="M6" s="40"/>
      <c r="N6" s="42" t="str">
        <f>IF($M6="","",IFERROR(INDEX('PRODUCT DATA'!$B$2:$B$58,MATCH(IF(UPPER($M6)="UK","GB",$M6),'PRODUCT DATA'!$B$2:$B$58,0)),IFERROR(INDEX('PRODUCT DATA'!$B$2:$B$58,MATCH(IF(UPPER($M6)="UK","GB",$M6),'PRODUCT DATA'!$A$2:$A$58,0)),"UNKNOWN COUNTRY - please check")))</f>
        <v/>
      </c>
      <c r="O6" s="41"/>
      <c r="P6" s="41"/>
      <c r="Q6" s="41"/>
      <c r="R6" s="41"/>
      <c r="S6" s="41"/>
      <c r="T6" s="41"/>
      <c r="U6" s="41"/>
      <c r="V6" s="43" t="str">
        <f t="shared" ref="V6:V69" si="0">IF(COUNTA($A6,$D6:$M6,$O6:$U6)=0,"",IF($X6="","OK","FIX"))</f>
        <v/>
      </c>
      <c r="W6" s="44" t="str">
        <f ca="1">IF(COUNTA($A6,$D6:$M6,$O6:$U6)=0,"",IF($A6="","Item Code; ","")&amp;IF(AND($A6&lt;&gt;"",ISNA(MATCH($AC6,'PRODUCT DATA'!$D$2:$D$394,0))),"Item Code; ","")&amp;IF($M6="","Country; ","")&amp;IF(AND($M6&lt;&gt;"",NOT(OR(NOT(ISNA(MATCH(IF(UPPER($M6)="UK","GB",$M6),'PRODUCT DATA'!$A$2:$A$58,0))),NOT(ISNA(MATCH(IF(UPPER($M6)="UK","GB",$M6),'PRODUCT DATA'!$B$2:$B$58,0)))))),"Country; ","")&amp;IF(AND($A6&lt;&gt;"",$M6&lt;&gt;"",NOT(ISNA(MATCH($AC6,'PRODUCT DATA'!$D$2:$D$394,0))),OR(NOT(ISNA(MATCH(IF(UPPER($M6)="UK","GB",$M6),'PRODUCT DATA'!$A$2:$A$58,0))),NOT(ISNA(MATCH(IF(UPPER($M6)="UK","GB",$M6),'PRODUCT DATA'!$B$2:$B$58,0)))),NOT(IFERROR(COUNTIF(OFFSET('PRODUCT DATA'!$F$2,0,MATCH($AC6,'PRODUCT DATA'!$F$1:$NN$1,0)-1,114,1),$N6)&gt;0,FALSE()))),IF(UPPER(IFERROR(OFFSET('PRODUCT DATA'!$C$2,MATCH($N6,'PRODUCT DATA'!$B$2:$B$58,0)-1,0),""))="NO","Alcohol Restriction; ","Item Code / Country combination; "),"")&amp;IF($C6="","Quantity; ","")&amp;IF(AND($C6&lt;&gt;"",OR(NOT(ISNUMBER($C6)),$C6&lt;1,$C6&gt;999,MOD($C6,1)&lt;&gt;0)),"Quantity; ","")&amp;IF($D6="","Recipient Name; ","")&amp;IF(LEN($D6)&gt;35,"Recipient Name; ","")&amp;IF($E6="","Recipient Phone; ","")&amp;IF(AND($E6&lt;&gt;"",OR(LEN($E6)&lt;6,LEN($E6)&gt;20,NOT(IFERROR(ISNUMBER(1*$E6),FALSE())))),"Recipient Phone; ","")&amp;IF(LEN($F6)&gt;35,"Recipient Company Name; ","")&amp;IF($G6="","Address Line 1; ","")&amp;IF(LEN($G6)&gt;35,"Address Line 1; ","")&amp;IF(LEN($H6)&gt;35,"Address Line 2; ","")&amp;IF(LEN($I6)&gt;35,"Address Line 3; ","")&amp;IF($J6="","Town; ","")&amp;IF(LEN($J6)&gt;35,"Town; ","")&amp;IF(AND($N6="IE",$K6=""),"County; ","")&amp;IF(LEN($AB6)&gt;35,"County; ","")&amp;IF(AND($L6="",AND($N6&lt;&gt;"AE",$N6&lt;&gt;"QA")),"Postcode; ","")&amp;IF(LEN($L6)&gt;35,"Postcode; ","")&amp;IF($AE6&lt;&gt;"","Postcode; ","")&amp;IF(LEN($O6)&gt;40,"Gift Message 1; ","")&amp;IF(LEN($P6)&gt;40,"Gift Message 2; ","")&amp;IF(LEN($Q6)&gt;40,"Gift Message 3; ","")&amp;IF(LEN($R6)&gt;40,"Gift Message 4; ","")&amp;IF(LEN($S6)&gt;40,"Gift Message 5; ","")&amp;IF(LEN($T6)&gt;40,"Gift Message 6; ","")&amp;IF(LEN($U6)&gt;40,"Gift Message 7; ",""))</f>
        <v/>
      </c>
      <c r="X6" s="44" t="str">
        <f ca="1">IF(COUNTA($A6,$D6:$M6,$O6:$U6)=0,"",IF($A6="","Enter the Item Code (hamper) - type it, paste it, or choose it from the dropdown. ","")&amp;IF(AND($A6&lt;&gt;"",ISNA(MATCH($AC6,'PRODUCT DATA'!$D$2:$D$394,0))),"This Item Code is not recognised. Check the code (case does not matter, but spelling and digits must match exactly) or choose it from the dropdown. ","")&amp;IF($M6="","Enter the Country after the Item Code - type or paste the name or the 2-letter code, or choose it from the dropdown. ","")&amp;IF(AND($M6&lt;&gt;"",NOT(OR(NOT(ISNA(MATCH(IF(UPPER($M6)="UK","GB",$M6),'PRODUCT DATA'!$A$2:$A$58,0))),NOT(ISNA(MATCH(IF(UPPER($M6)="UK","GB",$M6),'PRODUCT DATA'!$B$2:$B$58,0)))))),"This Country is not recognised as either a full name or a 2-letter code. Check the spelling (case does not matter) or choose it from the dropdown. ","")&amp;IF(AND($A6&lt;&gt;"",$M6&lt;&gt;"",NOT(ISNA(MATCH($AC6,'PRODUCT DATA'!$D$2:$D$394,0))),OR(NOT(ISNA(MATCH(IF(UPPER($M6)="UK","GB",$M6),'PRODUCT DATA'!$A$2:$A$58,0))),NOT(ISNA(MATCH(IF(UPPER($M6)="UK","GB",$M6),'PRODUCT DATA'!$B$2:$B$58,0)))),NOT(IFERROR(COUNTIF(OFFSET('PRODUCT DATA'!$F$2,0,MATCH($AC6,'PRODUCT DATA'!$F$1:$NN$1,0)-1,114,1),$N6)&gt;0,FALSE()))),IF(UPPER(IFERROR(OFFSET('PRODUCT DATA'!$C$2,MATCH($N6,'PRODUCT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"),"")&amp;IF($C6="","Enter Quantity. ","")&amp;IF(AND($C6&lt;&gt;"",OR(NOT(ISNUMBER($C6)),$C6&lt;1,$C6&gt;999,MOD($C6,1)&lt;&gt;0)),"Quantity must be a whole number from 1 to 999 (use a quantity above 1 only for a genuine bulk order of identical items to ONE address — otherwise use a separate row per recipient). ","")&amp;IF($D6="","Enter Recipient Name. ","")&amp;IF(LEN($D6)&gt;35,"Recipient Name exceeds 35 characters. ","")&amp;IF($E6="","Enter Recipient Phone. ","")&amp;IF(AND($E6&lt;&gt;"",OR(LEN($E6)&lt;6,LEN($E6)&gt;20,NOT(IFERROR(ISNUMBER(1*$E6),FALSE())))),"Phone must be the LOCAL number for the destination country: digits only, no +, spaces, or country code, 6 to 20 digits. ","")&amp;IF(LEN($F6)&gt;35,"Recipient Company Name exceeds 35 characters. ","")&amp;IF($G6="","Enter Address Line 1. ","")&amp;IF(LEN($G6)&gt;35,"Address Line 1 exceeds the 35-character SAP limit. ","")&amp;IF(LEN($H6)&gt;35,"Address Line 2 exceeds the 35-character SAP limit. ","")&amp;IF(LEN($I6)&gt;35,"Address Line 3 exceeds the 35-character SAP limit. ","")&amp;IF($J6="","Enter Town. This must never be left blank, even if there is no conventional town name. ","")&amp;IF(LEN($J6)&gt;35,"Town exceeds 35 characters. ","")&amp;IF(AND($N6="IE",$K6=""),"County is required for deliveries within the Republic of Ireland. ","")&amp;IF(LEN($AB6)&gt;35,"County exceeds 35 characters. ","")&amp;IF(AND($L6="",AND($N6&lt;&gt;"AE",$N6&lt;&gt;"QA")),"Postcode is required for the selected country. If there is genuinely no postcode, enter the first 3 characters of the area (e.g. D15). ","")&amp;IF(LEN($L6)&gt;35,"Postcode exceeds 35 characters. ","")&amp;IF($AE6&lt;&gt;"",$AE6,"")&amp;IF(LEN($O6)&gt;40,"Gift Message Line 1 exceeds 40 characters. ","")&amp;IF(LEN($P6)&gt;40,"Gift Message Line 2 exceeds 40 characters. ","")&amp;IF(LEN($Q6)&gt;40,"Gift Message Line 3 exceeds 40 characters. ","")&amp;IF(LEN($R6)&gt;40,"Gift Message Line 4 exceeds 40 characters. ","")&amp;IF(LEN($S6)&gt;40,"Gift Message Line 5 exceeds 40 characters. ","")&amp;IF(LEN($T6)&gt;40,"Gift Message Line 6 exceeds 40 characters. ","")&amp;IF(LEN($U6)&gt;40,"Gift Message Line 7 exceeds 40 characters. ",""))</f>
        <v/>
      </c>
      <c r="Y6" s="44" t="str">
        <f t="shared" ref="Y6:Y69" si="1">IF(AND(NOT(COUNTA($A6,$D6:$M6,$O6:$U6)=0),ISNUMBER($C6),$C6&gt;1),"Quantity is more than 1 - confirm this is a genuine bulk order to ONE address before SAP entry. ","")&amp;IF(AND(NOT(COUNTA($A6,$D6:$M6,$O6:$U6)=0),AND($O6="",$P6="",$Q6="",$R6="",$S6="",$T6="",$U6="")),"No gift message entered - add our standard message before this goes to SAP. ","")&amp;IF(AND(NOT(COUNTA($A6,$D6:$M6,$O6:$U6)=0),AND($N6&lt;&gt;"AT",$N6&lt;&gt;"BE",$N6&lt;&gt;"BG",$N6&lt;&gt;"CY",$N6&lt;&gt;"CZ",$N6&lt;&gt;"DE",$N6&lt;&gt;"DK",$N6&lt;&gt;"EE",$N6&lt;&gt;"ES",$N6&lt;&gt;"FI",$N6&lt;&gt;"FR",$N6&lt;&gt;"GB",$N6&lt;&gt;"GR",$N6&lt;&gt;"HR",$N6&lt;&gt;"HU",$N6&lt;&gt;"IC",$N6&lt;&gt;"IE",$N6&lt;&gt;"IT",$N6&lt;&gt;"LT",$N6&lt;&gt;"LU",$N6&lt;&gt;"LV",$N6&lt;&gt;"MT",$N6&lt;&gt;"NL",$N6&lt;&gt;"PL",$N6&lt;&gt;"PT",$N6&lt;&gt;"RO",$N6&lt;&gt;"SE",$N6&lt;&gt;"SI",$N6&lt;&gt;"SK",$N6&lt;&gt;"VA"),$K6&lt;&gt;""),"Non-EU/UK/Ireland delivery with County filled in - check the SAP Town/Address-3 field-swap rule (State goes in Town, City goes in Address Line 3) before SAP entry. ","")&amp;IF($AA6&lt;&gt;"",$AA6&amp;" ","")</f>
        <v/>
      </c>
      <c r="Z6" s="44"/>
      <c r="AA6" s="44"/>
      <c r="AB6" s="32" t="str">
        <f t="shared" ref="AB6:AB69" si="2">IF(TRIM($K6)="","",IF(LEFT(UPPER(TRIM($K6)),4)="CO. ",TRIM(MID(TRIM($K6),5,255)),IF(LEFT(UPPER(TRIM($K6)),3)="CO ",TRIM(MID(TRIM($K6),4,255)),IF(LEFT(UPPER(TRIM($K6)),7)="COUNTY ",TRIM(MID(TRIM($K6),8,255)),TRIM($K6)))))</f>
        <v/>
      </c>
      <c r="AC6" s="32" t="str">
        <f>IF($A6="","",IFERROR(LEFT(INDEX('PRODUCT DATA'!$NO$2:$NO$25,MATCH($A6,'PRODUCT DATA'!$NP$2:$NP$25,0)),FIND("|",INDEX('PRODUCT DATA'!$NO$2:$NO$25,MATCH($A6,'PRODUCT DATA'!$NP$2:$NP$25,0)))-1),$A6))</f>
        <v/>
      </c>
      <c r="AD6" s="45"/>
      <c r="AE6" s="45" t="str">
        <f t="shared" ref="AE6:AE69" si="3">IF(OR($L6="",$N6=""),"",IF($N6="US",IF(OR(AND(LEN((SUBSTITUTE(TRIM($L6)," ","")))=5,ISNUMBER(VALUE((SUBSTITUTE(TRIM($L6)," ",""))))),AND(LEN((SUBSTITUTE(TRIM($L6)," ","")))=9,ISNUMBER(VALUE((SUBSTITUTE(TRIM($L6)," ",""))))),AND(LEN((SUBSTITUTE(TRIM($L6)," ","")))=10,MID((SUBSTITUTE(TRIM($L6)," ","")),6,1)="-",ISNUMBER(VALUE(LEFT((SUBSTITUTE(TRIM($L6)," ","")),5))),ISNUMBER(VALUE(RIGHT((SUBSTITUTE(TRIM($L6)," ","")),4))))),"","Postcode '"&amp;$L6&amp;"' doesn't look like a valid "&amp;$N6&amp;" postcode - please check it. "),IF($N6="CA",IF(AND(LEN((SUBSTITUTE(TRIM($L6)," ","")))=6,AND(CODE(UPPER(MID((SUBSTITUTE(TRIM($L6)," ","")),1,1)))&gt;=65,CODE(UPPER(MID((SUBSTITUTE(TRIM($L6)," ","")),1,1)))&lt;=90),ISNUMBER(VALUE(MID((SUBSTITUTE(TRIM($L6)," ","")),2,1))),AND(CODE(UPPER(MID((SUBSTITUTE(TRIM($L6)," ","")),3,1)))&gt;=65,CODE(UPPER(MID((SUBSTITUTE(TRIM($L6)," ","")),3,1)))&lt;=90),ISNUMBER(VALUE(MID((SUBSTITUTE(TRIM($L6)," ","")),4,1))),AND(CODE(UPPER(MID((SUBSTITUTE(TRIM($L6)," ","")),5,1)))&gt;=65,CODE(UPPER(MID((SUBSTITUTE(TRIM($L6)," ","")),5,1)))&lt;=90),ISNUMBER(VALUE(MID((SUBSTITUTE(TRIM($L6)," ","")),6,1)))),"","Postcode '"&amp;$L6&amp;"' doesn't look like a valid "&amp;$N6&amp;" postcode - please check it. "),IF($N6="NL",IF(AND(LEN((SUBSTITUTE(TRIM($L6)," ","")))=6,ISNUMBER(VALUE(LEFT((SUBSTITUTE(TRIM($L6)," ","")),4))),AND(CODE(UPPER(MID((SUBSTITUTE(TRIM($L6)," ","")),5,1)))&gt;=65,CODE(UPPER(MID((SUBSTITUTE(TRIM($L6)," ","")),5,1)))&lt;=90),AND(CODE(UPPER(MID((SUBSTITUTE(TRIM($L6)," ","")),6,1)))&gt;=65,CODE(UPPER(MID((SUBSTITUTE(TRIM($L6)," ","")),6,1)))&lt;=90)),"","Postcode '"&amp;$L6&amp;"' doesn't look like a valid "&amp;$N6&amp;" postcode - please check it. "),IF($N6="IE",IF(AND(LEN((SUBSTITUTE(TRIM($L6)," ","")))=7,AND(CODE(UPPER(MID((SUBSTITUTE(TRIM($L6)," ","")),1,1)))&gt;=65,CODE(UPPER(MID((SUBSTITUTE(TRIM($L6)," ","")),1,1)))&lt;=90),ISNUMBER(VALUE(MID((SUBSTITUTE(TRIM($L6)," ","")),2,1))),OR(ISNUMBER(VALUE(MID((SUBSTITUTE(TRIM($L6)," ","")),3,1))),AND(CODE(UPPER(MID((SUBSTITUTE(TRIM($L6)," ","")),3,1)))&gt;=65,CODE(UPPER(MID((SUBSTITUTE(TRIM($L6)," ","")),3,1)))&lt;=90)),OR(ISNUMBER(VALUE(MID((SUBSTITUTE(TRIM($L6)," ","")),4,1))),AND(CODE(UPPER(MID((SUBSTITUTE(TRIM($L6)," ","")),4,1)))&gt;=65,CODE(UPPER(MID((SUBSTITUTE(TRIM($L6)," ","")),4,1)))&lt;=90)),OR(ISNUMBER(VALUE(MID((SUBSTITUTE(TRIM($L6)," ","")),5,1))),AND(CODE(UPPER(MID((SUBSTITUTE(TRIM($L6)," ","")),5,1)))&gt;=65,CODE(UPPER(MID((SUBSTITUTE(TRIM($L6)," ","")),5,1)))&lt;=90)),OR(ISNUMBER(VALUE(MID((SUBSTITUTE(TRIM($L6)," ","")),6,1))),AND(CODE(UPPER(MID((SUBSTITUTE(TRIM($L6)," ","")),6,1)))&gt;=65,CODE(UPPER(MID((SUBSTITUTE(TRIM($L6)," ","")),6,1)))&lt;=90)),OR(ISNUMBER(VALUE(MID((SUBSTITUTE(TRIM($L6)," ","")),7,1))),AND(CODE(UPPER(MID((SUBSTITUTE(TRIM($L6)," ","")),7,1)))&gt;=65,CODE(UPPER(MID((SUBSTITUTE(TRIM($L6)," ","")),7,1)))&lt;=90))),"","Postcode '"&amp;$L6&amp;"' doesn't look like a valid "&amp;$N6&amp;" postcode - please check it. "),IF($N6="GB",IF(AND(OR(LEN((SUBSTITUTE(TRIM($L6)," ","")))=5,LEN((SUBSTITUTE(TRIM($L6)," ","")))=6,LEN((SUBSTITUTE(TRIM($L6)," ","")))=7),AND(ISNUMBER(VALUE(MID((SUBSTITUTE(TRIM($L6)," ","")),LEN((SUBSTITUTE(TRIM($L6)," ","")))-2,1))),AND(CODE(UPPER(MID((SUBSTITUTE(TRIM($L6)," ","")),LEN((SUBSTITUTE(TRIM($L6)," ","")))-1,1)))&gt;=65,CODE(UPPER(MID((SUBSTITUTE(TRIM($L6)," ","")),LEN((SUBSTITUTE(TRIM($L6)," ","")))-1,1)))&lt;=90),AND(CODE(UPPER(MID((SUBSTITUTE(TRIM($L6)," ","")),LEN((SUBSTITUTE(TRIM($L6)," ",""))),1)))&gt;=65,CODE(UPPER(MID((SUBSTITUTE(TRIM($L6)," ","")),LEN((SUBSTITUTE(TRIM($L6)," ",""))),1)))&lt;=90)),IF(LEN((SUBSTITUTE(TRIM($L6)," ","")))-3=2,AND(AND(CODE(UPPER(MID((SUBSTITUTE(TRIM($L6)," ","")),1,1)))&gt;=65,CODE(UPPER(MID((SUBSTITUTE(TRIM($L6)," ","")),1,1)))&lt;=90),ISNUMBER(VALUE(MID((SUBSTITUTE(TRIM($L6)," ","")),2,1)))),IF(LEN((SUBSTITUTE(TRIM($L6)," ","")))-3=3,OR(AND(AND(CODE(UPPER(MID((SUBSTITUTE(TRIM($L6)," ","")),1,1)))&gt;=65,CODE(UPPER(MID((SUBSTITUTE(TRIM($L6)," ","")),1,1)))&lt;=90),ISNUMBER(VALUE(MID((SUBSTITUTE(TRIM($L6)," ","")),2,1))),OR(ISNUMBER(VALUE(MID((SUBSTITUTE(TRIM($L6)," ","")),3,1))),AND(CODE(UPPER(MID((SUBSTITUTE(TRIM($L6)," ","")),3,1)))&gt;=65,CODE(UPPER(MID((SUBSTITUTE(TRIM($L6)," ","")),3,1)))&lt;=90))),AND(AND(CODE(UPPER(MID((SUBSTITUTE(TRIM($L6)," ","")),1,1)))&gt;=65,CODE(UPPER(MID((SUBSTITUTE(TRIM($L6)," ","")),1,1)))&lt;=90),AND(CODE(UPPER(MID((SUBSTITUTE(TRIM($L6)," ","")),2,1)))&gt;=65,CODE(UPPER(MID((SUBSTITUTE(TRIM($L6)," ","")),2,1)))&lt;=90),ISNUMBER(VALUE(MID((SUBSTITUTE(TRIM($L6)," ","")),3,1))))),AND(AND(CODE(UPPER(MID((SUBSTITUTE(TRIM($L6)," ","")),1,1)))&gt;=65,CODE(UPPER(MID((SUBSTITUTE(TRIM($L6)," ","")),1,1)))&lt;=90),AND(CODE(UPPER(MID((SUBSTITUTE(TRIM($L6)," ","")),2,1)))&gt;=65,CODE(UPPER(MID((SUBSTITUTE(TRIM($L6)," ","")),2,1)))&lt;=90),ISNUMBER(VALUE(MID((SUBSTITUTE(TRIM($L6)," ","")),3,1))),OR(ISNUMBER(VALUE(MID((SUBSTITUTE(TRIM($L6)," ","")),4,1))),AND(CODE(UPPER(MID((SUBSTITUTE(TRIM($L6)," ","")),4,1)))&gt;=65,CODE(UPPER(MID((SUBSTITUTE(TRIM($L6)," ","")),4,1)))&lt;=90)))))),"","Postcode '"&amp;$L6&amp;"' doesn't look like a valid "&amp;$N6&amp;" postcode - please check it. "),""))))))</f>
        <v/>
      </c>
    </row>
    <row r="7" spans="1:31" ht="15" customHeight="1" x14ac:dyDescent="0.25">
      <c r="A7" s="46"/>
      <c r="B7" s="43" t="str">
        <f>IF($A7="","",IFERROR(VLOOKUP($AC7,'PRODUCT DATA'!$NR$2:$NS$374,2,FALSE()),"UNKNOWN ITEM CODE - please check"))</f>
        <v/>
      </c>
      <c r="C7" s="39">
        <v>1</v>
      </c>
      <c r="D7" s="39"/>
      <c r="E7" s="40"/>
      <c r="F7" s="41"/>
      <c r="G7" s="39"/>
      <c r="H7" s="41"/>
      <c r="I7" s="41"/>
      <c r="J7" s="39"/>
      <c r="K7" s="41"/>
      <c r="L7" s="40"/>
      <c r="M7" s="40"/>
      <c r="N7" s="42" t="str">
        <f>IF($M7="","",IFERROR(INDEX('PRODUCT DATA'!$B$2:$B$58,MATCH(IF(UPPER($M7)="UK","GB",$M7),'PRODUCT DATA'!$B$2:$B$58,0)),IFERROR(INDEX('PRODUCT DATA'!$B$2:$B$58,MATCH(IF(UPPER($M7)="UK","GB",$M7),'PRODUCT DATA'!$A$2:$A$58,0)),"UNKNOWN COUNTRY - please check")))</f>
        <v/>
      </c>
      <c r="O7" s="41"/>
      <c r="P7" s="41"/>
      <c r="Q7" s="41"/>
      <c r="R7" s="41"/>
      <c r="S7" s="41"/>
      <c r="T7" s="41"/>
      <c r="U7" s="41"/>
      <c r="V7" s="43" t="str">
        <f t="shared" si="0"/>
        <v/>
      </c>
      <c r="W7" s="44" t="str">
        <f ca="1">IF(COUNTA($A7,$D7:$M7,$O7:$U7)=0,"",IF($A7="","Item Code; ","")&amp;IF(AND($A7&lt;&gt;"",ISNA(MATCH($AC7,'PRODUCT DATA'!$D$2:$D$394,0))),"Item Code; ","")&amp;IF($M7="","Country; ","")&amp;IF(AND($M7&lt;&gt;"",NOT(OR(NOT(ISNA(MATCH(IF(UPPER($M7)="UK","GB",$M7),'PRODUCT DATA'!$A$2:$A$58,0))),NOT(ISNA(MATCH(IF(UPPER($M7)="UK","GB",$M7),'PRODUCT DATA'!$B$2:$B$58,0)))))),"Country; ","")&amp;IF(AND($A7&lt;&gt;"",$M7&lt;&gt;"",NOT(ISNA(MATCH($AC7,'PRODUCT DATA'!$D$2:$D$394,0))),OR(NOT(ISNA(MATCH(IF(UPPER($M7)="UK","GB",$M7),'PRODUCT DATA'!$A$2:$A$58,0))),NOT(ISNA(MATCH(IF(UPPER($M7)="UK","GB",$M7),'PRODUCT DATA'!$B$2:$B$58,0)))),NOT(IFERROR(COUNTIF(OFFSET('PRODUCT DATA'!$F$2,0,MATCH($AC7,'PRODUCT DATA'!$F$1:$NN$1,0)-1,114,1),$N7)&gt;0,FALSE()))),IF(UPPER(IFERROR(OFFSET('PRODUCT DATA'!$C$2,MATCH($N7,'PRODUCT DATA'!$B$2:$B$58,0)-1,0),""))="NO","Alcohol Restriction; ","Item Code / Country combination; "),"")&amp;IF($C7="","Quantity; ","")&amp;IF(AND($C7&lt;&gt;"",OR(NOT(ISNUMBER($C7)),$C7&lt;1,$C7&gt;999,MOD($C7,1)&lt;&gt;0)),"Quantity; ","")&amp;IF($D7="","Recipient Name; ","")&amp;IF(LEN($D7)&gt;35,"Recipient Name; ","")&amp;IF($E7="","Recipient Phone; ","")&amp;IF(AND($E7&lt;&gt;"",OR(LEN($E7)&lt;6,LEN($E7)&gt;20,NOT(IFERROR(ISNUMBER(1*$E7),FALSE())))),"Recipient Phone; ","")&amp;IF(LEN($F7)&gt;35,"Recipient Company Name; ","")&amp;IF($G7="","Address Line 1; ","")&amp;IF(LEN($G7)&gt;35,"Address Line 1; ","")&amp;IF(LEN($H7)&gt;35,"Address Line 2; ","")&amp;IF(LEN($I7)&gt;35,"Address Line 3; ","")&amp;IF($J7="","Town; ","")&amp;IF(LEN($J7)&gt;35,"Town; ","")&amp;IF(AND($N7="IE",$K7=""),"County; ","")&amp;IF(LEN($AB7)&gt;35,"County; ","")&amp;IF(AND($L7="",AND($N7&lt;&gt;"AE",$N7&lt;&gt;"QA")),"Postcode; ","")&amp;IF(LEN($L7)&gt;35,"Postcode; ","")&amp;IF($AE7&lt;&gt;"","Postcode; ","")&amp;IF(LEN($O7)&gt;40,"Gift Message 1; ","")&amp;IF(LEN($P7)&gt;40,"Gift Message 2; ","")&amp;IF(LEN($Q7)&gt;40,"Gift Message 3; ","")&amp;IF(LEN($R7)&gt;40,"Gift Message 4; ","")&amp;IF(LEN($S7)&gt;40,"Gift Message 5; ","")&amp;IF(LEN($T7)&gt;40,"Gift Message 6; ","")&amp;IF(LEN($U7)&gt;40,"Gift Message 7; ",""))</f>
        <v/>
      </c>
      <c r="X7" s="44" t="str">
        <f ca="1">IF(COUNTA($A7,$D7:$M7,$O7:$U7)=0,"",IF($A7="","Enter the Item Code (hamper) - type it, paste it, or choose it from the dropdown. ","")&amp;IF(AND($A7&lt;&gt;"",ISNA(MATCH($AC7,'PRODUCT DATA'!$D$2:$D$394,0))),"This Item Code is not recognised. Check the code (case does not matter, but spelling and digits must match exactly) or choose it from the dropdown. ","")&amp;IF($M7="","Enter the Country after the Item Code - type or paste the name or the 2-letter code, or choose it from the dropdown. ","")&amp;IF(AND($M7&lt;&gt;"",NOT(OR(NOT(ISNA(MATCH(IF(UPPER($M7)="UK","GB",$M7),'PRODUCT DATA'!$A$2:$A$58,0))),NOT(ISNA(MATCH(IF(UPPER($M7)="UK","GB",$M7),'PRODUCT DATA'!$B$2:$B$58,0)))))),"This Country is not recognised as either a full name or a 2-letter code. Check the spelling (case does not matter) or choose it from the dropdown. ","")&amp;IF(AND($A7&lt;&gt;"",$M7&lt;&gt;"",NOT(ISNA(MATCH($AC7,'PRODUCT DATA'!$D$2:$D$394,0))),OR(NOT(ISNA(MATCH(IF(UPPER($M7)="UK","GB",$M7),'PRODUCT DATA'!$A$2:$A$58,0))),NOT(ISNA(MATCH(IF(UPPER($M7)="UK","GB",$M7),'PRODUCT DATA'!$B$2:$B$58,0)))),NOT(IFERROR(COUNTIF(OFFSET('PRODUCT DATA'!$F$2,0,MATCH($AC7,'PRODUCT DATA'!$F$1:$NN$1,0)-1,114,1),$N7)&gt;0,FALSE()))),IF(UPPER(IFERROR(OFFSET('PRODUCT DATA'!$C$2,MATCH($N7,'PRODUCT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"),"")&amp;IF($C7="","Enter Quantity. ","")&amp;IF(AND($C7&lt;&gt;"",OR(NOT(ISNUMBER($C7)),$C7&lt;1,$C7&gt;999,MOD($C7,1)&lt;&gt;0)),"Quantity must be a whole number from 1 to 999 (use a quantity above 1 only for a genuine bulk order of identical items to ONE address — otherwise use a separate row per recipient). ","")&amp;IF($D7="","Enter Recipient Name. ","")&amp;IF(LEN($D7)&gt;35,"Recipient Name exceeds 35 characters. ","")&amp;IF($E7="","Enter Recipient Phone. ","")&amp;IF(AND($E7&lt;&gt;"",OR(LEN($E7)&lt;6,LEN($E7)&gt;20,NOT(IFERROR(ISNUMBER(1*$E7),FALSE())))),"Phone must be the LOCAL number for the destination country: digits only, no +, spaces, or country code, 6 to 20 digits. ","")&amp;IF(LEN($F7)&gt;35,"Recipient Company Name exceeds 35 characters. ","")&amp;IF($G7="","Enter Address Line 1. ","")&amp;IF(LEN($G7)&gt;35,"Address Line 1 exceeds the 35-character SAP limit. ","")&amp;IF(LEN($H7)&gt;35,"Address Line 2 exceeds the 35-character SAP limit. ","")&amp;IF(LEN($I7)&gt;35,"Address Line 3 exceeds the 35-character SAP limit. ","")&amp;IF($J7="","Enter Town. This must never be left blank, even if there is no conventional town name. ","")&amp;IF(LEN($J7)&gt;35,"Town exceeds 35 characters. ","")&amp;IF(AND($N7="IE",$K7=""),"County is required for deliveries within the Republic of Ireland. ","")&amp;IF(LEN($AB7)&gt;35,"County exceeds 35 characters. ","")&amp;IF(AND($L7="",AND($N7&lt;&gt;"AE",$N7&lt;&gt;"QA")),"Postcode is required for the selected country. If there is genuinely no postcode, enter the first 3 characters of the area (e.g. D15). ","")&amp;IF(LEN($L7)&gt;35,"Postcode exceeds 35 characters. ","")&amp;IF($AE7&lt;&gt;"",$AE7,"")&amp;IF(LEN($O7)&gt;40,"Gift Message Line 1 exceeds 40 characters. ","")&amp;IF(LEN($P7)&gt;40,"Gift Message Line 2 exceeds 40 characters. ","")&amp;IF(LEN($Q7)&gt;40,"Gift Message Line 3 exceeds 40 characters. ","")&amp;IF(LEN($R7)&gt;40,"Gift Message Line 4 exceeds 40 characters. ","")&amp;IF(LEN($S7)&gt;40,"Gift Message Line 5 exceeds 40 characters. ","")&amp;IF(LEN($T7)&gt;40,"Gift Message Line 6 exceeds 40 characters. ","")&amp;IF(LEN($U7)&gt;40,"Gift Message Line 7 exceeds 40 characters. ",""))</f>
        <v/>
      </c>
      <c r="Y7" s="44" t="str">
        <f t="shared" si="1"/>
        <v/>
      </c>
      <c r="Z7" s="44"/>
      <c r="AA7" s="44"/>
      <c r="AB7" s="32" t="str">
        <f t="shared" si="2"/>
        <v/>
      </c>
      <c r="AC7" s="32" t="str">
        <f>IF($A7="","",IFERROR(LEFT(INDEX('PRODUCT DATA'!$NO$2:$NO$25,MATCH($A7,'PRODUCT DATA'!$NP$2:$NP$25,0)),FIND("|",INDEX('PRODUCT DATA'!$NO$2:$NO$25,MATCH($A7,'PRODUCT DATA'!$NP$2:$NP$25,0)))-1),$A7))</f>
        <v/>
      </c>
      <c r="AD7" s="45"/>
      <c r="AE7" s="45" t="str">
        <f t="shared" si="3"/>
        <v/>
      </c>
    </row>
    <row r="8" spans="1:31" ht="15" customHeight="1" x14ac:dyDescent="0.25">
      <c r="A8" s="40"/>
      <c r="B8" s="43" t="str">
        <f>IF($A8="","",IFERROR(VLOOKUP($AC8,'PRODUCT DATA'!$NR$2:$NS$374,2,FALSE()),"UNKNOWN ITEM CODE - please check"))</f>
        <v/>
      </c>
      <c r="C8" s="39">
        <v>1</v>
      </c>
      <c r="D8" s="39"/>
      <c r="E8" s="40"/>
      <c r="F8" s="41"/>
      <c r="G8" s="39"/>
      <c r="H8" s="41"/>
      <c r="I8" s="41"/>
      <c r="J8" s="39"/>
      <c r="K8" s="41"/>
      <c r="L8" s="40"/>
      <c r="M8" s="40"/>
      <c r="N8" s="42" t="str">
        <f>IF($M8="","",IFERROR(INDEX('PRODUCT DATA'!$B$2:$B$58,MATCH(IF(UPPER($M8)="UK","GB",$M8),'PRODUCT DATA'!$B$2:$B$58,0)),IFERROR(INDEX('PRODUCT DATA'!$B$2:$B$58,MATCH(IF(UPPER($M8)="UK","GB",$M8),'PRODUCT DATA'!$A$2:$A$58,0)),"UNKNOWN COUNTRY - please check")))</f>
        <v/>
      </c>
      <c r="O8" s="41"/>
      <c r="P8" s="41"/>
      <c r="Q8" s="41"/>
      <c r="R8" s="41"/>
      <c r="S8" s="41"/>
      <c r="T8" s="41"/>
      <c r="U8" s="41"/>
      <c r="V8" s="43" t="str">
        <f t="shared" si="0"/>
        <v/>
      </c>
      <c r="W8" s="44" t="str">
        <f ca="1">IF(COUNTA($A8,$D8:$M8,$O8:$U8)=0,"",IF($A8="","Item Code; ","")&amp;IF(AND($A8&lt;&gt;"",ISNA(MATCH($AC8,'PRODUCT DATA'!$D$2:$D$394,0))),"Item Code; ","")&amp;IF($M8="","Country; ","")&amp;IF(AND($M8&lt;&gt;"",NOT(OR(NOT(ISNA(MATCH(IF(UPPER($M8)="UK","GB",$M8),'PRODUCT DATA'!$A$2:$A$58,0))),NOT(ISNA(MATCH(IF(UPPER($M8)="UK","GB",$M8),'PRODUCT DATA'!$B$2:$B$58,0)))))),"Country; ","")&amp;IF(AND($A8&lt;&gt;"",$M8&lt;&gt;"",NOT(ISNA(MATCH($AC8,'PRODUCT DATA'!$D$2:$D$394,0))),OR(NOT(ISNA(MATCH(IF(UPPER($M8)="UK","GB",$M8),'PRODUCT DATA'!$A$2:$A$58,0))),NOT(ISNA(MATCH(IF(UPPER($M8)="UK","GB",$M8),'PRODUCT DATA'!$B$2:$B$58,0)))),NOT(IFERROR(COUNTIF(OFFSET('PRODUCT DATA'!$F$2,0,MATCH($AC8,'PRODUCT DATA'!$F$1:$NN$1,0)-1,114,1),$N8)&gt;0,FALSE()))),IF(UPPER(IFERROR(OFFSET('PRODUCT DATA'!$C$2,MATCH($N8,'PRODUCT DATA'!$B$2:$B$58,0)-1,0),""))="NO","Alcohol Restriction; ","Item Code / Country combination; "),"")&amp;IF($C8="","Quantity; ","")&amp;IF(AND($C8&lt;&gt;"",OR(NOT(ISNUMBER($C8)),$C8&lt;1,$C8&gt;999,MOD($C8,1)&lt;&gt;0)),"Quantity; ","")&amp;IF($D8="","Recipient Name; ","")&amp;IF(LEN($D8)&gt;35,"Recipient Name; ","")&amp;IF($E8="","Recipient Phone; ","")&amp;IF(AND($E8&lt;&gt;"",OR(LEN($E8)&lt;6,LEN($E8)&gt;20,NOT(IFERROR(ISNUMBER(1*$E8),FALSE())))),"Recipient Phone; ","")&amp;IF(LEN($F8)&gt;35,"Recipient Company Name; ","")&amp;IF($G8="","Address Line 1; ","")&amp;IF(LEN($G8)&gt;35,"Address Line 1; ","")&amp;IF(LEN($H8)&gt;35,"Address Line 2; ","")&amp;IF(LEN($I8)&gt;35,"Address Line 3; ","")&amp;IF($J8="","Town; ","")&amp;IF(LEN($J8)&gt;35,"Town; ","")&amp;IF(AND($N8="IE",$K8=""),"County; ","")&amp;IF(LEN($AB8)&gt;35,"County; ","")&amp;IF(AND($L8="",AND($N8&lt;&gt;"AE",$N8&lt;&gt;"QA")),"Postcode; ","")&amp;IF(LEN($L8)&gt;35,"Postcode; ","")&amp;IF($AE8&lt;&gt;"","Postcode; ","")&amp;IF(LEN($O8)&gt;40,"Gift Message 1; ","")&amp;IF(LEN($P8)&gt;40,"Gift Message 2; ","")&amp;IF(LEN($Q8)&gt;40,"Gift Message 3; ","")&amp;IF(LEN($R8)&gt;40,"Gift Message 4; ","")&amp;IF(LEN($S8)&gt;40,"Gift Message 5; ","")&amp;IF(LEN($T8)&gt;40,"Gift Message 6; ","")&amp;IF(LEN($U8)&gt;40,"Gift Message 7; ",""))</f>
        <v/>
      </c>
      <c r="X8" s="44" t="str">
        <f ca="1">IF(COUNTA($A8,$D8:$M8,$O8:$U8)=0,"",IF($A8="","Enter the Item Code (hamper) - type it, paste it, or choose it from the dropdown. ","")&amp;IF(AND($A8&lt;&gt;"",ISNA(MATCH($AC8,'PRODUCT DATA'!$D$2:$D$394,0))),"This Item Code is not recognised. Check the code (case does not matter, but spelling and digits must match exactly) or choose it from the dropdown. ","")&amp;IF($M8="","Enter the Country after the Item Code - type or paste the name or the 2-letter code, or choose it from the dropdown. ","")&amp;IF(AND($M8&lt;&gt;"",NOT(OR(NOT(ISNA(MATCH(IF(UPPER($M8)="UK","GB",$M8),'PRODUCT DATA'!$A$2:$A$58,0))),NOT(ISNA(MATCH(IF(UPPER($M8)="UK","GB",$M8),'PRODUCT DATA'!$B$2:$B$58,0)))))),"This Country is not recognised as either a full name or a 2-letter code. Check the spelling (case does not matter) or choose it from the dropdown. ","")&amp;IF(AND($A8&lt;&gt;"",$M8&lt;&gt;"",NOT(ISNA(MATCH($AC8,'PRODUCT DATA'!$D$2:$D$394,0))),OR(NOT(ISNA(MATCH(IF(UPPER($M8)="UK","GB",$M8),'PRODUCT DATA'!$A$2:$A$58,0))),NOT(ISNA(MATCH(IF(UPPER($M8)="UK","GB",$M8),'PRODUCT DATA'!$B$2:$B$58,0)))),NOT(IFERROR(COUNTIF(OFFSET('PRODUCT DATA'!$F$2,0,MATCH($AC8,'PRODUCT DATA'!$F$1:$NN$1,0)-1,114,1),$N8)&gt;0,FALSE()))),IF(UPPER(IFERROR(OFFSET('PRODUCT DATA'!$C$2,MATCH($N8,'PRODUCT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"),"")&amp;IF($C8="","Enter Quantity. ","")&amp;IF(AND($C8&lt;&gt;"",OR(NOT(ISNUMBER($C8)),$C8&lt;1,$C8&gt;999,MOD($C8,1)&lt;&gt;0)),"Quantity must be a whole number from 1 to 999 (use a quantity above 1 only for a genuine bulk order of identical items to ONE address — otherwise use a separate row per recipient). ","")&amp;IF($D8="","Enter Recipient Name. ","")&amp;IF(LEN($D8)&gt;35,"Recipient Name exceeds 35 characters. ","")&amp;IF($E8="","Enter Recipient Phone. ","")&amp;IF(AND($E8&lt;&gt;"",OR(LEN($E8)&lt;6,LEN($E8)&gt;20,NOT(IFERROR(ISNUMBER(1*$E8),FALSE())))),"Phone must be the LOCAL number for the destination country: digits only, no +, spaces, or country code, 6 to 20 digits. ","")&amp;IF(LEN($F8)&gt;35,"Recipient Company Name exceeds 35 characters. ","")&amp;IF($G8="","Enter Address Line 1. ","")&amp;IF(LEN($G8)&gt;35,"Address Line 1 exceeds the 35-character SAP limit. ","")&amp;IF(LEN($H8)&gt;35,"Address Line 2 exceeds the 35-character SAP limit. ","")&amp;IF(LEN($I8)&gt;35,"Address Line 3 exceeds the 35-character SAP limit. ","")&amp;IF($J8="","Enter Town. This must never be left blank, even if there is no conventional town name. ","")&amp;IF(LEN($J8)&gt;35,"Town exceeds 35 characters. ","")&amp;IF(AND($N8="IE",$K8=""),"County is required for deliveries within the Republic of Ireland. ","")&amp;IF(LEN($AB8)&gt;35,"County exceeds 35 characters. ","")&amp;IF(AND($L8="",AND($N8&lt;&gt;"AE",$N8&lt;&gt;"QA")),"Postcode is required for the selected country. If there is genuinely no postcode, enter the first 3 characters of the area (e.g. D15). ","")&amp;IF(LEN($L8)&gt;35,"Postcode exceeds 35 characters. ","")&amp;IF($AE8&lt;&gt;"",$AE8,"")&amp;IF(LEN($O8)&gt;40,"Gift Message Line 1 exceeds 40 characters. ","")&amp;IF(LEN($P8)&gt;40,"Gift Message Line 2 exceeds 40 characters. ","")&amp;IF(LEN($Q8)&gt;40,"Gift Message Line 3 exceeds 40 characters. ","")&amp;IF(LEN($R8)&gt;40,"Gift Message Line 4 exceeds 40 characters. ","")&amp;IF(LEN($S8)&gt;40,"Gift Message Line 5 exceeds 40 characters. ","")&amp;IF(LEN($T8)&gt;40,"Gift Message Line 6 exceeds 40 characters. ","")&amp;IF(LEN($U8)&gt;40,"Gift Message Line 7 exceeds 40 characters. ",""))</f>
        <v/>
      </c>
      <c r="Y8" s="44" t="str">
        <f t="shared" si="1"/>
        <v/>
      </c>
      <c r="Z8" s="44"/>
      <c r="AA8" s="44"/>
      <c r="AB8" s="32" t="str">
        <f t="shared" si="2"/>
        <v/>
      </c>
      <c r="AC8" s="32" t="str">
        <f>IF($A8="","",IFERROR(LEFT(INDEX('PRODUCT DATA'!$NO$2:$NO$25,MATCH($A8,'PRODUCT DATA'!$NP$2:$NP$25,0)),FIND("|",INDEX('PRODUCT DATA'!$NO$2:$NO$25,MATCH($A8,'PRODUCT DATA'!$NP$2:$NP$25,0)))-1),$A8))</f>
        <v/>
      </c>
      <c r="AD8" s="45"/>
      <c r="AE8" s="45" t="str">
        <f t="shared" si="3"/>
        <v/>
      </c>
    </row>
    <row r="9" spans="1:31" ht="15" customHeight="1" x14ac:dyDescent="0.25">
      <c r="A9" s="40"/>
      <c r="B9" s="43" t="str">
        <f>IF($A9="","",IFERROR(VLOOKUP($AC9,'PRODUCT DATA'!$NR$2:$NS$374,2,FALSE()),"UNKNOWN ITEM CODE - please check"))</f>
        <v/>
      </c>
      <c r="C9" s="39">
        <v>1</v>
      </c>
      <c r="D9" s="39"/>
      <c r="E9" s="40"/>
      <c r="F9" s="41"/>
      <c r="G9" s="39"/>
      <c r="H9" s="41"/>
      <c r="I9" s="41"/>
      <c r="J9" s="39"/>
      <c r="K9" s="41"/>
      <c r="L9" s="40"/>
      <c r="M9" s="40"/>
      <c r="N9" s="42" t="str">
        <f>IF($M9="","",IFERROR(INDEX('PRODUCT DATA'!$B$2:$B$58,MATCH(IF(UPPER($M9)="UK","GB",$M9),'PRODUCT DATA'!$B$2:$B$58,0)),IFERROR(INDEX('PRODUCT DATA'!$B$2:$B$58,MATCH(IF(UPPER($M9)="UK","GB",$M9),'PRODUCT DATA'!$A$2:$A$58,0)),"UNKNOWN COUNTRY - please check")))</f>
        <v/>
      </c>
      <c r="O9" s="41"/>
      <c r="P9" s="41"/>
      <c r="Q9" s="41"/>
      <c r="R9" s="41"/>
      <c r="S9" s="41"/>
      <c r="T9" s="41"/>
      <c r="U9" s="41"/>
      <c r="V9" s="43" t="str">
        <f t="shared" si="0"/>
        <v/>
      </c>
      <c r="W9" s="44" t="str">
        <f ca="1">IF(COUNTA($A9,$D9:$M9,$O9:$U9)=0,"",IF($A9="","Item Code; ","")&amp;IF(AND($A9&lt;&gt;"",ISNA(MATCH($AC9,'PRODUCT DATA'!$D$2:$D$394,0))),"Item Code; ","")&amp;IF($M9="","Country; ","")&amp;IF(AND($M9&lt;&gt;"",NOT(OR(NOT(ISNA(MATCH(IF(UPPER($M9)="UK","GB",$M9),'PRODUCT DATA'!$A$2:$A$58,0))),NOT(ISNA(MATCH(IF(UPPER($M9)="UK","GB",$M9),'PRODUCT DATA'!$B$2:$B$58,0)))))),"Country; ","")&amp;IF(AND($A9&lt;&gt;"",$M9&lt;&gt;"",NOT(ISNA(MATCH($AC9,'PRODUCT DATA'!$D$2:$D$394,0))),OR(NOT(ISNA(MATCH(IF(UPPER($M9)="UK","GB",$M9),'PRODUCT DATA'!$A$2:$A$58,0))),NOT(ISNA(MATCH(IF(UPPER($M9)="UK","GB",$M9),'PRODUCT DATA'!$B$2:$B$58,0)))),NOT(IFERROR(COUNTIF(OFFSET('PRODUCT DATA'!$F$2,0,MATCH($AC9,'PRODUCT DATA'!$F$1:$NN$1,0)-1,114,1),$N9)&gt;0,FALSE()))),IF(UPPER(IFERROR(OFFSET('PRODUCT DATA'!$C$2,MATCH($N9,'PRODUCT DATA'!$B$2:$B$58,0)-1,0),""))="NO","Alcohol Restriction; ","Item Code / Country combination; "),"")&amp;IF($C9="","Quantity; ","")&amp;IF(AND($C9&lt;&gt;"",OR(NOT(ISNUMBER($C9)),$C9&lt;1,$C9&gt;999,MOD($C9,1)&lt;&gt;0)),"Quantity; ","")&amp;IF($D9="","Recipient Name; ","")&amp;IF(LEN($D9)&gt;35,"Recipient Name; ","")&amp;IF($E9="","Recipient Phone; ","")&amp;IF(AND($E9&lt;&gt;"",OR(LEN($E9)&lt;6,LEN($E9)&gt;20,NOT(IFERROR(ISNUMBER(1*$E9),FALSE())))),"Recipient Phone; ","")&amp;IF(LEN($F9)&gt;35,"Recipient Company Name; ","")&amp;IF($G9="","Address Line 1; ","")&amp;IF(LEN($G9)&gt;35,"Address Line 1; ","")&amp;IF(LEN($H9)&gt;35,"Address Line 2; ","")&amp;IF(LEN($I9)&gt;35,"Address Line 3; ","")&amp;IF($J9="","Town; ","")&amp;IF(LEN($J9)&gt;35,"Town; ","")&amp;IF(AND($N9="IE",$K9=""),"County; ","")&amp;IF(LEN($AB9)&gt;35,"County; ","")&amp;IF(AND($L9="",AND($N9&lt;&gt;"AE",$N9&lt;&gt;"QA")),"Postcode; ","")&amp;IF(LEN($L9)&gt;35,"Postcode; ","")&amp;IF($AE9&lt;&gt;"","Postcode; ","")&amp;IF(LEN($O9)&gt;40,"Gift Message 1; ","")&amp;IF(LEN($P9)&gt;40,"Gift Message 2; ","")&amp;IF(LEN($Q9)&gt;40,"Gift Message 3; ","")&amp;IF(LEN($R9)&gt;40,"Gift Message 4; ","")&amp;IF(LEN($S9)&gt;40,"Gift Message 5; ","")&amp;IF(LEN($T9)&gt;40,"Gift Message 6; ","")&amp;IF(LEN($U9)&gt;40,"Gift Message 7; ",""))</f>
        <v/>
      </c>
      <c r="X9" s="44" t="str">
        <f ca="1">IF(COUNTA($A9,$D9:$M9,$O9:$U9)=0,"",IF($A9="","Enter the Item Code (hamper) - type it, paste it, or choose it from the dropdown. ","")&amp;IF(AND($A9&lt;&gt;"",ISNA(MATCH($AC9,'PRODUCT DATA'!$D$2:$D$394,0))),"This Item Code is not recognised. Check the code (case does not matter, but spelling and digits must match exactly) or choose it from the dropdown. ","")&amp;IF($M9="","Enter the Country after the Item Code - type or paste the name or the 2-letter code, or choose it from the dropdown. ","")&amp;IF(AND($M9&lt;&gt;"",NOT(OR(NOT(ISNA(MATCH(IF(UPPER($M9)="UK","GB",$M9),'PRODUCT DATA'!$A$2:$A$58,0))),NOT(ISNA(MATCH(IF(UPPER($M9)="UK","GB",$M9),'PRODUCT DATA'!$B$2:$B$58,0)))))),"This Country is not recognised as either a full name or a 2-letter code. Check the spelling (case does not matter) or choose it from the dropdown. ","")&amp;IF(AND($A9&lt;&gt;"",$M9&lt;&gt;"",NOT(ISNA(MATCH($AC9,'PRODUCT DATA'!$D$2:$D$394,0))),OR(NOT(ISNA(MATCH(IF(UPPER($M9)="UK","GB",$M9),'PRODUCT DATA'!$A$2:$A$58,0))),NOT(ISNA(MATCH(IF(UPPER($M9)="UK","GB",$M9),'PRODUCT DATA'!$B$2:$B$58,0)))),NOT(IFERROR(COUNTIF(OFFSET('PRODUCT DATA'!$F$2,0,MATCH($AC9,'PRODUCT DATA'!$F$1:$NN$1,0)-1,114,1),$N9)&gt;0,FALSE()))),IF(UPPER(IFERROR(OFFSET('PRODUCT DATA'!$C$2,MATCH($N9,'PRODUCT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"),"")&amp;IF($C9="","Enter Quantity. ","")&amp;IF(AND($C9&lt;&gt;"",OR(NOT(ISNUMBER($C9)),$C9&lt;1,$C9&gt;999,MOD($C9,1)&lt;&gt;0)),"Quantity must be a whole number from 1 to 999 (use a quantity above 1 only for a genuine bulk order of identical items to ONE address — otherwise use a separate row per recipient). ","")&amp;IF($D9="","Enter Recipient Name. ","")&amp;IF(LEN($D9)&gt;35,"Recipient Name exceeds 35 characters. ","")&amp;IF($E9="","Enter Recipient Phone. ","")&amp;IF(AND($E9&lt;&gt;"",OR(LEN($E9)&lt;6,LEN($E9)&gt;20,NOT(IFERROR(ISNUMBER(1*$E9),FALSE())))),"Phone must be the LOCAL number for the destination country: digits only, no +, spaces, or country code, 6 to 20 digits. ","")&amp;IF(LEN($F9)&gt;35,"Recipient Company Name exceeds 35 characters. ","")&amp;IF($G9="","Enter Address Line 1. ","")&amp;IF(LEN($G9)&gt;35,"Address Line 1 exceeds the 35-character SAP limit. ","")&amp;IF(LEN($H9)&gt;35,"Address Line 2 exceeds the 35-character SAP limit. ","")&amp;IF(LEN($I9)&gt;35,"Address Line 3 exceeds the 35-character SAP limit. ","")&amp;IF($J9="","Enter Town. This must never be left blank, even if there is no conventional town name. ","")&amp;IF(LEN($J9)&gt;35,"Town exceeds 35 characters. ","")&amp;IF(AND($N9="IE",$K9=""),"County is required for deliveries within the Republic of Ireland. ","")&amp;IF(LEN($AB9)&gt;35,"County exceeds 35 characters. ","")&amp;IF(AND($L9="",AND($N9&lt;&gt;"AE",$N9&lt;&gt;"QA")),"Postcode is required for the selected country. If there is genuinely no postcode, enter the first 3 characters of the area (e.g. D15). ","")&amp;IF(LEN($L9)&gt;35,"Postcode exceeds 35 characters. ","")&amp;IF($AE9&lt;&gt;"",$AE9,"")&amp;IF(LEN($O9)&gt;40,"Gift Message Line 1 exceeds 40 characters. ","")&amp;IF(LEN($P9)&gt;40,"Gift Message Line 2 exceeds 40 characters. ","")&amp;IF(LEN($Q9)&gt;40,"Gift Message Line 3 exceeds 40 characters. ","")&amp;IF(LEN($R9)&gt;40,"Gift Message Line 4 exceeds 40 characters. ","")&amp;IF(LEN($S9)&gt;40,"Gift Message Line 5 exceeds 40 characters. ","")&amp;IF(LEN($T9)&gt;40,"Gift Message Line 6 exceeds 40 characters. ","")&amp;IF(LEN($U9)&gt;40,"Gift Message Line 7 exceeds 40 characters. ",""))</f>
        <v/>
      </c>
      <c r="Y9" s="44" t="str">
        <f t="shared" si="1"/>
        <v/>
      </c>
      <c r="Z9" s="44"/>
      <c r="AA9" s="44"/>
      <c r="AB9" s="32" t="str">
        <f t="shared" si="2"/>
        <v/>
      </c>
      <c r="AC9" s="32" t="str">
        <f>IF($A9="","",IFERROR(LEFT(INDEX('PRODUCT DATA'!$NO$2:$NO$25,MATCH($A9,'PRODUCT DATA'!$NP$2:$NP$25,0)),FIND("|",INDEX('PRODUCT DATA'!$NO$2:$NO$25,MATCH($A9,'PRODUCT DATA'!$NP$2:$NP$25,0)))-1),$A9))</f>
        <v/>
      </c>
      <c r="AD9" s="45"/>
      <c r="AE9" s="45" t="str">
        <f t="shared" si="3"/>
        <v/>
      </c>
    </row>
    <row r="10" spans="1:31" ht="15" customHeight="1" x14ac:dyDescent="0.25">
      <c r="A10" s="40"/>
      <c r="B10" s="43" t="str">
        <f>IF($A10="","",IFERROR(VLOOKUP($AC10,'PRODUCT DATA'!$NR$2:$NS$374,2,FALSE()),"UNKNOWN ITEM CODE - please check"))</f>
        <v/>
      </c>
      <c r="C10" s="39">
        <v>1</v>
      </c>
      <c r="D10" s="39"/>
      <c r="E10" s="40"/>
      <c r="F10" s="41"/>
      <c r="G10" s="39"/>
      <c r="H10" s="41"/>
      <c r="I10" s="41"/>
      <c r="J10" s="39"/>
      <c r="K10" s="41"/>
      <c r="L10" s="40"/>
      <c r="M10" s="40"/>
      <c r="N10" s="42" t="str">
        <f>IF($M10="","",IFERROR(INDEX('PRODUCT DATA'!$B$2:$B$58,MATCH(IF(UPPER($M10)="UK","GB",$M10),'PRODUCT DATA'!$B$2:$B$58,0)),IFERROR(INDEX('PRODUCT DATA'!$B$2:$B$58,MATCH(IF(UPPER($M10)="UK","GB",$M10),'PRODUCT DATA'!$A$2:$A$58,0)),"UNKNOWN COUNTRY - please check")))</f>
        <v/>
      </c>
      <c r="O10" s="41"/>
      <c r="P10" s="41"/>
      <c r="Q10" s="41"/>
      <c r="R10" s="41"/>
      <c r="S10" s="41"/>
      <c r="T10" s="41"/>
      <c r="U10" s="41"/>
      <c r="V10" s="43" t="str">
        <f t="shared" si="0"/>
        <v/>
      </c>
      <c r="W10" s="44" t="str">
        <f ca="1">IF(COUNTA($A10,$D10:$M10,$O10:$U10)=0,"",IF($A10="","Item Code; ","")&amp;IF(AND($A10&lt;&gt;"",ISNA(MATCH($AC10,'PRODUCT DATA'!$D$2:$D$394,0))),"Item Code; ","")&amp;IF($M10="","Country; ","")&amp;IF(AND($M10&lt;&gt;"",NOT(OR(NOT(ISNA(MATCH(IF(UPPER($M10)="UK","GB",$M10),'PRODUCT DATA'!$A$2:$A$58,0))),NOT(ISNA(MATCH(IF(UPPER($M10)="UK","GB",$M10),'PRODUCT DATA'!$B$2:$B$58,0)))))),"Country; ","")&amp;IF(AND($A10&lt;&gt;"",$M10&lt;&gt;"",NOT(ISNA(MATCH($AC10,'PRODUCT DATA'!$D$2:$D$394,0))),OR(NOT(ISNA(MATCH(IF(UPPER($M10)="UK","GB",$M10),'PRODUCT DATA'!$A$2:$A$58,0))),NOT(ISNA(MATCH(IF(UPPER($M10)="UK","GB",$M10),'PRODUCT DATA'!$B$2:$B$58,0)))),NOT(IFERROR(COUNTIF(OFFSET('PRODUCT DATA'!$F$2,0,MATCH($AC10,'PRODUCT DATA'!$F$1:$NN$1,0)-1,114,1),$N10)&gt;0,FALSE()))),IF(UPPER(IFERROR(OFFSET('PRODUCT DATA'!$C$2,MATCH($N10,'PRODUCT DATA'!$B$2:$B$58,0)-1,0),""))="NO","Alcohol Restriction; ","Item Code / Country combination; "),"")&amp;IF($C10="","Quantity; ","")&amp;IF(AND($C10&lt;&gt;"",OR(NOT(ISNUMBER($C10)),$C10&lt;1,$C10&gt;999,MOD($C10,1)&lt;&gt;0)),"Quantity; ","")&amp;IF($D10="","Recipient Name; ","")&amp;IF(LEN($D10)&gt;35,"Recipient Name; ","")&amp;IF($E10="","Recipient Phone; ","")&amp;IF(AND($E10&lt;&gt;"",OR(LEN($E10)&lt;6,LEN($E10)&gt;20,NOT(IFERROR(ISNUMBER(1*$E10),FALSE())))),"Recipient Phone; ","")&amp;IF(LEN($F10)&gt;35,"Recipient Company Name; ","")&amp;IF($G10="","Address Line 1; ","")&amp;IF(LEN($G10)&gt;35,"Address Line 1; ","")&amp;IF(LEN($H10)&gt;35,"Address Line 2; ","")&amp;IF(LEN($I10)&gt;35,"Address Line 3; ","")&amp;IF($J10="","Town; ","")&amp;IF(LEN($J10)&gt;35,"Town; ","")&amp;IF(AND($N10="IE",$K10=""),"County; ","")&amp;IF(LEN($AB10)&gt;35,"County; ","")&amp;IF(AND($L10="",AND($N10&lt;&gt;"AE",$N10&lt;&gt;"QA")),"Postcode; ","")&amp;IF(LEN($L10)&gt;35,"Postcode; ","")&amp;IF($AE10&lt;&gt;"","Postcode; ","")&amp;IF(LEN($O10)&gt;40,"Gift Message 1; ","")&amp;IF(LEN($P10)&gt;40,"Gift Message 2; ","")&amp;IF(LEN($Q10)&gt;40,"Gift Message 3; ","")&amp;IF(LEN($R10)&gt;40,"Gift Message 4; ","")&amp;IF(LEN($S10)&gt;40,"Gift Message 5; ","")&amp;IF(LEN($T10)&gt;40,"Gift Message 6; ","")&amp;IF(LEN($U10)&gt;40,"Gift Message 7; ",""))</f>
        <v/>
      </c>
      <c r="X10" s="44" t="str">
        <f ca="1">IF(COUNTA($A10,$D10:$M10,$O10:$U10)=0,"",IF($A10="","Enter the Item Code (hamper) - type it, paste it, or choose it from the dropdown. ","")&amp;IF(AND($A10&lt;&gt;"",ISNA(MATCH($AC10,'PRODUCT DATA'!$D$2:$D$394,0))),"This Item Code is not recognised. Check the code (case does not matter, but spelling and digits must match exactly) or choose it from the dropdown. ","")&amp;IF($M10="","Enter the Country after the Item Code - type or paste the name or the 2-letter code, or choose it from the dropdown. ","")&amp;IF(AND($M10&lt;&gt;"",NOT(OR(NOT(ISNA(MATCH(IF(UPPER($M10)="UK","GB",$M10),'PRODUCT DATA'!$A$2:$A$58,0))),NOT(ISNA(MATCH(IF(UPPER($M10)="UK","GB",$M10),'PRODUCT DATA'!$B$2:$B$58,0)))))),"This Country is not recognised as either a full name or a 2-letter code. Check the spelling (case does not matter) or choose it from the dropdown. ","")&amp;IF(AND($A10&lt;&gt;"",$M10&lt;&gt;"",NOT(ISNA(MATCH($AC10,'PRODUCT DATA'!$D$2:$D$394,0))),OR(NOT(ISNA(MATCH(IF(UPPER($M10)="UK","GB",$M10),'PRODUCT DATA'!$A$2:$A$58,0))),NOT(ISNA(MATCH(IF(UPPER($M10)="UK","GB",$M10),'PRODUCT DATA'!$B$2:$B$58,0)))),NOT(IFERROR(COUNTIF(OFFSET('PRODUCT DATA'!$F$2,0,MATCH($AC10,'PRODUCT DATA'!$F$1:$NN$1,0)-1,114,1),$N10)&gt;0,FALSE()))),IF(UPPER(IFERROR(OFFSET('PRODUCT DATA'!$C$2,MATCH($N10,'PRODUCT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"),"")&amp;IF($C10="","Enter Quantity. ","")&amp;IF(AND($C10&lt;&gt;"",OR(NOT(ISNUMBER($C10)),$C10&lt;1,$C10&gt;999,MOD($C10,1)&lt;&gt;0)),"Quantity must be a whole number from 1 to 999 (use a quantity above 1 only for a genuine bulk order of identical items to ONE address — otherwise use a separate row per recipient). ","")&amp;IF($D10="","Enter Recipient Name. ","")&amp;IF(LEN($D10)&gt;35,"Recipient Name exceeds 35 characters. ","")&amp;IF($E10="","Enter Recipient Phone. ","")&amp;IF(AND($E10&lt;&gt;"",OR(LEN($E10)&lt;6,LEN($E10)&gt;20,NOT(IFERROR(ISNUMBER(1*$E10),FALSE())))),"Phone must be the LOCAL number for the destination country: digits only, no +, spaces, or country code, 6 to 20 digits. ","")&amp;IF(LEN($F10)&gt;35,"Recipient Company Name exceeds 35 characters. ","")&amp;IF($G10="","Enter Address Line 1. ","")&amp;IF(LEN($G10)&gt;35,"Address Line 1 exceeds the 35-character SAP limit. ","")&amp;IF(LEN($H10)&gt;35,"Address Line 2 exceeds the 35-character SAP limit. ","")&amp;IF(LEN($I10)&gt;35,"Address Line 3 exceeds the 35-character SAP limit. ","")&amp;IF($J10="","Enter Town. This must never be left blank, even if there is no conventional town name. ","")&amp;IF(LEN($J10)&gt;35,"Town exceeds 35 characters. ","")&amp;IF(AND($N10="IE",$K10=""),"County is required for deliveries within the Republic of Ireland. ","")&amp;IF(LEN($AB10)&gt;35,"County exceeds 35 characters. ","")&amp;IF(AND($L10="",AND($N10&lt;&gt;"AE",$N10&lt;&gt;"QA")),"Postcode is required for the selected country. If there is genuinely no postcode, enter the first 3 characters of the area (e.g. D15). ","")&amp;IF(LEN($L10)&gt;35,"Postcode exceeds 35 characters. ","")&amp;IF($AE10&lt;&gt;"",$AE10,"")&amp;IF(LEN($O10)&gt;40,"Gift Message Line 1 exceeds 40 characters. ","")&amp;IF(LEN($P10)&gt;40,"Gift Message Line 2 exceeds 40 characters. ","")&amp;IF(LEN($Q10)&gt;40,"Gift Message Line 3 exceeds 40 characters. ","")&amp;IF(LEN($R10)&gt;40,"Gift Message Line 4 exceeds 40 characters. ","")&amp;IF(LEN($S10)&gt;40,"Gift Message Line 5 exceeds 40 characters. ","")&amp;IF(LEN($T10)&gt;40,"Gift Message Line 6 exceeds 40 characters. ","")&amp;IF(LEN($U10)&gt;40,"Gift Message Line 7 exceeds 40 characters. ",""))</f>
        <v/>
      </c>
      <c r="Y10" s="44" t="str">
        <f t="shared" si="1"/>
        <v/>
      </c>
      <c r="Z10" s="44"/>
      <c r="AA10" s="44"/>
      <c r="AB10" s="32" t="str">
        <f t="shared" si="2"/>
        <v/>
      </c>
      <c r="AC10" s="32" t="str">
        <f>IF($A10="","",IFERROR(LEFT(INDEX('PRODUCT DATA'!$NO$2:$NO$25,MATCH($A10,'PRODUCT DATA'!$NP$2:$NP$25,0)),FIND("|",INDEX('PRODUCT DATA'!$NO$2:$NO$25,MATCH($A10,'PRODUCT DATA'!$NP$2:$NP$25,0)))-1),$A10))</f>
        <v/>
      </c>
      <c r="AD10" s="45"/>
      <c r="AE10" s="45" t="str">
        <f t="shared" si="3"/>
        <v/>
      </c>
    </row>
    <row r="11" spans="1:31" ht="15" customHeight="1" x14ac:dyDescent="0.25">
      <c r="A11" s="40"/>
      <c r="B11" s="43" t="str">
        <f>IF($A11="","",IFERROR(VLOOKUP($AC11,'PRODUCT DATA'!$NR$2:$NS$374,2,FALSE()),"UNKNOWN ITEM CODE - please check"))</f>
        <v/>
      </c>
      <c r="C11" s="39">
        <v>1</v>
      </c>
      <c r="D11" s="39"/>
      <c r="E11" s="40"/>
      <c r="F11" s="41"/>
      <c r="G11" s="39"/>
      <c r="H11" s="41"/>
      <c r="I11" s="41"/>
      <c r="J11" s="39"/>
      <c r="K11" s="41"/>
      <c r="L11" s="40"/>
      <c r="M11" s="40"/>
      <c r="N11" s="42" t="str">
        <f>IF($M11="","",IFERROR(INDEX('PRODUCT DATA'!$B$2:$B$58,MATCH(IF(UPPER($M11)="UK","GB",$M11),'PRODUCT DATA'!$B$2:$B$58,0)),IFERROR(INDEX('PRODUCT DATA'!$B$2:$B$58,MATCH(IF(UPPER($M11)="UK","GB",$M11),'PRODUCT DATA'!$A$2:$A$58,0)),"UNKNOWN COUNTRY - please check")))</f>
        <v/>
      </c>
      <c r="O11" s="41"/>
      <c r="P11" s="41"/>
      <c r="Q11" s="41"/>
      <c r="R11" s="41"/>
      <c r="S11" s="41"/>
      <c r="T11" s="41"/>
      <c r="U11" s="41"/>
      <c r="V11" s="43" t="str">
        <f t="shared" si="0"/>
        <v/>
      </c>
      <c r="W11" s="44" t="str">
        <f ca="1">IF(COUNTA($A11,$D11:$M11,$O11:$U11)=0,"",IF($A11="","Item Code; ","")&amp;IF(AND($A11&lt;&gt;"",ISNA(MATCH($AC11,'PRODUCT DATA'!$D$2:$D$394,0))),"Item Code; ","")&amp;IF($M11="","Country; ","")&amp;IF(AND($M11&lt;&gt;"",NOT(OR(NOT(ISNA(MATCH(IF(UPPER($M11)="UK","GB",$M11),'PRODUCT DATA'!$A$2:$A$58,0))),NOT(ISNA(MATCH(IF(UPPER($M11)="UK","GB",$M11),'PRODUCT DATA'!$B$2:$B$58,0)))))),"Country; ","")&amp;IF(AND($A11&lt;&gt;"",$M11&lt;&gt;"",NOT(ISNA(MATCH($AC11,'PRODUCT DATA'!$D$2:$D$394,0))),OR(NOT(ISNA(MATCH(IF(UPPER($M11)="UK","GB",$M11),'PRODUCT DATA'!$A$2:$A$58,0))),NOT(ISNA(MATCH(IF(UPPER($M11)="UK","GB",$M11),'PRODUCT DATA'!$B$2:$B$58,0)))),NOT(IFERROR(COUNTIF(OFFSET('PRODUCT DATA'!$F$2,0,MATCH($AC11,'PRODUCT DATA'!$F$1:$NN$1,0)-1,114,1),$N11)&gt;0,FALSE()))),IF(UPPER(IFERROR(OFFSET('PRODUCT DATA'!$C$2,MATCH($N11,'PRODUCT DATA'!$B$2:$B$58,0)-1,0),""))="NO","Alcohol Restriction; ","Item Code / Country combination; "),"")&amp;IF($C11="","Quantity; ","")&amp;IF(AND($C11&lt;&gt;"",OR(NOT(ISNUMBER($C11)),$C11&lt;1,$C11&gt;999,MOD($C11,1)&lt;&gt;0)),"Quantity; ","")&amp;IF($D11="","Recipient Name; ","")&amp;IF(LEN($D11)&gt;35,"Recipient Name; ","")&amp;IF($E11="","Recipient Phone; ","")&amp;IF(AND($E11&lt;&gt;"",OR(LEN($E11)&lt;6,LEN($E11)&gt;20,NOT(IFERROR(ISNUMBER(1*$E11),FALSE())))),"Recipient Phone; ","")&amp;IF(LEN($F11)&gt;35,"Recipient Company Name; ","")&amp;IF($G11="","Address Line 1; ","")&amp;IF(LEN($G11)&gt;35,"Address Line 1; ","")&amp;IF(LEN($H11)&gt;35,"Address Line 2; ","")&amp;IF(LEN($I11)&gt;35,"Address Line 3; ","")&amp;IF($J11="","Town; ","")&amp;IF(LEN($J11)&gt;35,"Town; ","")&amp;IF(AND($N11="IE",$K11=""),"County; ","")&amp;IF(LEN($AB11)&gt;35,"County; ","")&amp;IF(AND($L11="",AND($N11&lt;&gt;"AE",$N11&lt;&gt;"QA")),"Postcode; ","")&amp;IF(LEN($L11)&gt;35,"Postcode; ","")&amp;IF($AE11&lt;&gt;"","Postcode; ","")&amp;IF(LEN($O11)&gt;40,"Gift Message 1; ","")&amp;IF(LEN($P11)&gt;40,"Gift Message 2; ","")&amp;IF(LEN($Q11)&gt;40,"Gift Message 3; ","")&amp;IF(LEN($R11)&gt;40,"Gift Message 4; ","")&amp;IF(LEN($S11)&gt;40,"Gift Message 5; ","")&amp;IF(LEN($T11)&gt;40,"Gift Message 6; ","")&amp;IF(LEN($U11)&gt;40,"Gift Message 7; ",""))</f>
        <v/>
      </c>
      <c r="X11" s="44" t="str">
        <f ca="1">IF(COUNTA($A11,$D11:$M11,$O11:$U11)=0,"",IF($A11="","Enter the Item Code (hamper) - type it, paste it, or choose it from the dropdown. ","")&amp;IF(AND($A11&lt;&gt;"",ISNA(MATCH($AC11,'PRODUCT DATA'!$D$2:$D$394,0))),"This Item Code is not recognised. Check the code (case does not matter, but spelling and digits must match exactly) or choose it from the dropdown. ","")&amp;IF($M11="","Enter the Country after the Item Code - type or paste the name or the 2-letter code, or choose it from the dropdown. ","")&amp;IF(AND($M11&lt;&gt;"",NOT(OR(NOT(ISNA(MATCH(IF(UPPER($M11)="UK","GB",$M11),'PRODUCT DATA'!$A$2:$A$58,0))),NOT(ISNA(MATCH(IF(UPPER($M11)="UK","GB",$M11),'PRODUCT DATA'!$B$2:$B$58,0)))))),"This Country is not recognised as either a full name or a 2-letter code. Check the spelling (case does not matter) or choose it from the dropdown. ","")&amp;IF(AND($A11&lt;&gt;"",$M11&lt;&gt;"",NOT(ISNA(MATCH($AC11,'PRODUCT DATA'!$D$2:$D$394,0))),OR(NOT(ISNA(MATCH(IF(UPPER($M11)="UK","GB",$M11),'PRODUCT DATA'!$A$2:$A$58,0))),NOT(ISNA(MATCH(IF(UPPER($M11)="UK","GB",$M11),'PRODUCT DATA'!$B$2:$B$58,0)))),NOT(IFERROR(COUNTIF(OFFSET('PRODUCT DATA'!$F$2,0,MATCH($AC11,'PRODUCT DATA'!$F$1:$NN$1,0)-1,114,1),$N11)&gt;0,FALSE()))),IF(UPPER(IFERROR(OFFSET('PRODUCT DATA'!$C$2,MATCH($N11,'PRODUCT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"),"")&amp;IF($C11="","Enter Quantity. ","")&amp;IF(AND($C11&lt;&gt;"",OR(NOT(ISNUMBER($C11)),$C11&lt;1,$C11&gt;999,MOD($C11,1)&lt;&gt;0)),"Quantity must be a whole number from 1 to 999 (use a quantity above 1 only for a genuine bulk order of identical items to ONE address — otherwise use a separate row per recipient). ","")&amp;IF($D11="","Enter Recipient Name. ","")&amp;IF(LEN($D11)&gt;35,"Recipient Name exceeds 35 characters. ","")&amp;IF($E11="","Enter Recipient Phone. ","")&amp;IF(AND($E11&lt;&gt;"",OR(LEN($E11)&lt;6,LEN($E11)&gt;20,NOT(IFERROR(ISNUMBER(1*$E11),FALSE())))),"Phone must be the LOCAL number for the destination country: digits only, no +, spaces, or country code, 6 to 20 digits. ","")&amp;IF(LEN($F11)&gt;35,"Recipient Company Name exceeds 35 characters. ","")&amp;IF($G11="","Enter Address Line 1. ","")&amp;IF(LEN($G11)&gt;35,"Address Line 1 exceeds the 35-character SAP limit. ","")&amp;IF(LEN($H11)&gt;35,"Address Line 2 exceeds the 35-character SAP limit. ","")&amp;IF(LEN($I11)&gt;35,"Address Line 3 exceeds the 35-character SAP limit. ","")&amp;IF($J11="","Enter Town. This must never be left blank, even if there is no conventional town name. ","")&amp;IF(LEN($J11)&gt;35,"Town exceeds 35 characters. ","")&amp;IF(AND($N11="IE",$K11=""),"County is required for deliveries within the Republic of Ireland. ","")&amp;IF(LEN($AB11)&gt;35,"County exceeds 35 characters. ","")&amp;IF(AND($L11="",AND($N11&lt;&gt;"AE",$N11&lt;&gt;"QA")),"Postcode is required for the selected country. If there is genuinely no postcode, enter the first 3 characters of the area (e.g. D15). ","")&amp;IF(LEN($L11)&gt;35,"Postcode exceeds 35 characters. ","")&amp;IF($AE11&lt;&gt;"",$AE11,"")&amp;IF(LEN($O11)&gt;40,"Gift Message Line 1 exceeds 40 characters. ","")&amp;IF(LEN($P11)&gt;40,"Gift Message Line 2 exceeds 40 characters. ","")&amp;IF(LEN($Q11)&gt;40,"Gift Message Line 3 exceeds 40 characters. ","")&amp;IF(LEN($R11)&gt;40,"Gift Message Line 4 exceeds 40 characters. ","")&amp;IF(LEN($S11)&gt;40,"Gift Message Line 5 exceeds 40 characters. ","")&amp;IF(LEN($T11)&gt;40,"Gift Message Line 6 exceeds 40 characters. ","")&amp;IF(LEN($U11)&gt;40,"Gift Message Line 7 exceeds 40 characters. ",""))</f>
        <v/>
      </c>
      <c r="Y11" s="44" t="str">
        <f t="shared" si="1"/>
        <v/>
      </c>
      <c r="Z11" s="44"/>
      <c r="AA11" s="44"/>
      <c r="AB11" s="32" t="str">
        <f t="shared" si="2"/>
        <v/>
      </c>
      <c r="AC11" s="32" t="str">
        <f>IF($A11="","",IFERROR(LEFT(INDEX('PRODUCT DATA'!$NO$2:$NO$25,MATCH($A11,'PRODUCT DATA'!$NP$2:$NP$25,0)),FIND("|",INDEX('PRODUCT DATA'!$NO$2:$NO$25,MATCH($A11,'PRODUCT DATA'!$NP$2:$NP$25,0)))-1),$A11))</f>
        <v/>
      </c>
      <c r="AD11" s="45"/>
      <c r="AE11" s="45" t="str">
        <f t="shared" si="3"/>
        <v/>
      </c>
    </row>
    <row r="12" spans="1:31" ht="15" customHeight="1" x14ac:dyDescent="0.25">
      <c r="A12" s="40"/>
      <c r="B12" s="43" t="str">
        <f>IF($A12="","",IFERROR(VLOOKUP($AC12,'PRODUCT DATA'!$NR$2:$NS$374,2,FALSE()),"UNKNOWN ITEM CODE - please check"))</f>
        <v/>
      </c>
      <c r="C12" s="39">
        <v>1</v>
      </c>
      <c r="D12" s="39"/>
      <c r="E12" s="40"/>
      <c r="F12" s="41"/>
      <c r="G12" s="39"/>
      <c r="H12" s="41"/>
      <c r="I12" s="41"/>
      <c r="J12" s="39"/>
      <c r="K12" s="41"/>
      <c r="L12" s="40"/>
      <c r="M12" s="40"/>
      <c r="N12" s="42" t="str">
        <f>IF($M12="","",IFERROR(INDEX('PRODUCT DATA'!$B$2:$B$58,MATCH(IF(UPPER($M12)="UK","GB",$M12),'PRODUCT DATA'!$B$2:$B$58,0)),IFERROR(INDEX('PRODUCT DATA'!$B$2:$B$58,MATCH(IF(UPPER($M12)="UK","GB",$M12),'PRODUCT DATA'!$A$2:$A$58,0)),"UNKNOWN COUNTRY - please check")))</f>
        <v/>
      </c>
      <c r="O12" s="41"/>
      <c r="P12" s="41"/>
      <c r="Q12" s="41"/>
      <c r="R12" s="41"/>
      <c r="S12" s="41"/>
      <c r="T12" s="41"/>
      <c r="U12" s="41"/>
      <c r="V12" s="43" t="str">
        <f t="shared" si="0"/>
        <v/>
      </c>
      <c r="W12" s="44" t="str">
        <f ca="1">IF(COUNTA($A12,$D12:$M12,$O12:$U12)=0,"",IF($A12="","Item Code; ","")&amp;IF(AND($A12&lt;&gt;"",ISNA(MATCH($AC12,'PRODUCT DATA'!$D$2:$D$394,0))),"Item Code; ","")&amp;IF($M12="","Country; ","")&amp;IF(AND($M12&lt;&gt;"",NOT(OR(NOT(ISNA(MATCH(IF(UPPER($M12)="UK","GB",$M12),'PRODUCT DATA'!$A$2:$A$58,0))),NOT(ISNA(MATCH(IF(UPPER($M12)="UK","GB",$M12),'PRODUCT DATA'!$B$2:$B$58,0)))))),"Country; ","")&amp;IF(AND($A12&lt;&gt;"",$M12&lt;&gt;"",NOT(ISNA(MATCH($AC12,'PRODUCT DATA'!$D$2:$D$394,0))),OR(NOT(ISNA(MATCH(IF(UPPER($M12)="UK","GB",$M12),'PRODUCT DATA'!$A$2:$A$58,0))),NOT(ISNA(MATCH(IF(UPPER($M12)="UK","GB",$M12),'PRODUCT DATA'!$B$2:$B$58,0)))),NOT(IFERROR(COUNTIF(OFFSET('PRODUCT DATA'!$F$2,0,MATCH($AC12,'PRODUCT DATA'!$F$1:$NN$1,0)-1,114,1),$N12)&gt;0,FALSE()))),IF(UPPER(IFERROR(OFFSET('PRODUCT DATA'!$C$2,MATCH($N12,'PRODUCT DATA'!$B$2:$B$58,0)-1,0),""))="NO","Alcohol Restriction; ","Item Code / Country combination; "),"")&amp;IF($C12="","Quantity; ","")&amp;IF(AND($C12&lt;&gt;"",OR(NOT(ISNUMBER($C12)),$C12&lt;1,$C12&gt;999,MOD($C12,1)&lt;&gt;0)),"Quantity; ","")&amp;IF($D12="","Recipient Name; ","")&amp;IF(LEN($D12)&gt;35,"Recipient Name; ","")&amp;IF($E12="","Recipient Phone; ","")&amp;IF(AND($E12&lt;&gt;"",OR(LEN($E12)&lt;6,LEN($E12)&gt;20,NOT(IFERROR(ISNUMBER(1*$E12),FALSE())))),"Recipient Phone; ","")&amp;IF(LEN($F12)&gt;35,"Recipient Company Name; ","")&amp;IF($G12="","Address Line 1; ","")&amp;IF(LEN($G12)&gt;35,"Address Line 1; ","")&amp;IF(LEN($H12)&gt;35,"Address Line 2; ","")&amp;IF(LEN($I12)&gt;35,"Address Line 3; ","")&amp;IF($J12="","Town; ","")&amp;IF(LEN($J12)&gt;35,"Town; ","")&amp;IF(AND($N12="IE",$K12=""),"County; ","")&amp;IF(LEN($AB12)&gt;35,"County; ","")&amp;IF(AND($L12="",AND($N12&lt;&gt;"AE",$N12&lt;&gt;"QA")),"Postcode; ","")&amp;IF(LEN($L12)&gt;35,"Postcode; ","")&amp;IF($AE12&lt;&gt;"","Postcode; ","")&amp;IF(LEN($O12)&gt;40,"Gift Message 1; ","")&amp;IF(LEN($P12)&gt;40,"Gift Message 2; ","")&amp;IF(LEN($Q12)&gt;40,"Gift Message 3; ","")&amp;IF(LEN($R12)&gt;40,"Gift Message 4; ","")&amp;IF(LEN($S12)&gt;40,"Gift Message 5; ","")&amp;IF(LEN($T12)&gt;40,"Gift Message 6; ","")&amp;IF(LEN($U12)&gt;40,"Gift Message 7; ",""))</f>
        <v/>
      </c>
      <c r="X12" s="44" t="str">
        <f ca="1">IF(COUNTA($A12,$D12:$M12,$O12:$U12)=0,"",IF($A12="","Enter the Item Code (hamper) - type it, paste it, or choose it from the dropdown. ","")&amp;IF(AND($A12&lt;&gt;"",ISNA(MATCH($AC12,'PRODUCT DATA'!$D$2:$D$394,0))),"This Item Code is not recognised. Check the code (case does not matter, but spelling and digits must match exactly) or choose it from the dropdown. ","")&amp;IF($M12="","Enter the Country after the Item Code - type or paste the name or the 2-letter code, or choose it from the dropdown. ","")&amp;IF(AND($M12&lt;&gt;"",NOT(OR(NOT(ISNA(MATCH(IF(UPPER($M12)="UK","GB",$M12),'PRODUCT DATA'!$A$2:$A$58,0))),NOT(ISNA(MATCH(IF(UPPER($M12)="UK","GB",$M12),'PRODUCT DATA'!$B$2:$B$58,0)))))),"This Country is not recognised as either a full name or a 2-letter code. Check the spelling (case does not matter) or choose it from the dropdown. ","")&amp;IF(AND($A12&lt;&gt;"",$M12&lt;&gt;"",NOT(ISNA(MATCH($AC12,'PRODUCT DATA'!$D$2:$D$394,0))),OR(NOT(ISNA(MATCH(IF(UPPER($M12)="UK","GB",$M12),'PRODUCT DATA'!$A$2:$A$58,0))),NOT(ISNA(MATCH(IF(UPPER($M12)="UK","GB",$M12),'PRODUCT DATA'!$B$2:$B$58,0)))),NOT(IFERROR(COUNTIF(OFFSET('PRODUCT DATA'!$F$2,0,MATCH($AC12,'PRODUCT DATA'!$F$1:$NN$1,0)-1,114,1),$N12)&gt;0,FALSE()))),IF(UPPER(IFERROR(OFFSET('PRODUCT DATA'!$C$2,MATCH($N12,'PRODUCT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"),"")&amp;IF($C12="","Enter Quantity. ","")&amp;IF(AND($C12&lt;&gt;"",OR(NOT(ISNUMBER($C12)),$C12&lt;1,$C12&gt;999,MOD($C12,1)&lt;&gt;0)),"Quantity must be a whole number from 1 to 999 (use a quantity above 1 only for a genuine bulk order of identical items to ONE address — otherwise use a separate row per recipient). ","")&amp;IF($D12="","Enter Recipient Name. ","")&amp;IF(LEN($D12)&gt;35,"Recipient Name exceeds 35 characters. ","")&amp;IF($E12="","Enter Recipient Phone. ","")&amp;IF(AND($E12&lt;&gt;"",OR(LEN($E12)&lt;6,LEN($E12)&gt;20,NOT(IFERROR(ISNUMBER(1*$E12),FALSE())))),"Phone must be the LOCAL number for the destination country: digits only, no +, spaces, or country code, 6 to 20 digits. ","")&amp;IF(LEN($F12)&gt;35,"Recipient Company Name exceeds 35 characters. ","")&amp;IF($G12="","Enter Address Line 1. ","")&amp;IF(LEN($G12)&gt;35,"Address Line 1 exceeds the 35-character SAP limit. ","")&amp;IF(LEN($H12)&gt;35,"Address Line 2 exceeds the 35-character SAP limit. ","")&amp;IF(LEN($I12)&gt;35,"Address Line 3 exceeds the 35-character SAP limit. ","")&amp;IF($J12="","Enter Town. This must never be left blank, even if there is no conventional town name. ","")&amp;IF(LEN($J12)&gt;35,"Town exceeds 35 characters. ","")&amp;IF(AND($N12="IE",$K12=""),"County is required for deliveries within the Republic of Ireland. ","")&amp;IF(LEN($AB12)&gt;35,"County exceeds 35 characters. ","")&amp;IF(AND($L12="",AND($N12&lt;&gt;"AE",$N12&lt;&gt;"QA")),"Postcode is required for the selected country. If there is genuinely no postcode, enter the first 3 characters of the area (e.g. D15). ","")&amp;IF(LEN($L12)&gt;35,"Postcode exceeds 35 characters. ","")&amp;IF($AE12&lt;&gt;"",$AE12,"")&amp;IF(LEN($O12)&gt;40,"Gift Message Line 1 exceeds 40 characters. ","")&amp;IF(LEN($P12)&gt;40,"Gift Message Line 2 exceeds 40 characters. ","")&amp;IF(LEN($Q12)&gt;40,"Gift Message Line 3 exceeds 40 characters. ","")&amp;IF(LEN($R12)&gt;40,"Gift Message Line 4 exceeds 40 characters. ","")&amp;IF(LEN($S12)&gt;40,"Gift Message Line 5 exceeds 40 characters. ","")&amp;IF(LEN($T12)&gt;40,"Gift Message Line 6 exceeds 40 characters. ","")&amp;IF(LEN($U12)&gt;40,"Gift Message Line 7 exceeds 40 characters. ",""))</f>
        <v/>
      </c>
      <c r="Y12" s="44" t="str">
        <f t="shared" si="1"/>
        <v/>
      </c>
      <c r="Z12" s="44"/>
      <c r="AA12" s="44"/>
      <c r="AB12" s="32" t="str">
        <f t="shared" si="2"/>
        <v/>
      </c>
      <c r="AC12" s="32" t="str">
        <f>IF($A12="","",IFERROR(LEFT(INDEX('PRODUCT DATA'!$NO$2:$NO$25,MATCH($A12,'PRODUCT DATA'!$NP$2:$NP$25,0)),FIND("|",INDEX('PRODUCT DATA'!$NO$2:$NO$25,MATCH($A12,'PRODUCT DATA'!$NP$2:$NP$25,0)))-1),$A12))</f>
        <v/>
      </c>
      <c r="AD12" s="45"/>
      <c r="AE12" s="45" t="str">
        <f t="shared" si="3"/>
        <v/>
      </c>
    </row>
    <row r="13" spans="1:31" ht="15" customHeight="1" x14ac:dyDescent="0.25">
      <c r="A13" s="40"/>
      <c r="B13" s="43" t="str">
        <f>IF($A13="","",IFERROR(VLOOKUP($AC13,'PRODUCT DATA'!$NR$2:$NS$374,2,FALSE()),"UNKNOWN ITEM CODE - please check"))</f>
        <v/>
      </c>
      <c r="C13" s="39">
        <v>1</v>
      </c>
      <c r="D13" s="39"/>
      <c r="E13" s="40"/>
      <c r="F13" s="41"/>
      <c r="G13" s="39"/>
      <c r="H13" s="41"/>
      <c r="I13" s="41"/>
      <c r="J13" s="39"/>
      <c r="K13" s="41"/>
      <c r="L13" s="40"/>
      <c r="M13" s="40"/>
      <c r="N13" s="42" t="str">
        <f>IF($M13="","",IFERROR(INDEX('PRODUCT DATA'!$B$2:$B$58,MATCH(IF(UPPER($M13)="UK","GB",$M13),'PRODUCT DATA'!$B$2:$B$58,0)),IFERROR(INDEX('PRODUCT DATA'!$B$2:$B$58,MATCH(IF(UPPER($M13)="UK","GB",$M13),'PRODUCT DATA'!$A$2:$A$58,0)),"UNKNOWN COUNTRY - please check")))</f>
        <v/>
      </c>
      <c r="O13" s="41"/>
      <c r="P13" s="41"/>
      <c r="Q13" s="41"/>
      <c r="R13" s="41"/>
      <c r="S13" s="41"/>
      <c r="T13" s="41"/>
      <c r="U13" s="41"/>
      <c r="V13" s="43" t="str">
        <f t="shared" si="0"/>
        <v/>
      </c>
      <c r="W13" s="44" t="str">
        <f ca="1">IF(COUNTA($A13,$D13:$M13,$O13:$U13)=0,"",IF($A13="","Item Code; ","")&amp;IF(AND($A13&lt;&gt;"",ISNA(MATCH($AC13,'PRODUCT DATA'!$D$2:$D$394,0))),"Item Code; ","")&amp;IF($M13="","Country; ","")&amp;IF(AND($M13&lt;&gt;"",NOT(OR(NOT(ISNA(MATCH(IF(UPPER($M13)="UK","GB",$M13),'PRODUCT DATA'!$A$2:$A$58,0))),NOT(ISNA(MATCH(IF(UPPER($M13)="UK","GB",$M13),'PRODUCT DATA'!$B$2:$B$58,0)))))),"Country; ","")&amp;IF(AND($A13&lt;&gt;"",$M13&lt;&gt;"",NOT(ISNA(MATCH($AC13,'PRODUCT DATA'!$D$2:$D$394,0))),OR(NOT(ISNA(MATCH(IF(UPPER($M13)="UK","GB",$M13),'PRODUCT DATA'!$A$2:$A$58,0))),NOT(ISNA(MATCH(IF(UPPER($M13)="UK","GB",$M13),'PRODUCT DATA'!$B$2:$B$58,0)))),NOT(IFERROR(COUNTIF(OFFSET('PRODUCT DATA'!$F$2,0,MATCH($AC13,'PRODUCT DATA'!$F$1:$NN$1,0)-1,114,1),$N13)&gt;0,FALSE()))),IF(UPPER(IFERROR(OFFSET('PRODUCT DATA'!$C$2,MATCH($N13,'PRODUCT DATA'!$B$2:$B$58,0)-1,0),""))="NO","Alcohol Restriction; ","Item Code / Country combination; "),"")&amp;IF($C13="","Quantity; ","")&amp;IF(AND($C13&lt;&gt;"",OR(NOT(ISNUMBER($C13)),$C13&lt;1,$C13&gt;999,MOD($C13,1)&lt;&gt;0)),"Quantity; ","")&amp;IF($D13="","Recipient Name; ","")&amp;IF(LEN($D13)&gt;35,"Recipient Name; ","")&amp;IF($E13="","Recipient Phone; ","")&amp;IF(AND($E13&lt;&gt;"",OR(LEN($E13)&lt;6,LEN($E13)&gt;20,NOT(IFERROR(ISNUMBER(1*$E13),FALSE())))),"Recipient Phone; ","")&amp;IF(LEN($F13)&gt;35,"Recipient Company Name; ","")&amp;IF($G13="","Address Line 1; ","")&amp;IF(LEN($G13)&gt;35,"Address Line 1; ","")&amp;IF(LEN($H13)&gt;35,"Address Line 2; ","")&amp;IF(LEN($I13)&gt;35,"Address Line 3; ","")&amp;IF($J13="","Town; ","")&amp;IF(LEN($J13)&gt;35,"Town; ","")&amp;IF(AND($N13="IE",$K13=""),"County; ","")&amp;IF(LEN($AB13)&gt;35,"County; ","")&amp;IF(AND($L13="",AND($N13&lt;&gt;"AE",$N13&lt;&gt;"QA")),"Postcode; ","")&amp;IF(LEN($L13)&gt;35,"Postcode; ","")&amp;IF($AE13&lt;&gt;"","Postcode; ","")&amp;IF(LEN($O13)&gt;40,"Gift Message 1; ","")&amp;IF(LEN($P13)&gt;40,"Gift Message 2; ","")&amp;IF(LEN($Q13)&gt;40,"Gift Message 3; ","")&amp;IF(LEN($R13)&gt;40,"Gift Message 4; ","")&amp;IF(LEN($S13)&gt;40,"Gift Message 5; ","")&amp;IF(LEN($T13)&gt;40,"Gift Message 6; ","")&amp;IF(LEN($U13)&gt;40,"Gift Message 7; ",""))</f>
        <v/>
      </c>
      <c r="X13" s="44" t="str">
        <f ca="1">IF(COUNTA($A13,$D13:$M13,$O13:$U13)=0,"",IF($A13="","Enter the Item Code (hamper) - type it, paste it, or choose it from the dropdown. ","")&amp;IF(AND($A13&lt;&gt;"",ISNA(MATCH($AC13,'PRODUCT DATA'!$D$2:$D$394,0))),"This Item Code is not recognised. Check the code (case does not matter, but spelling and digits must match exactly) or choose it from the dropdown. ","")&amp;IF($M13="","Enter the Country after the Item Code - type or paste the name or the 2-letter code, or choose it from the dropdown. ","")&amp;IF(AND($M13&lt;&gt;"",NOT(OR(NOT(ISNA(MATCH(IF(UPPER($M13)="UK","GB",$M13),'PRODUCT DATA'!$A$2:$A$58,0))),NOT(ISNA(MATCH(IF(UPPER($M13)="UK","GB",$M13),'PRODUCT DATA'!$B$2:$B$58,0)))))),"This Country is not recognised as either a full name or a 2-letter code. Check the spelling (case does not matter) or choose it from the dropdown. ","")&amp;IF(AND($A13&lt;&gt;"",$M13&lt;&gt;"",NOT(ISNA(MATCH($AC13,'PRODUCT DATA'!$D$2:$D$394,0))),OR(NOT(ISNA(MATCH(IF(UPPER($M13)="UK","GB",$M13),'PRODUCT DATA'!$A$2:$A$58,0))),NOT(ISNA(MATCH(IF(UPPER($M13)="UK","GB",$M13),'PRODUCT DATA'!$B$2:$B$58,0)))),NOT(IFERROR(COUNTIF(OFFSET('PRODUCT DATA'!$F$2,0,MATCH($AC13,'PRODUCT DATA'!$F$1:$NN$1,0)-1,114,1),$N13)&gt;0,FALSE()))),IF(UPPER(IFERROR(OFFSET('PRODUCT DATA'!$C$2,MATCH($N13,'PRODUCT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"),"")&amp;IF($C13="","Enter Quantity. ","")&amp;IF(AND($C13&lt;&gt;"",OR(NOT(ISNUMBER($C13)),$C13&lt;1,$C13&gt;999,MOD($C13,1)&lt;&gt;0)),"Quantity must be a whole number from 1 to 999 (use a quantity above 1 only for a genuine bulk order of identical items to ONE address — otherwise use a separate row per recipient). ","")&amp;IF($D13="","Enter Recipient Name. ","")&amp;IF(LEN($D13)&gt;35,"Recipient Name exceeds 35 characters. ","")&amp;IF($E13="","Enter Recipient Phone. ","")&amp;IF(AND($E13&lt;&gt;"",OR(LEN($E13)&lt;6,LEN($E13)&gt;20,NOT(IFERROR(ISNUMBER(1*$E13),FALSE())))),"Phone must be the LOCAL number for the destination country: digits only, no +, spaces, or country code, 6 to 20 digits. ","")&amp;IF(LEN($F13)&gt;35,"Recipient Company Name exceeds 35 characters. ","")&amp;IF($G13="","Enter Address Line 1. ","")&amp;IF(LEN($G13)&gt;35,"Address Line 1 exceeds the 35-character SAP limit. ","")&amp;IF(LEN($H13)&gt;35,"Address Line 2 exceeds the 35-character SAP limit. ","")&amp;IF(LEN($I13)&gt;35,"Address Line 3 exceeds the 35-character SAP limit. ","")&amp;IF($J13="","Enter Town. This must never be left blank, even if there is no conventional town name. ","")&amp;IF(LEN($J13)&gt;35,"Town exceeds 35 characters. ","")&amp;IF(AND($N13="IE",$K13=""),"County is required for deliveries within the Republic of Ireland. ","")&amp;IF(LEN($AB13)&gt;35,"County exceeds 35 characters. ","")&amp;IF(AND($L13="",AND($N13&lt;&gt;"AE",$N13&lt;&gt;"QA")),"Postcode is required for the selected country. If there is genuinely no postcode, enter the first 3 characters of the area (e.g. D15). ","")&amp;IF(LEN($L13)&gt;35,"Postcode exceeds 35 characters. ","")&amp;IF($AE13&lt;&gt;"",$AE13,"")&amp;IF(LEN($O13)&gt;40,"Gift Message Line 1 exceeds 40 characters. ","")&amp;IF(LEN($P13)&gt;40,"Gift Message Line 2 exceeds 40 characters. ","")&amp;IF(LEN($Q13)&gt;40,"Gift Message Line 3 exceeds 40 characters. ","")&amp;IF(LEN($R13)&gt;40,"Gift Message Line 4 exceeds 40 characters. ","")&amp;IF(LEN($S13)&gt;40,"Gift Message Line 5 exceeds 40 characters. ","")&amp;IF(LEN($T13)&gt;40,"Gift Message Line 6 exceeds 40 characters. ","")&amp;IF(LEN($U13)&gt;40,"Gift Message Line 7 exceeds 40 characters. ",""))</f>
        <v/>
      </c>
      <c r="Y13" s="44" t="str">
        <f t="shared" si="1"/>
        <v/>
      </c>
      <c r="Z13" s="44"/>
      <c r="AA13" s="44"/>
      <c r="AB13" s="32" t="str">
        <f t="shared" si="2"/>
        <v/>
      </c>
      <c r="AC13" s="32" t="str">
        <f>IF($A13="","",IFERROR(LEFT(INDEX('PRODUCT DATA'!$NO$2:$NO$25,MATCH($A13,'PRODUCT DATA'!$NP$2:$NP$25,0)),FIND("|",INDEX('PRODUCT DATA'!$NO$2:$NO$25,MATCH($A13,'PRODUCT DATA'!$NP$2:$NP$25,0)))-1),$A13))</f>
        <v/>
      </c>
      <c r="AD13" s="45"/>
      <c r="AE13" s="45" t="str">
        <f t="shared" si="3"/>
        <v/>
      </c>
    </row>
    <row r="14" spans="1:31" ht="15" customHeight="1" x14ac:dyDescent="0.25">
      <c r="A14" s="40"/>
      <c r="B14" s="43" t="str">
        <f>IF($A14="","",IFERROR(VLOOKUP($AC14,'PRODUCT DATA'!$NR$2:$NS$374,2,FALSE()),"UNKNOWN ITEM CODE - please check"))</f>
        <v/>
      </c>
      <c r="C14" s="39">
        <v>1</v>
      </c>
      <c r="D14" s="39"/>
      <c r="E14" s="40"/>
      <c r="F14" s="41"/>
      <c r="G14" s="39"/>
      <c r="H14" s="41"/>
      <c r="I14" s="41"/>
      <c r="J14" s="39"/>
      <c r="K14" s="41"/>
      <c r="L14" s="40"/>
      <c r="M14" s="40"/>
      <c r="N14" s="42" t="str">
        <f>IF($M14="","",IFERROR(INDEX('PRODUCT DATA'!$B$2:$B$58,MATCH(IF(UPPER($M14)="UK","GB",$M14),'PRODUCT DATA'!$B$2:$B$58,0)),IFERROR(INDEX('PRODUCT DATA'!$B$2:$B$58,MATCH(IF(UPPER($M14)="UK","GB",$M14),'PRODUCT DATA'!$A$2:$A$58,0)),"UNKNOWN COUNTRY - please check")))</f>
        <v/>
      </c>
      <c r="O14" s="41"/>
      <c r="P14" s="41"/>
      <c r="Q14" s="41"/>
      <c r="R14" s="41"/>
      <c r="S14" s="41"/>
      <c r="T14" s="41"/>
      <c r="U14" s="41"/>
      <c r="V14" s="43" t="str">
        <f t="shared" si="0"/>
        <v/>
      </c>
      <c r="W14" s="44" t="str">
        <f ca="1">IF(COUNTA($A14,$D14:$M14,$O14:$U14)=0,"",IF($A14="","Item Code; ","")&amp;IF(AND($A14&lt;&gt;"",ISNA(MATCH($AC14,'PRODUCT DATA'!$D$2:$D$394,0))),"Item Code; ","")&amp;IF($M14="","Country; ","")&amp;IF(AND($M14&lt;&gt;"",NOT(OR(NOT(ISNA(MATCH(IF(UPPER($M14)="UK","GB",$M14),'PRODUCT DATA'!$A$2:$A$58,0))),NOT(ISNA(MATCH(IF(UPPER($M14)="UK","GB",$M14),'PRODUCT DATA'!$B$2:$B$58,0)))))),"Country; ","")&amp;IF(AND($A14&lt;&gt;"",$M14&lt;&gt;"",NOT(ISNA(MATCH($AC14,'PRODUCT DATA'!$D$2:$D$394,0))),OR(NOT(ISNA(MATCH(IF(UPPER($M14)="UK","GB",$M14),'PRODUCT DATA'!$A$2:$A$58,0))),NOT(ISNA(MATCH(IF(UPPER($M14)="UK","GB",$M14),'PRODUCT DATA'!$B$2:$B$58,0)))),NOT(IFERROR(COUNTIF(OFFSET('PRODUCT DATA'!$F$2,0,MATCH($AC14,'PRODUCT DATA'!$F$1:$NN$1,0)-1,114,1),$N14)&gt;0,FALSE()))),IF(UPPER(IFERROR(OFFSET('PRODUCT DATA'!$C$2,MATCH($N14,'PRODUCT DATA'!$B$2:$B$58,0)-1,0),""))="NO","Alcohol Restriction; ","Item Code / Country combination; "),"")&amp;IF($C14="","Quantity; ","")&amp;IF(AND($C14&lt;&gt;"",OR(NOT(ISNUMBER($C14)),$C14&lt;1,$C14&gt;999,MOD($C14,1)&lt;&gt;0)),"Quantity; ","")&amp;IF($D14="","Recipient Name; ","")&amp;IF(LEN($D14)&gt;35,"Recipient Name; ","")&amp;IF($E14="","Recipient Phone; ","")&amp;IF(AND($E14&lt;&gt;"",OR(LEN($E14)&lt;6,LEN($E14)&gt;20,NOT(IFERROR(ISNUMBER(1*$E14),FALSE())))),"Recipient Phone; ","")&amp;IF(LEN($F14)&gt;35,"Recipient Company Name; ","")&amp;IF($G14="","Address Line 1; ","")&amp;IF(LEN($G14)&gt;35,"Address Line 1; ","")&amp;IF(LEN($H14)&gt;35,"Address Line 2; ","")&amp;IF(LEN($I14)&gt;35,"Address Line 3; ","")&amp;IF($J14="","Town; ","")&amp;IF(LEN($J14)&gt;35,"Town; ","")&amp;IF(AND($N14="IE",$K14=""),"County; ","")&amp;IF(LEN($AB14)&gt;35,"County; ","")&amp;IF(AND($L14="",AND($N14&lt;&gt;"AE",$N14&lt;&gt;"QA")),"Postcode; ","")&amp;IF(LEN($L14)&gt;35,"Postcode; ","")&amp;IF($AE14&lt;&gt;"","Postcode; ","")&amp;IF(LEN($O14)&gt;40,"Gift Message 1; ","")&amp;IF(LEN($P14)&gt;40,"Gift Message 2; ","")&amp;IF(LEN($Q14)&gt;40,"Gift Message 3; ","")&amp;IF(LEN($R14)&gt;40,"Gift Message 4; ","")&amp;IF(LEN($S14)&gt;40,"Gift Message 5; ","")&amp;IF(LEN($T14)&gt;40,"Gift Message 6; ","")&amp;IF(LEN($U14)&gt;40,"Gift Message 7; ",""))</f>
        <v/>
      </c>
      <c r="X14" s="44" t="str">
        <f ca="1">IF(COUNTA($A14,$D14:$M14,$O14:$U14)=0,"",IF($A14="","Enter the Item Code (hamper) - type it, paste it, or choose it from the dropdown. ","")&amp;IF(AND($A14&lt;&gt;"",ISNA(MATCH($AC14,'PRODUCT DATA'!$D$2:$D$394,0))),"This Item Code is not recognised. Check the code (case does not matter, but spelling and digits must match exactly) or choose it from the dropdown. ","")&amp;IF($M14="","Enter the Country after the Item Code - type or paste the name or the 2-letter code, or choose it from the dropdown. ","")&amp;IF(AND($M14&lt;&gt;"",NOT(OR(NOT(ISNA(MATCH(IF(UPPER($M14)="UK","GB",$M14),'PRODUCT DATA'!$A$2:$A$58,0))),NOT(ISNA(MATCH(IF(UPPER($M14)="UK","GB",$M14),'PRODUCT DATA'!$B$2:$B$58,0)))))),"This Country is not recognised as either a full name or a 2-letter code. Check the spelling (case does not matter) or choose it from the dropdown. ","")&amp;IF(AND($A14&lt;&gt;"",$M14&lt;&gt;"",NOT(ISNA(MATCH($AC14,'PRODUCT DATA'!$D$2:$D$394,0))),OR(NOT(ISNA(MATCH(IF(UPPER($M14)="UK","GB",$M14),'PRODUCT DATA'!$A$2:$A$58,0))),NOT(ISNA(MATCH(IF(UPPER($M14)="UK","GB",$M14),'PRODUCT DATA'!$B$2:$B$58,0)))),NOT(IFERROR(COUNTIF(OFFSET('PRODUCT DATA'!$F$2,0,MATCH($AC14,'PRODUCT DATA'!$F$1:$NN$1,0)-1,114,1),$N14)&gt;0,FALSE()))),IF(UPPER(IFERROR(OFFSET('PRODUCT DATA'!$C$2,MATCH($N14,'PRODUCT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"),"")&amp;IF($C14="","Enter Quantity. ","")&amp;IF(AND($C14&lt;&gt;"",OR(NOT(ISNUMBER($C14)),$C14&lt;1,$C14&gt;999,MOD($C14,1)&lt;&gt;0)),"Quantity must be a whole number from 1 to 999 (use a quantity above 1 only for a genuine bulk order of identical items to ONE address — otherwise use a separate row per recipient). ","")&amp;IF($D14="","Enter Recipient Name. ","")&amp;IF(LEN($D14)&gt;35,"Recipient Name exceeds 35 characters. ","")&amp;IF($E14="","Enter Recipient Phone. ","")&amp;IF(AND($E14&lt;&gt;"",OR(LEN($E14)&lt;6,LEN($E14)&gt;20,NOT(IFERROR(ISNUMBER(1*$E14),FALSE())))),"Phone must be the LOCAL number for the destination country: digits only, no +, spaces, or country code, 6 to 20 digits. ","")&amp;IF(LEN($F14)&gt;35,"Recipient Company Name exceeds 35 characters. ","")&amp;IF($G14="","Enter Address Line 1. ","")&amp;IF(LEN($G14)&gt;35,"Address Line 1 exceeds the 35-character SAP limit. ","")&amp;IF(LEN($H14)&gt;35,"Address Line 2 exceeds the 35-character SAP limit. ","")&amp;IF(LEN($I14)&gt;35,"Address Line 3 exceeds the 35-character SAP limit. ","")&amp;IF($J14="","Enter Town. This must never be left blank, even if there is no conventional town name. ","")&amp;IF(LEN($J14)&gt;35,"Town exceeds 35 characters. ","")&amp;IF(AND($N14="IE",$K14=""),"County is required for deliveries within the Republic of Ireland. ","")&amp;IF(LEN($AB14)&gt;35,"County exceeds 35 characters. ","")&amp;IF(AND($L14="",AND($N14&lt;&gt;"AE",$N14&lt;&gt;"QA")),"Postcode is required for the selected country. If there is genuinely no postcode, enter the first 3 characters of the area (e.g. D15). ","")&amp;IF(LEN($L14)&gt;35,"Postcode exceeds 35 characters. ","")&amp;IF($AE14&lt;&gt;"",$AE14,"")&amp;IF(LEN($O14)&gt;40,"Gift Message Line 1 exceeds 40 characters. ","")&amp;IF(LEN($P14)&gt;40,"Gift Message Line 2 exceeds 40 characters. ","")&amp;IF(LEN($Q14)&gt;40,"Gift Message Line 3 exceeds 40 characters. ","")&amp;IF(LEN($R14)&gt;40,"Gift Message Line 4 exceeds 40 characters. ","")&amp;IF(LEN($S14)&gt;40,"Gift Message Line 5 exceeds 40 characters. ","")&amp;IF(LEN($T14)&gt;40,"Gift Message Line 6 exceeds 40 characters. ","")&amp;IF(LEN($U14)&gt;40,"Gift Message Line 7 exceeds 40 characters. ",""))</f>
        <v/>
      </c>
      <c r="Y14" s="44" t="str">
        <f t="shared" si="1"/>
        <v/>
      </c>
      <c r="Z14" s="44"/>
      <c r="AA14" s="44"/>
      <c r="AB14" s="32" t="str">
        <f t="shared" si="2"/>
        <v/>
      </c>
      <c r="AC14" s="32" t="str">
        <f>IF($A14="","",IFERROR(LEFT(INDEX('PRODUCT DATA'!$NO$2:$NO$25,MATCH($A14,'PRODUCT DATA'!$NP$2:$NP$25,0)),FIND("|",INDEX('PRODUCT DATA'!$NO$2:$NO$25,MATCH($A14,'PRODUCT DATA'!$NP$2:$NP$25,0)))-1),$A14))</f>
        <v/>
      </c>
      <c r="AD14" s="45"/>
      <c r="AE14" s="45" t="str">
        <f t="shared" si="3"/>
        <v/>
      </c>
    </row>
    <row r="15" spans="1:31" ht="15" customHeight="1" x14ac:dyDescent="0.25">
      <c r="A15" s="40"/>
      <c r="B15" s="43" t="str">
        <f>IF($A15="","",IFERROR(VLOOKUP($AC15,'PRODUCT DATA'!$NR$2:$NS$374,2,FALSE()),"UNKNOWN ITEM CODE - please check"))</f>
        <v/>
      </c>
      <c r="C15" s="39">
        <v>1</v>
      </c>
      <c r="D15" s="39"/>
      <c r="E15" s="40"/>
      <c r="F15" s="41"/>
      <c r="G15" s="39"/>
      <c r="H15" s="41"/>
      <c r="I15" s="41"/>
      <c r="J15" s="39"/>
      <c r="K15" s="41"/>
      <c r="L15" s="40"/>
      <c r="M15" s="40"/>
      <c r="N15" s="42" t="str">
        <f>IF($M15="","",IFERROR(INDEX('PRODUCT DATA'!$B$2:$B$58,MATCH(IF(UPPER($M15)="UK","GB",$M15),'PRODUCT DATA'!$B$2:$B$58,0)),IFERROR(INDEX('PRODUCT DATA'!$B$2:$B$58,MATCH(IF(UPPER($M15)="UK","GB",$M15),'PRODUCT DATA'!$A$2:$A$58,0)),"UNKNOWN COUNTRY - please check")))</f>
        <v/>
      </c>
      <c r="O15" s="41"/>
      <c r="P15" s="41"/>
      <c r="Q15" s="41"/>
      <c r="R15" s="41"/>
      <c r="S15" s="41"/>
      <c r="T15" s="41"/>
      <c r="U15" s="41"/>
      <c r="V15" s="43" t="str">
        <f t="shared" si="0"/>
        <v/>
      </c>
      <c r="W15" s="44" t="str">
        <f ca="1">IF(COUNTA($A15,$D15:$M15,$O15:$U15)=0,"",IF($A15="","Item Code; ","")&amp;IF(AND($A15&lt;&gt;"",ISNA(MATCH($AC15,'PRODUCT DATA'!$D$2:$D$394,0))),"Item Code; ","")&amp;IF($M15="","Country; ","")&amp;IF(AND($M15&lt;&gt;"",NOT(OR(NOT(ISNA(MATCH(IF(UPPER($M15)="UK","GB",$M15),'PRODUCT DATA'!$A$2:$A$58,0))),NOT(ISNA(MATCH(IF(UPPER($M15)="UK","GB",$M15),'PRODUCT DATA'!$B$2:$B$58,0)))))),"Country; ","")&amp;IF(AND($A15&lt;&gt;"",$M15&lt;&gt;"",NOT(ISNA(MATCH($AC15,'PRODUCT DATA'!$D$2:$D$394,0))),OR(NOT(ISNA(MATCH(IF(UPPER($M15)="UK","GB",$M15),'PRODUCT DATA'!$A$2:$A$58,0))),NOT(ISNA(MATCH(IF(UPPER($M15)="UK","GB",$M15),'PRODUCT DATA'!$B$2:$B$58,0)))),NOT(IFERROR(COUNTIF(OFFSET('PRODUCT DATA'!$F$2,0,MATCH($AC15,'PRODUCT DATA'!$F$1:$NN$1,0)-1,114,1),$N15)&gt;0,FALSE()))),IF(UPPER(IFERROR(OFFSET('PRODUCT DATA'!$C$2,MATCH($N15,'PRODUCT DATA'!$B$2:$B$58,0)-1,0),""))="NO","Alcohol Restriction; ","Item Code / Country combination; "),"")&amp;IF($C15="","Quantity; ","")&amp;IF(AND($C15&lt;&gt;"",OR(NOT(ISNUMBER($C15)),$C15&lt;1,$C15&gt;999,MOD($C15,1)&lt;&gt;0)),"Quantity; ","")&amp;IF($D15="","Recipient Name; ","")&amp;IF(LEN($D15)&gt;35,"Recipient Name; ","")&amp;IF($E15="","Recipient Phone; ","")&amp;IF(AND($E15&lt;&gt;"",OR(LEN($E15)&lt;6,LEN($E15)&gt;20,NOT(IFERROR(ISNUMBER(1*$E15),FALSE())))),"Recipient Phone; ","")&amp;IF(LEN($F15)&gt;35,"Recipient Company Name; ","")&amp;IF($G15="","Address Line 1; ","")&amp;IF(LEN($G15)&gt;35,"Address Line 1; ","")&amp;IF(LEN($H15)&gt;35,"Address Line 2; ","")&amp;IF(LEN($I15)&gt;35,"Address Line 3; ","")&amp;IF($J15="","Town; ","")&amp;IF(LEN($J15)&gt;35,"Town; ","")&amp;IF(AND($N15="IE",$K15=""),"County; ","")&amp;IF(LEN($AB15)&gt;35,"County; ","")&amp;IF(AND($L15="",AND($N15&lt;&gt;"AE",$N15&lt;&gt;"QA")),"Postcode; ","")&amp;IF(LEN($L15)&gt;35,"Postcode; ","")&amp;IF($AE15&lt;&gt;"","Postcode; ","")&amp;IF(LEN($O15)&gt;40,"Gift Message 1; ","")&amp;IF(LEN($P15)&gt;40,"Gift Message 2; ","")&amp;IF(LEN($Q15)&gt;40,"Gift Message 3; ","")&amp;IF(LEN($R15)&gt;40,"Gift Message 4; ","")&amp;IF(LEN($S15)&gt;40,"Gift Message 5; ","")&amp;IF(LEN($T15)&gt;40,"Gift Message 6; ","")&amp;IF(LEN($U15)&gt;40,"Gift Message 7; ",""))</f>
        <v/>
      </c>
      <c r="X15" s="44" t="str">
        <f ca="1">IF(COUNTA($A15,$D15:$M15,$O15:$U15)=0,"",IF($A15="","Enter the Item Code (hamper) - type it, paste it, or choose it from the dropdown. ","")&amp;IF(AND($A15&lt;&gt;"",ISNA(MATCH($AC15,'PRODUCT DATA'!$D$2:$D$394,0))),"This Item Code is not recognised. Check the code (case does not matter, but spelling and digits must match exactly) or choose it from the dropdown. ","")&amp;IF($M15="","Enter the Country after the Item Code - type or paste the name or the 2-letter code, or choose it from the dropdown. ","")&amp;IF(AND($M15&lt;&gt;"",NOT(OR(NOT(ISNA(MATCH(IF(UPPER($M15)="UK","GB",$M15),'PRODUCT DATA'!$A$2:$A$58,0))),NOT(ISNA(MATCH(IF(UPPER($M15)="UK","GB",$M15),'PRODUCT DATA'!$B$2:$B$58,0)))))),"This Country is not recognised as either a full name or a 2-letter code. Check the spelling (case does not matter) or choose it from the dropdown. ","")&amp;IF(AND($A15&lt;&gt;"",$M15&lt;&gt;"",NOT(ISNA(MATCH($AC15,'PRODUCT DATA'!$D$2:$D$394,0))),OR(NOT(ISNA(MATCH(IF(UPPER($M15)="UK","GB",$M15),'PRODUCT DATA'!$A$2:$A$58,0))),NOT(ISNA(MATCH(IF(UPPER($M15)="UK","GB",$M15),'PRODUCT DATA'!$B$2:$B$58,0)))),NOT(IFERROR(COUNTIF(OFFSET('PRODUCT DATA'!$F$2,0,MATCH($AC15,'PRODUCT DATA'!$F$1:$NN$1,0)-1,114,1),$N15)&gt;0,FALSE()))),IF(UPPER(IFERROR(OFFSET('PRODUCT DATA'!$C$2,MATCH($N15,'PRODUCT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"),"")&amp;IF($C15="","Enter Quantity. ","")&amp;IF(AND($C15&lt;&gt;"",OR(NOT(ISNUMBER($C15)),$C15&lt;1,$C15&gt;999,MOD($C15,1)&lt;&gt;0)),"Quantity must be a whole number from 1 to 999 (use a quantity above 1 only for a genuine bulk order of identical items to ONE address — otherwise use a separate row per recipient). ","")&amp;IF($D15="","Enter Recipient Name. ","")&amp;IF(LEN($D15)&gt;35,"Recipient Name exceeds 35 characters. ","")&amp;IF($E15="","Enter Recipient Phone. ","")&amp;IF(AND($E15&lt;&gt;"",OR(LEN($E15)&lt;6,LEN($E15)&gt;20,NOT(IFERROR(ISNUMBER(1*$E15),FALSE())))),"Phone must be the LOCAL number for the destination country: digits only, no +, spaces, or country code, 6 to 20 digits. ","")&amp;IF(LEN($F15)&gt;35,"Recipient Company Name exceeds 35 characters. ","")&amp;IF($G15="","Enter Address Line 1. ","")&amp;IF(LEN($G15)&gt;35,"Address Line 1 exceeds the 35-character SAP limit. ","")&amp;IF(LEN($H15)&gt;35,"Address Line 2 exceeds the 35-character SAP limit. ","")&amp;IF(LEN($I15)&gt;35,"Address Line 3 exceeds the 35-character SAP limit. ","")&amp;IF($J15="","Enter Town. This must never be left blank, even if there is no conventional town name. ","")&amp;IF(LEN($J15)&gt;35,"Town exceeds 35 characters. ","")&amp;IF(AND($N15="IE",$K15=""),"County is required for deliveries within the Republic of Ireland. ","")&amp;IF(LEN($AB15)&gt;35,"County exceeds 35 characters. ","")&amp;IF(AND($L15="",AND($N15&lt;&gt;"AE",$N15&lt;&gt;"QA")),"Postcode is required for the selected country. If there is genuinely no postcode, enter the first 3 characters of the area (e.g. D15). ","")&amp;IF(LEN($L15)&gt;35,"Postcode exceeds 35 characters. ","")&amp;IF($AE15&lt;&gt;"",$AE15,"")&amp;IF(LEN($O15)&gt;40,"Gift Message Line 1 exceeds 40 characters. ","")&amp;IF(LEN($P15)&gt;40,"Gift Message Line 2 exceeds 40 characters. ","")&amp;IF(LEN($Q15)&gt;40,"Gift Message Line 3 exceeds 40 characters. ","")&amp;IF(LEN($R15)&gt;40,"Gift Message Line 4 exceeds 40 characters. ","")&amp;IF(LEN($S15)&gt;40,"Gift Message Line 5 exceeds 40 characters. ","")&amp;IF(LEN($T15)&gt;40,"Gift Message Line 6 exceeds 40 characters. ","")&amp;IF(LEN($U15)&gt;40,"Gift Message Line 7 exceeds 40 characters. ",""))</f>
        <v/>
      </c>
      <c r="Y15" s="44" t="str">
        <f t="shared" si="1"/>
        <v/>
      </c>
      <c r="Z15" s="44"/>
      <c r="AA15" s="44"/>
      <c r="AB15" s="32" t="str">
        <f t="shared" si="2"/>
        <v/>
      </c>
      <c r="AC15" s="32" t="str">
        <f>IF($A15="","",IFERROR(LEFT(INDEX('PRODUCT DATA'!$NO$2:$NO$25,MATCH($A15,'PRODUCT DATA'!$NP$2:$NP$25,0)),FIND("|",INDEX('PRODUCT DATA'!$NO$2:$NO$25,MATCH($A15,'PRODUCT DATA'!$NP$2:$NP$25,0)))-1),$A15))</f>
        <v/>
      </c>
      <c r="AD15" s="45"/>
      <c r="AE15" s="45" t="str">
        <f t="shared" si="3"/>
        <v/>
      </c>
    </row>
    <row r="16" spans="1:31" ht="15" customHeight="1" x14ac:dyDescent="0.25">
      <c r="A16" s="40"/>
      <c r="B16" s="43" t="str">
        <f>IF($A16="","",IFERROR(VLOOKUP($AC16,'PRODUCT DATA'!$NR$2:$NS$374,2,FALSE()),"UNKNOWN ITEM CODE - please check"))</f>
        <v/>
      </c>
      <c r="C16" s="39">
        <v>1</v>
      </c>
      <c r="D16" s="39"/>
      <c r="E16" s="40"/>
      <c r="F16" s="41"/>
      <c r="G16" s="39"/>
      <c r="H16" s="41"/>
      <c r="I16" s="41"/>
      <c r="J16" s="39"/>
      <c r="K16" s="41"/>
      <c r="L16" s="40"/>
      <c r="M16" s="40"/>
      <c r="N16" s="42" t="str">
        <f>IF($M16="","",IFERROR(INDEX('PRODUCT DATA'!$B$2:$B$58,MATCH(IF(UPPER($M16)="UK","GB",$M16),'PRODUCT DATA'!$B$2:$B$58,0)),IFERROR(INDEX('PRODUCT DATA'!$B$2:$B$58,MATCH(IF(UPPER($M16)="UK","GB",$M16),'PRODUCT DATA'!$A$2:$A$58,0)),"UNKNOWN COUNTRY - please check")))</f>
        <v/>
      </c>
      <c r="O16" s="41"/>
      <c r="P16" s="41"/>
      <c r="Q16" s="41"/>
      <c r="R16" s="41"/>
      <c r="S16" s="41"/>
      <c r="T16" s="41"/>
      <c r="U16" s="41"/>
      <c r="V16" s="43" t="str">
        <f t="shared" si="0"/>
        <v/>
      </c>
      <c r="W16" s="44" t="str">
        <f ca="1">IF(COUNTA($A16,$D16:$M16,$O16:$U16)=0,"",IF($A16="","Item Code; ","")&amp;IF(AND($A16&lt;&gt;"",ISNA(MATCH($AC16,'PRODUCT DATA'!$D$2:$D$394,0))),"Item Code; ","")&amp;IF($M16="","Country; ","")&amp;IF(AND($M16&lt;&gt;"",NOT(OR(NOT(ISNA(MATCH(IF(UPPER($M16)="UK","GB",$M16),'PRODUCT DATA'!$A$2:$A$58,0))),NOT(ISNA(MATCH(IF(UPPER($M16)="UK","GB",$M16),'PRODUCT DATA'!$B$2:$B$58,0)))))),"Country; ","")&amp;IF(AND($A16&lt;&gt;"",$M16&lt;&gt;"",NOT(ISNA(MATCH($AC16,'PRODUCT DATA'!$D$2:$D$394,0))),OR(NOT(ISNA(MATCH(IF(UPPER($M16)="UK","GB",$M16),'PRODUCT DATA'!$A$2:$A$58,0))),NOT(ISNA(MATCH(IF(UPPER($M16)="UK","GB",$M16),'PRODUCT DATA'!$B$2:$B$58,0)))),NOT(IFERROR(COUNTIF(OFFSET('PRODUCT DATA'!$F$2,0,MATCH($AC16,'PRODUCT DATA'!$F$1:$NN$1,0)-1,114,1),$N16)&gt;0,FALSE()))),IF(UPPER(IFERROR(OFFSET('PRODUCT DATA'!$C$2,MATCH($N16,'PRODUCT DATA'!$B$2:$B$58,0)-1,0),""))="NO","Alcohol Restriction; ","Item Code / Country combination; "),"")&amp;IF($C16="","Quantity; ","")&amp;IF(AND($C16&lt;&gt;"",OR(NOT(ISNUMBER($C16)),$C16&lt;1,$C16&gt;999,MOD($C16,1)&lt;&gt;0)),"Quantity; ","")&amp;IF($D16="","Recipient Name; ","")&amp;IF(LEN($D16)&gt;35,"Recipient Name; ","")&amp;IF($E16="","Recipient Phone; ","")&amp;IF(AND($E16&lt;&gt;"",OR(LEN($E16)&lt;6,LEN($E16)&gt;20,NOT(IFERROR(ISNUMBER(1*$E16),FALSE())))),"Recipient Phone; ","")&amp;IF(LEN($F16)&gt;35,"Recipient Company Name; ","")&amp;IF($G16="","Address Line 1; ","")&amp;IF(LEN($G16)&gt;35,"Address Line 1; ","")&amp;IF(LEN($H16)&gt;35,"Address Line 2; ","")&amp;IF(LEN($I16)&gt;35,"Address Line 3; ","")&amp;IF($J16="","Town; ","")&amp;IF(LEN($J16)&gt;35,"Town; ","")&amp;IF(AND($N16="IE",$K16=""),"County; ","")&amp;IF(LEN($AB16)&gt;35,"County; ","")&amp;IF(AND($L16="",AND($N16&lt;&gt;"AE",$N16&lt;&gt;"QA")),"Postcode; ","")&amp;IF(LEN($L16)&gt;35,"Postcode; ","")&amp;IF($AE16&lt;&gt;"","Postcode; ","")&amp;IF(LEN($O16)&gt;40,"Gift Message 1; ","")&amp;IF(LEN($P16)&gt;40,"Gift Message 2; ","")&amp;IF(LEN($Q16)&gt;40,"Gift Message 3; ","")&amp;IF(LEN($R16)&gt;40,"Gift Message 4; ","")&amp;IF(LEN($S16)&gt;40,"Gift Message 5; ","")&amp;IF(LEN($T16)&gt;40,"Gift Message 6; ","")&amp;IF(LEN($U16)&gt;40,"Gift Message 7; ",""))</f>
        <v/>
      </c>
      <c r="X16" s="44" t="str">
        <f ca="1">IF(COUNTA($A16,$D16:$M16,$O16:$U16)=0,"",IF($A16="","Enter the Item Code (hamper) - type it, paste it, or choose it from the dropdown. ","")&amp;IF(AND($A16&lt;&gt;"",ISNA(MATCH($AC16,'PRODUCT DATA'!$D$2:$D$394,0))),"This Item Code is not recognised. Check the code (case does not matter, but spelling and digits must match exactly) or choose it from the dropdown. ","")&amp;IF($M16="","Enter the Country after the Item Code - type or paste the name or the 2-letter code, or choose it from the dropdown. ","")&amp;IF(AND($M16&lt;&gt;"",NOT(OR(NOT(ISNA(MATCH(IF(UPPER($M16)="UK","GB",$M16),'PRODUCT DATA'!$A$2:$A$58,0))),NOT(ISNA(MATCH(IF(UPPER($M16)="UK","GB",$M16),'PRODUCT DATA'!$B$2:$B$58,0)))))),"This Country is not recognised as either a full name or a 2-letter code. Check the spelling (case does not matter) or choose it from the dropdown. ","")&amp;IF(AND($A16&lt;&gt;"",$M16&lt;&gt;"",NOT(ISNA(MATCH($AC16,'PRODUCT DATA'!$D$2:$D$394,0))),OR(NOT(ISNA(MATCH(IF(UPPER($M16)="UK","GB",$M16),'PRODUCT DATA'!$A$2:$A$58,0))),NOT(ISNA(MATCH(IF(UPPER($M16)="UK","GB",$M16),'PRODUCT DATA'!$B$2:$B$58,0)))),NOT(IFERROR(COUNTIF(OFFSET('PRODUCT DATA'!$F$2,0,MATCH($AC16,'PRODUCT DATA'!$F$1:$NN$1,0)-1,114,1),$N16)&gt;0,FALSE()))),IF(UPPER(IFERROR(OFFSET('PRODUCT DATA'!$C$2,MATCH($N16,'PRODUCT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"),"")&amp;IF($C16="","Enter Quantity. ","")&amp;IF(AND($C16&lt;&gt;"",OR(NOT(ISNUMBER($C16)),$C16&lt;1,$C16&gt;999,MOD($C16,1)&lt;&gt;0)),"Quantity must be a whole number from 1 to 999 (use a quantity above 1 only for a genuine bulk order of identical items to ONE address — otherwise use a separate row per recipient). ","")&amp;IF($D16="","Enter Recipient Name. ","")&amp;IF(LEN($D16)&gt;35,"Recipient Name exceeds 35 characters. ","")&amp;IF($E16="","Enter Recipient Phone. ","")&amp;IF(AND($E16&lt;&gt;"",OR(LEN($E16)&lt;6,LEN($E16)&gt;20,NOT(IFERROR(ISNUMBER(1*$E16),FALSE())))),"Phone must be the LOCAL number for the destination country: digits only, no +, spaces, or country code, 6 to 20 digits. ","")&amp;IF(LEN($F16)&gt;35,"Recipient Company Name exceeds 35 characters. ","")&amp;IF($G16="","Enter Address Line 1. ","")&amp;IF(LEN($G16)&gt;35,"Address Line 1 exceeds the 35-character SAP limit. ","")&amp;IF(LEN($H16)&gt;35,"Address Line 2 exceeds the 35-character SAP limit. ","")&amp;IF(LEN($I16)&gt;35,"Address Line 3 exceeds the 35-character SAP limit. ","")&amp;IF($J16="","Enter Town. This must never be left blank, even if there is no conventional town name. ","")&amp;IF(LEN($J16)&gt;35,"Town exceeds 35 characters. ","")&amp;IF(AND($N16="IE",$K16=""),"County is required for deliveries within the Republic of Ireland. ","")&amp;IF(LEN($AB16)&gt;35,"County exceeds 35 characters. ","")&amp;IF(AND($L16="",AND($N16&lt;&gt;"AE",$N16&lt;&gt;"QA")),"Postcode is required for the selected country. If there is genuinely no postcode, enter the first 3 characters of the area (e.g. D15). ","")&amp;IF(LEN($L16)&gt;35,"Postcode exceeds 35 characters. ","")&amp;IF($AE16&lt;&gt;"",$AE16,"")&amp;IF(LEN($O16)&gt;40,"Gift Message Line 1 exceeds 40 characters. ","")&amp;IF(LEN($P16)&gt;40,"Gift Message Line 2 exceeds 40 characters. ","")&amp;IF(LEN($Q16)&gt;40,"Gift Message Line 3 exceeds 40 characters. ","")&amp;IF(LEN($R16)&gt;40,"Gift Message Line 4 exceeds 40 characters. ","")&amp;IF(LEN($S16)&gt;40,"Gift Message Line 5 exceeds 40 characters. ","")&amp;IF(LEN($T16)&gt;40,"Gift Message Line 6 exceeds 40 characters. ","")&amp;IF(LEN($U16)&gt;40,"Gift Message Line 7 exceeds 40 characters. ",""))</f>
        <v/>
      </c>
      <c r="Y16" s="44" t="str">
        <f t="shared" si="1"/>
        <v/>
      </c>
      <c r="Z16" s="44"/>
      <c r="AA16" s="44"/>
      <c r="AB16" s="32" t="str">
        <f t="shared" si="2"/>
        <v/>
      </c>
      <c r="AC16" s="32" t="str">
        <f>IF($A16="","",IFERROR(LEFT(INDEX('PRODUCT DATA'!$NO$2:$NO$25,MATCH($A16,'PRODUCT DATA'!$NP$2:$NP$25,0)),FIND("|",INDEX('PRODUCT DATA'!$NO$2:$NO$25,MATCH($A16,'PRODUCT DATA'!$NP$2:$NP$25,0)))-1),$A16))</f>
        <v/>
      </c>
      <c r="AD16" s="45"/>
      <c r="AE16" s="45" t="str">
        <f t="shared" si="3"/>
        <v/>
      </c>
    </row>
    <row r="17" spans="1:31" ht="15" customHeight="1" x14ac:dyDescent="0.25">
      <c r="A17" s="40"/>
      <c r="B17" s="43" t="str">
        <f>IF($A17="","",IFERROR(VLOOKUP($AC17,'PRODUCT DATA'!$NR$2:$NS$374,2,FALSE()),"UNKNOWN ITEM CODE - please check"))</f>
        <v/>
      </c>
      <c r="C17" s="39">
        <v>1</v>
      </c>
      <c r="D17" s="39"/>
      <c r="E17" s="40"/>
      <c r="F17" s="41"/>
      <c r="G17" s="39"/>
      <c r="H17" s="41"/>
      <c r="I17" s="41"/>
      <c r="J17" s="39"/>
      <c r="K17" s="41"/>
      <c r="L17" s="40"/>
      <c r="M17" s="40"/>
      <c r="N17" s="42" t="str">
        <f>IF($M17="","",IFERROR(INDEX('PRODUCT DATA'!$B$2:$B$58,MATCH(IF(UPPER($M17)="UK","GB",$M17),'PRODUCT DATA'!$B$2:$B$58,0)),IFERROR(INDEX('PRODUCT DATA'!$B$2:$B$58,MATCH(IF(UPPER($M17)="UK","GB",$M17),'PRODUCT DATA'!$A$2:$A$58,0)),"UNKNOWN COUNTRY - please check")))</f>
        <v/>
      </c>
      <c r="O17" s="41"/>
      <c r="P17" s="41"/>
      <c r="Q17" s="41"/>
      <c r="R17" s="41"/>
      <c r="S17" s="41"/>
      <c r="T17" s="41"/>
      <c r="U17" s="41"/>
      <c r="V17" s="43" t="str">
        <f t="shared" si="0"/>
        <v/>
      </c>
      <c r="W17" s="44" t="str">
        <f ca="1">IF(COUNTA($A17,$D17:$M17,$O17:$U17)=0,"",IF($A17="","Item Code; ","")&amp;IF(AND($A17&lt;&gt;"",ISNA(MATCH($AC17,'PRODUCT DATA'!$D$2:$D$394,0))),"Item Code; ","")&amp;IF($M17="","Country; ","")&amp;IF(AND($M17&lt;&gt;"",NOT(OR(NOT(ISNA(MATCH(IF(UPPER($M17)="UK","GB",$M17),'PRODUCT DATA'!$A$2:$A$58,0))),NOT(ISNA(MATCH(IF(UPPER($M17)="UK","GB",$M17),'PRODUCT DATA'!$B$2:$B$58,0)))))),"Country; ","")&amp;IF(AND($A17&lt;&gt;"",$M17&lt;&gt;"",NOT(ISNA(MATCH($AC17,'PRODUCT DATA'!$D$2:$D$394,0))),OR(NOT(ISNA(MATCH(IF(UPPER($M17)="UK","GB",$M17),'PRODUCT DATA'!$A$2:$A$58,0))),NOT(ISNA(MATCH(IF(UPPER($M17)="UK","GB",$M17),'PRODUCT DATA'!$B$2:$B$58,0)))),NOT(IFERROR(COUNTIF(OFFSET('PRODUCT DATA'!$F$2,0,MATCH($AC17,'PRODUCT DATA'!$F$1:$NN$1,0)-1,114,1),$N17)&gt;0,FALSE()))),IF(UPPER(IFERROR(OFFSET('PRODUCT DATA'!$C$2,MATCH($N17,'PRODUCT DATA'!$B$2:$B$58,0)-1,0),""))="NO","Alcohol Restriction; ","Item Code / Country combination; "),"")&amp;IF($C17="","Quantity; ","")&amp;IF(AND($C17&lt;&gt;"",OR(NOT(ISNUMBER($C17)),$C17&lt;1,$C17&gt;999,MOD($C17,1)&lt;&gt;0)),"Quantity; ","")&amp;IF($D17="","Recipient Name; ","")&amp;IF(LEN($D17)&gt;35,"Recipient Name; ","")&amp;IF($E17="","Recipient Phone; ","")&amp;IF(AND($E17&lt;&gt;"",OR(LEN($E17)&lt;6,LEN($E17)&gt;20,NOT(IFERROR(ISNUMBER(1*$E17),FALSE())))),"Recipient Phone; ","")&amp;IF(LEN($F17)&gt;35,"Recipient Company Name; ","")&amp;IF($G17="","Address Line 1; ","")&amp;IF(LEN($G17)&gt;35,"Address Line 1; ","")&amp;IF(LEN($H17)&gt;35,"Address Line 2; ","")&amp;IF(LEN($I17)&gt;35,"Address Line 3; ","")&amp;IF($J17="","Town; ","")&amp;IF(LEN($J17)&gt;35,"Town; ","")&amp;IF(AND($N17="IE",$K17=""),"County; ","")&amp;IF(LEN($AB17)&gt;35,"County; ","")&amp;IF(AND($L17="",AND($N17&lt;&gt;"AE",$N17&lt;&gt;"QA")),"Postcode; ","")&amp;IF(LEN($L17)&gt;35,"Postcode; ","")&amp;IF($AE17&lt;&gt;"","Postcode; ","")&amp;IF(LEN($O17)&gt;40,"Gift Message 1; ","")&amp;IF(LEN($P17)&gt;40,"Gift Message 2; ","")&amp;IF(LEN($Q17)&gt;40,"Gift Message 3; ","")&amp;IF(LEN($R17)&gt;40,"Gift Message 4; ","")&amp;IF(LEN($S17)&gt;40,"Gift Message 5; ","")&amp;IF(LEN($T17)&gt;40,"Gift Message 6; ","")&amp;IF(LEN($U17)&gt;40,"Gift Message 7; ",""))</f>
        <v/>
      </c>
      <c r="X17" s="44" t="str">
        <f ca="1">IF(COUNTA($A17,$D17:$M17,$O17:$U17)=0,"",IF($A17="","Enter the Item Code (hamper) - type it, paste it, or choose it from the dropdown. ","")&amp;IF(AND($A17&lt;&gt;"",ISNA(MATCH($AC17,'PRODUCT DATA'!$D$2:$D$394,0))),"This Item Code is not recognised. Check the code (case does not matter, but spelling and digits must match exactly) or choose it from the dropdown. ","")&amp;IF($M17="","Enter the Country after the Item Code - type or paste the name or the 2-letter code, or choose it from the dropdown. ","")&amp;IF(AND($M17&lt;&gt;"",NOT(OR(NOT(ISNA(MATCH(IF(UPPER($M17)="UK","GB",$M17),'PRODUCT DATA'!$A$2:$A$58,0))),NOT(ISNA(MATCH(IF(UPPER($M17)="UK","GB",$M17),'PRODUCT DATA'!$B$2:$B$58,0)))))),"This Country is not recognised as either a full name or a 2-letter code. Check the spelling (case does not matter) or choose it from the dropdown. ","")&amp;IF(AND($A17&lt;&gt;"",$M17&lt;&gt;"",NOT(ISNA(MATCH($AC17,'PRODUCT DATA'!$D$2:$D$394,0))),OR(NOT(ISNA(MATCH(IF(UPPER($M17)="UK","GB",$M17),'PRODUCT DATA'!$A$2:$A$58,0))),NOT(ISNA(MATCH(IF(UPPER($M17)="UK","GB",$M17),'PRODUCT DATA'!$B$2:$B$58,0)))),NOT(IFERROR(COUNTIF(OFFSET('PRODUCT DATA'!$F$2,0,MATCH($AC17,'PRODUCT DATA'!$F$1:$NN$1,0)-1,114,1),$N17)&gt;0,FALSE()))),IF(UPPER(IFERROR(OFFSET('PRODUCT DATA'!$C$2,MATCH($N17,'PRODUCT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"),"")&amp;IF($C17="","Enter Quantity. ","")&amp;IF(AND($C17&lt;&gt;"",OR(NOT(ISNUMBER($C17)),$C17&lt;1,$C17&gt;999,MOD($C17,1)&lt;&gt;0)),"Quantity must be a whole number from 1 to 999 (use a quantity above 1 only for a genuine bulk order of identical items to ONE address — otherwise use a separate row per recipient). ","")&amp;IF($D17="","Enter Recipient Name. ","")&amp;IF(LEN($D17)&gt;35,"Recipient Name exceeds 35 characters. ","")&amp;IF($E17="","Enter Recipient Phone. ","")&amp;IF(AND($E17&lt;&gt;"",OR(LEN($E17)&lt;6,LEN($E17)&gt;20,NOT(IFERROR(ISNUMBER(1*$E17),FALSE())))),"Phone must be the LOCAL number for the destination country: digits only, no +, spaces, or country code, 6 to 20 digits. ","")&amp;IF(LEN($F17)&gt;35,"Recipient Company Name exceeds 35 characters. ","")&amp;IF($G17="","Enter Address Line 1. ","")&amp;IF(LEN($G17)&gt;35,"Address Line 1 exceeds the 35-character SAP limit. ","")&amp;IF(LEN($H17)&gt;35,"Address Line 2 exceeds the 35-character SAP limit. ","")&amp;IF(LEN($I17)&gt;35,"Address Line 3 exceeds the 35-character SAP limit. ","")&amp;IF($J17="","Enter Town. This must never be left blank, even if there is no conventional town name. ","")&amp;IF(LEN($J17)&gt;35,"Town exceeds 35 characters. ","")&amp;IF(AND($N17="IE",$K17=""),"County is required for deliveries within the Republic of Ireland. ","")&amp;IF(LEN($AB17)&gt;35,"County exceeds 35 characters. ","")&amp;IF(AND($L17="",AND($N17&lt;&gt;"AE",$N17&lt;&gt;"QA")),"Postcode is required for the selected country. If there is genuinely no postcode, enter the first 3 characters of the area (e.g. D15). ","")&amp;IF(LEN($L17)&gt;35,"Postcode exceeds 35 characters. ","")&amp;IF($AE17&lt;&gt;"",$AE17,"")&amp;IF(LEN($O17)&gt;40,"Gift Message Line 1 exceeds 40 characters. ","")&amp;IF(LEN($P17)&gt;40,"Gift Message Line 2 exceeds 40 characters. ","")&amp;IF(LEN($Q17)&gt;40,"Gift Message Line 3 exceeds 40 characters. ","")&amp;IF(LEN($R17)&gt;40,"Gift Message Line 4 exceeds 40 characters. ","")&amp;IF(LEN($S17)&gt;40,"Gift Message Line 5 exceeds 40 characters. ","")&amp;IF(LEN($T17)&gt;40,"Gift Message Line 6 exceeds 40 characters. ","")&amp;IF(LEN($U17)&gt;40,"Gift Message Line 7 exceeds 40 characters. ",""))</f>
        <v/>
      </c>
      <c r="Y17" s="44" t="str">
        <f t="shared" si="1"/>
        <v/>
      </c>
      <c r="Z17" s="44"/>
      <c r="AA17" s="44"/>
      <c r="AB17" s="32" t="str">
        <f t="shared" si="2"/>
        <v/>
      </c>
      <c r="AC17" s="32" t="str">
        <f>IF($A17="","",IFERROR(LEFT(INDEX('PRODUCT DATA'!$NO$2:$NO$25,MATCH($A17,'PRODUCT DATA'!$NP$2:$NP$25,0)),FIND("|",INDEX('PRODUCT DATA'!$NO$2:$NO$25,MATCH($A17,'PRODUCT DATA'!$NP$2:$NP$25,0)))-1),$A17))</f>
        <v/>
      </c>
      <c r="AD17" s="45"/>
      <c r="AE17" s="45" t="str">
        <f t="shared" si="3"/>
        <v/>
      </c>
    </row>
    <row r="18" spans="1:31" ht="15" customHeight="1" x14ac:dyDescent="0.25">
      <c r="A18" s="40"/>
      <c r="B18" s="43" t="str">
        <f>IF($A18="","",IFERROR(VLOOKUP($AC18,'PRODUCT DATA'!$NR$2:$NS$374,2,FALSE()),"UNKNOWN ITEM CODE - please check"))</f>
        <v/>
      </c>
      <c r="C18" s="39">
        <v>1</v>
      </c>
      <c r="D18" s="39"/>
      <c r="E18" s="40"/>
      <c r="F18" s="41"/>
      <c r="G18" s="39"/>
      <c r="H18" s="41"/>
      <c r="I18" s="41"/>
      <c r="J18" s="39"/>
      <c r="K18" s="41"/>
      <c r="L18" s="40"/>
      <c r="M18" s="40"/>
      <c r="N18" s="42" t="str">
        <f>IF($M18="","",IFERROR(INDEX('PRODUCT DATA'!$B$2:$B$58,MATCH(IF(UPPER($M18)="UK","GB",$M18),'PRODUCT DATA'!$B$2:$B$58,0)),IFERROR(INDEX('PRODUCT DATA'!$B$2:$B$58,MATCH(IF(UPPER($M18)="UK","GB",$M18),'PRODUCT DATA'!$A$2:$A$58,0)),"UNKNOWN COUNTRY - please check")))</f>
        <v/>
      </c>
      <c r="O18" s="41"/>
      <c r="P18" s="41"/>
      <c r="Q18" s="41"/>
      <c r="R18" s="41"/>
      <c r="S18" s="41"/>
      <c r="T18" s="41"/>
      <c r="U18" s="41"/>
      <c r="V18" s="43" t="str">
        <f t="shared" si="0"/>
        <v/>
      </c>
      <c r="W18" s="44" t="str">
        <f ca="1">IF(COUNTA($A18,$D18:$M18,$O18:$U18)=0,"",IF($A18="","Item Code; ","")&amp;IF(AND($A18&lt;&gt;"",ISNA(MATCH($AC18,'PRODUCT DATA'!$D$2:$D$394,0))),"Item Code; ","")&amp;IF($M18="","Country; ","")&amp;IF(AND($M18&lt;&gt;"",NOT(OR(NOT(ISNA(MATCH(IF(UPPER($M18)="UK","GB",$M18),'PRODUCT DATA'!$A$2:$A$58,0))),NOT(ISNA(MATCH(IF(UPPER($M18)="UK","GB",$M18),'PRODUCT DATA'!$B$2:$B$58,0)))))),"Country; ","")&amp;IF(AND($A18&lt;&gt;"",$M18&lt;&gt;"",NOT(ISNA(MATCH($AC18,'PRODUCT DATA'!$D$2:$D$394,0))),OR(NOT(ISNA(MATCH(IF(UPPER($M18)="UK","GB",$M18),'PRODUCT DATA'!$A$2:$A$58,0))),NOT(ISNA(MATCH(IF(UPPER($M18)="UK","GB",$M18),'PRODUCT DATA'!$B$2:$B$58,0)))),NOT(IFERROR(COUNTIF(OFFSET('PRODUCT DATA'!$F$2,0,MATCH($AC18,'PRODUCT DATA'!$F$1:$NN$1,0)-1,114,1),$N18)&gt;0,FALSE()))),IF(UPPER(IFERROR(OFFSET('PRODUCT DATA'!$C$2,MATCH($N18,'PRODUCT DATA'!$B$2:$B$58,0)-1,0),""))="NO","Alcohol Restriction; ","Item Code / Country combination; "),"")&amp;IF($C18="","Quantity; ","")&amp;IF(AND($C18&lt;&gt;"",OR(NOT(ISNUMBER($C18)),$C18&lt;1,$C18&gt;999,MOD($C18,1)&lt;&gt;0)),"Quantity; ","")&amp;IF($D18="","Recipient Name; ","")&amp;IF(LEN($D18)&gt;35,"Recipient Name; ","")&amp;IF($E18="","Recipient Phone; ","")&amp;IF(AND($E18&lt;&gt;"",OR(LEN($E18)&lt;6,LEN($E18)&gt;20,NOT(IFERROR(ISNUMBER(1*$E18),FALSE())))),"Recipient Phone; ","")&amp;IF(LEN($F18)&gt;35,"Recipient Company Name; ","")&amp;IF($G18="","Address Line 1; ","")&amp;IF(LEN($G18)&gt;35,"Address Line 1; ","")&amp;IF(LEN($H18)&gt;35,"Address Line 2; ","")&amp;IF(LEN($I18)&gt;35,"Address Line 3; ","")&amp;IF($J18="","Town; ","")&amp;IF(LEN($J18)&gt;35,"Town; ","")&amp;IF(AND($N18="IE",$K18=""),"County; ","")&amp;IF(LEN($AB18)&gt;35,"County; ","")&amp;IF(AND($L18="",AND($N18&lt;&gt;"AE",$N18&lt;&gt;"QA")),"Postcode; ","")&amp;IF(LEN($L18)&gt;35,"Postcode; ","")&amp;IF($AE18&lt;&gt;"","Postcode; ","")&amp;IF(LEN($O18)&gt;40,"Gift Message 1; ","")&amp;IF(LEN($P18)&gt;40,"Gift Message 2; ","")&amp;IF(LEN($Q18)&gt;40,"Gift Message 3; ","")&amp;IF(LEN($R18)&gt;40,"Gift Message 4; ","")&amp;IF(LEN($S18)&gt;40,"Gift Message 5; ","")&amp;IF(LEN($T18)&gt;40,"Gift Message 6; ","")&amp;IF(LEN($U18)&gt;40,"Gift Message 7; ",""))</f>
        <v/>
      </c>
      <c r="X18" s="44" t="str">
        <f ca="1">IF(COUNTA($A18,$D18:$M18,$O18:$U18)=0,"",IF($A18="","Enter the Item Code (hamper) - type it, paste it, or choose it from the dropdown. ","")&amp;IF(AND($A18&lt;&gt;"",ISNA(MATCH($AC18,'PRODUCT DATA'!$D$2:$D$394,0))),"This Item Code is not recognised. Check the code (case does not matter, but spelling and digits must match exactly) or choose it from the dropdown. ","")&amp;IF($M18="","Enter the Country after the Item Code - type or paste the name or the 2-letter code, or choose it from the dropdown. ","")&amp;IF(AND($M18&lt;&gt;"",NOT(OR(NOT(ISNA(MATCH(IF(UPPER($M18)="UK","GB",$M18),'PRODUCT DATA'!$A$2:$A$58,0))),NOT(ISNA(MATCH(IF(UPPER($M18)="UK","GB",$M18),'PRODUCT DATA'!$B$2:$B$58,0)))))),"This Country is not recognised as either a full name or a 2-letter code. Check the spelling (case does not matter) or choose it from the dropdown. ","")&amp;IF(AND($A18&lt;&gt;"",$M18&lt;&gt;"",NOT(ISNA(MATCH($AC18,'PRODUCT DATA'!$D$2:$D$394,0))),OR(NOT(ISNA(MATCH(IF(UPPER($M18)="UK","GB",$M18),'PRODUCT DATA'!$A$2:$A$58,0))),NOT(ISNA(MATCH(IF(UPPER($M18)="UK","GB",$M18),'PRODUCT DATA'!$B$2:$B$58,0)))),NOT(IFERROR(COUNTIF(OFFSET('PRODUCT DATA'!$F$2,0,MATCH($AC18,'PRODUCT DATA'!$F$1:$NN$1,0)-1,114,1),$N18)&gt;0,FALSE()))),IF(UPPER(IFERROR(OFFSET('PRODUCT DATA'!$C$2,MATCH($N18,'PRODUCT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"),"")&amp;IF($C18="","Enter Quantity. ","")&amp;IF(AND($C18&lt;&gt;"",OR(NOT(ISNUMBER($C18)),$C18&lt;1,$C18&gt;999,MOD($C18,1)&lt;&gt;0)),"Quantity must be a whole number from 1 to 999 (use a quantity above 1 only for a genuine bulk order of identical items to ONE address — otherwise use a separate row per recipient). ","")&amp;IF($D18="","Enter Recipient Name. ","")&amp;IF(LEN($D18)&gt;35,"Recipient Name exceeds 35 characters. ","")&amp;IF($E18="","Enter Recipient Phone. ","")&amp;IF(AND($E18&lt;&gt;"",OR(LEN($E18)&lt;6,LEN($E18)&gt;20,NOT(IFERROR(ISNUMBER(1*$E18),FALSE())))),"Phone must be the LOCAL number for the destination country: digits only, no +, spaces, or country code, 6 to 20 digits. ","")&amp;IF(LEN($F18)&gt;35,"Recipient Company Name exceeds 35 characters. ","")&amp;IF($G18="","Enter Address Line 1. ","")&amp;IF(LEN($G18)&gt;35,"Address Line 1 exceeds the 35-character SAP limit. ","")&amp;IF(LEN($H18)&gt;35,"Address Line 2 exceeds the 35-character SAP limit. ","")&amp;IF(LEN($I18)&gt;35,"Address Line 3 exceeds the 35-character SAP limit. ","")&amp;IF($J18="","Enter Town. This must never be left blank, even if there is no conventional town name. ","")&amp;IF(LEN($J18)&gt;35,"Town exceeds 35 characters. ","")&amp;IF(AND($N18="IE",$K18=""),"County is required for deliveries within the Republic of Ireland. ","")&amp;IF(LEN($AB18)&gt;35,"County exceeds 35 characters. ","")&amp;IF(AND($L18="",AND($N18&lt;&gt;"AE",$N18&lt;&gt;"QA")),"Postcode is required for the selected country. If there is genuinely no postcode, enter the first 3 characters of the area (e.g. D15). ","")&amp;IF(LEN($L18)&gt;35,"Postcode exceeds 35 characters. ","")&amp;IF($AE18&lt;&gt;"",$AE18,"")&amp;IF(LEN($O18)&gt;40,"Gift Message Line 1 exceeds 40 characters. ","")&amp;IF(LEN($P18)&gt;40,"Gift Message Line 2 exceeds 40 characters. ","")&amp;IF(LEN($Q18)&gt;40,"Gift Message Line 3 exceeds 40 characters. ","")&amp;IF(LEN($R18)&gt;40,"Gift Message Line 4 exceeds 40 characters. ","")&amp;IF(LEN($S18)&gt;40,"Gift Message Line 5 exceeds 40 characters. ","")&amp;IF(LEN($T18)&gt;40,"Gift Message Line 6 exceeds 40 characters. ","")&amp;IF(LEN($U18)&gt;40,"Gift Message Line 7 exceeds 40 characters. ",""))</f>
        <v/>
      </c>
      <c r="Y18" s="44" t="str">
        <f t="shared" si="1"/>
        <v/>
      </c>
      <c r="Z18" s="44"/>
      <c r="AA18" s="44"/>
      <c r="AB18" s="32" t="str">
        <f t="shared" si="2"/>
        <v/>
      </c>
      <c r="AC18" s="32" t="str">
        <f>IF($A18="","",IFERROR(LEFT(INDEX('PRODUCT DATA'!$NO$2:$NO$25,MATCH($A18,'PRODUCT DATA'!$NP$2:$NP$25,0)),FIND("|",INDEX('PRODUCT DATA'!$NO$2:$NO$25,MATCH($A18,'PRODUCT DATA'!$NP$2:$NP$25,0)))-1),$A18))</f>
        <v/>
      </c>
      <c r="AD18" s="45"/>
      <c r="AE18" s="45" t="str">
        <f t="shared" si="3"/>
        <v/>
      </c>
    </row>
    <row r="19" spans="1:31" ht="15" customHeight="1" x14ac:dyDescent="0.25">
      <c r="A19" s="40"/>
      <c r="B19" s="43" t="str">
        <f>IF($A19="","",IFERROR(VLOOKUP($AC19,'PRODUCT DATA'!$NR$2:$NS$374,2,FALSE()),"UNKNOWN ITEM CODE - please check"))</f>
        <v/>
      </c>
      <c r="C19" s="39">
        <v>1</v>
      </c>
      <c r="D19" s="39"/>
      <c r="E19" s="40"/>
      <c r="F19" s="41"/>
      <c r="G19" s="39"/>
      <c r="H19" s="41"/>
      <c r="I19" s="41"/>
      <c r="J19" s="39"/>
      <c r="K19" s="41"/>
      <c r="L19" s="40"/>
      <c r="M19" s="40"/>
      <c r="N19" s="42" t="str">
        <f>IF($M19="","",IFERROR(INDEX('PRODUCT DATA'!$B$2:$B$58,MATCH(IF(UPPER($M19)="UK","GB",$M19),'PRODUCT DATA'!$B$2:$B$58,0)),IFERROR(INDEX('PRODUCT DATA'!$B$2:$B$58,MATCH(IF(UPPER($M19)="UK","GB",$M19),'PRODUCT DATA'!$A$2:$A$58,0)),"UNKNOWN COUNTRY - please check")))</f>
        <v/>
      </c>
      <c r="O19" s="41"/>
      <c r="P19" s="41"/>
      <c r="Q19" s="41"/>
      <c r="R19" s="41"/>
      <c r="S19" s="41"/>
      <c r="T19" s="41"/>
      <c r="U19" s="41"/>
      <c r="V19" s="43" t="str">
        <f t="shared" si="0"/>
        <v/>
      </c>
      <c r="W19" s="44" t="str">
        <f ca="1">IF(COUNTA($A19,$D19:$M19,$O19:$U19)=0,"",IF($A19="","Item Code; ","")&amp;IF(AND($A19&lt;&gt;"",ISNA(MATCH($AC19,'PRODUCT DATA'!$D$2:$D$394,0))),"Item Code; ","")&amp;IF($M19="","Country; ","")&amp;IF(AND($M19&lt;&gt;"",NOT(OR(NOT(ISNA(MATCH(IF(UPPER($M19)="UK","GB",$M19),'PRODUCT DATA'!$A$2:$A$58,0))),NOT(ISNA(MATCH(IF(UPPER($M19)="UK","GB",$M19),'PRODUCT DATA'!$B$2:$B$58,0)))))),"Country; ","")&amp;IF(AND($A19&lt;&gt;"",$M19&lt;&gt;"",NOT(ISNA(MATCH($AC19,'PRODUCT DATA'!$D$2:$D$394,0))),OR(NOT(ISNA(MATCH(IF(UPPER($M19)="UK","GB",$M19),'PRODUCT DATA'!$A$2:$A$58,0))),NOT(ISNA(MATCH(IF(UPPER($M19)="UK","GB",$M19),'PRODUCT DATA'!$B$2:$B$58,0)))),NOT(IFERROR(COUNTIF(OFFSET('PRODUCT DATA'!$F$2,0,MATCH($AC19,'PRODUCT DATA'!$F$1:$NN$1,0)-1,114,1),$N19)&gt;0,FALSE()))),IF(UPPER(IFERROR(OFFSET('PRODUCT DATA'!$C$2,MATCH($N19,'PRODUCT DATA'!$B$2:$B$58,0)-1,0),""))="NO","Alcohol Restriction; ","Item Code / Country combination; "),"")&amp;IF($C19="","Quantity; ","")&amp;IF(AND($C19&lt;&gt;"",OR(NOT(ISNUMBER($C19)),$C19&lt;1,$C19&gt;999,MOD($C19,1)&lt;&gt;0)),"Quantity; ","")&amp;IF($D19="","Recipient Name; ","")&amp;IF(LEN($D19)&gt;35,"Recipient Name; ","")&amp;IF($E19="","Recipient Phone; ","")&amp;IF(AND($E19&lt;&gt;"",OR(LEN($E19)&lt;6,LEN($E19)&gt;20,NOT(IFERROR(ISNUMBER(1*$E19),FALSE())))),"Recipient Phone; ","")&amp;IF(LEN($F19)&gt;35,"Recipient Company Name; ","")&amp;IF($G19="","Address Line 1; ","")&amp;IF(LEN($G19)&gt;35,"Address Line 1; ","")&amp;IF(LEN($H19)&gt;35,"Address Line 2; ","")&amp;IF(LEN($I19)&gt;35,"Address Line 3; ","")&amp;IF($J19="","Town; ","")&amp;IF(LEN($J19)&gt;35,"Town; ","")&amp;IF(AND($N19="IE",$K19=""),"County; ","")&amp;IF(LEN($AB19)&gt;35,"County; ","")&amp;IF(AND($L19="",AND($N19&lt;&gt;"AE",$N19&lt;&gt;"QA")),"Postcode; ","")&amp;IF(LEN($L19)&gt;35,"Postcode; ","")&amp;IF($AE19&lt;&gt;"","Postcode; ","")&amp;IF(LEN($O19)&gt;40,"Gift Message 1; ","")&amp;IF(LEN($P19)&gt;40,"Gift Message 2; ","")&amp;IF(LEN($Q19)&gt;40,"Gift Message 3; ","")&amp;IF(LEN($R19)&gt;40,"Gift Message 4; ","")&amp;IF(LEN($S19)&gt;40,"Gift Message 5; ","")&amp;IF(LEN($T19)&gt;40,"Gift Message 6; ","")&amp;IF(LEN($U19)&gt;40,"Gift Message 7; ",""))</f>
        <v/>
      </c>
      <c r="X19" s="44" t="str">
        <f ca="1">IF(COUNTA($A19,$D19:$M19,$O19:$U19)=0,"",IF($A19="","Enter the Item Code (hamper) - type it, paste it, or choose it from the dropdown. ","")&amp;IF(AND($A19&lt;&gt;"",ISNA(MATCH($AC19,'PRODUCT DATA'!$D$2:$D$394,0))),"This Item Code is not recognised. Check the code (case does not matter, but spelling and digits must match exactly) or choose it from the dropdown. ","")&amp;IF($M19="","Enter the Country after the Item Code - type or paste the name or the 2-letter code, or choose it from the dropdown. ","")&amp;IF(AND($M19&lt;&gt;"",NOT(OR(NOT(ISNA(MATCH(IF(UPPER($M19)="UK","GB",$M19),'PRODUCT DATA'!$A$2:$A$58,0))),NOT(ISNA(MATCH(IF(UPPER($M19)="UK","GB",$M19),'PRODUCT DATA'!$B$2:$B$58,0)))))),"This Country is not recognised as either a full name or a 2-letter code. Check the spelling (case does not matter) or choose it from the dropdown. ","")&amp;IF(AND($A19&lt;&gt;"",$M19&lt;&gt;"",NOT(ISNA(MATCH($AC19,'PRODUCT DATA'!$D$2:$D$394,0))),OR(NOT(ISNA(MATCH(IF(UPPER($M19)="UK","GB",$M19),'PRODUCT DATA'!$A$2:$A$58,0))),NOT(ISNA(MATCH(IF(UPPER($M19)="UK","GB",$M19),'PRODUCT DATA'!$B$2:$B$58,0)))),NOT(IFERROR(COUNTIF(OFFSET('PRODUCT DATA'!$F$2,0,MATCH($AC19,'PRODUCT DATA'!$F$1:$NN$1,0)-1,114,1),$N19)&gt;0,FALSE()))),IF(UPPER(IFERROR(OFFSET('PRODUCT DATA'!$C$2,MATCH($N19,'PRODUCT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"),"")&amp;IF($C19="","Enter Quantity. ","")&amp;IF(AND($C19&lt;&gt;"",OR(NOT(ISNUMBER($C19)),$C19&lt;1,$C19&gt;999,MOD($C19,1)&lt;&gt;0)),"Quantity must be a whole number from 1 to 999 (use a quantity above 1 only for a genuine bulk order of identical items to ONE address — otherwise use a separate row per recipient). ","")&amp;IF($D19="","Enter Recipient Name. ","")&amp;IF(LEN($D19)&gt;35,"Recipient Name exceeds 35 characters. ","")&amp;IF($E19="","Enter Recipient Phone. ","")&amp;IF(AND($E19&lt;&gt;"",OR(LEN($E19)&lt;6,LEN($E19)&gt;20,NOT(IFERROR(ISNUMBER(1*$E19),FALSE())))),"Phone must be the LOCAL number for the destination country: digits only, no +, spaces, or country code, 6 to 20 digits. ","")&amp;IF(LEN($F19)&gt;35,"Recipient Company Name exceeds 35 characters. ","")&amp;IF($G19="","Enter Address Line 1. ","")&amp;IF(LEN($G19)&gt;35,"Address Line 1 exceeds the 35-character SAP limit. ","")&amp;IF(LEN($H19)&gt;35,"Address Line 2 exceeds the 35-character SAP limit. ","")&amp;IF(LEN($I19)&gt;35,"Address Line 3 exceeds the 35-character SAP limit. ","")&amp;IF($J19="","Enter Town. This must never be left blank, even if there is no conventional town name. ","")&amp;IF(LEN($J19)&gt;35,"Town exceeds 35 characters. ","")&amp;IF(AND($N19="IE",$K19=""),"County is required for deliveries within the Republic of Ireland. ","")&amp;IF(LEN($AB19)&gt;35,"County exceeds 35 characters. ","")&amp;IF(AND($L19="",AND($N19&lt;&gt;"AE",$N19&lt;&gt;"QA")),"Postcode is required for the selected country. If there is genuinely no postcode, enter the first 3 characters of the area (e.g. D15). ","")&amp;IF(LEN($L19)&gt;35,"Postcode exceeds 35 characters. ","")&amp;IF($AE19&lt;&gt;"",$AE19,"")&amp;IF(LEN($O19)&gt;40,"Gift Message Line 1 exceeds 40 characters. ","")&amp;IF(LEN($P19)&gt;40,"Gift Message Line 2 exceeds 40 characters. ","")&amp;IF(LEN($Q19)&gt;40,"Gift Message Line 3 exceeds 40 characters. ","")&amp;IF(LEN($R19)&gt;40,"Gift Message Line 4 exceeds 40 characters. ","")&amp;IF(LEN($S19)&gt;40,"Gift Message Line 5 exceeds 40 characters. ","")&amp;IF(LEN($T19)&gt;40,"Gift Message Line 6 exceeds 40 characters. ","")&amp;IF(LEN($U19)&gt;40,"Gift Message Line 7 exceeds 40 characters. ",""))</f>
        <v/>
      </c>
      <c r="Y19" s="44" t="str">
        <f t="shared" si="1"/>
        <v/>
      </c>
      <c r="Z19" s="44"/>
      <c r="AA19" s="44"/>
      <c r="AB19" s="32" t="str">
        <f t="shared" si="2"/>
        <v/>
      </c>
      <c r="AC19" s="32" t="str">
        <f>IF($A19="","",IFERROR(LEFT(INDEX('PRODUCT DATA'!$NO$2:$NO$25,MATCH($A19,'PRODUCT DATA'!$NP$2:$NP$25,0)),FIND("|",INDEX('PRODUCT DATA'!$NO$2:$NO$25,MATCH($A19,'PRODUCT DATA'!$NP$2:$NP$25,0)))-1),$A19))</f>
        <v/>
      </c>
      <c r="AD19" s="45"/>
      <c r="AE19" s="45" t="str">
        <f t="shared" si="3"/>
        <v/>
      </c>
    </row>
    <row r="20" spans="1:31" ht="15" customHeight="1" x14ac:dyDescent="0.25">
      <c r="A20" s="40"/>
      <c r="B20" s="43" t="str">
        <f>IF($A20="","",IFERROR(VLOOKUP($AC20,'PRODUCT DATA'!$NR$2:$NS$374,2,FALSE()),"UNKNOWN ITEM CODE - please check"))</f>
        <v/>
      </c>
      <c r="C20" s="39">
        <v>1</v>
      </c>
      <c r="D20" s="39"/>
      <c r="E20" s="40"/>
      <c r="F20" s="41"/>
      <c r="G20" s="39"/>
      <c r="H20" s="41"/>
      <c r="I20" s="41"/>
      <c r="J20" s="39"/>
      <c r="K20" s="41"/>
      <c r="L20" s="40"/>
      <c r="M20" s="40"/>
      <c r="N20" s="42" t="str">
        <f>IF($M20="","",IFERROR(INDEX('PRODUCT DATA'!$B$2:$B$58,MATCH(IF(UPPER($M20)="UK","GB",$M20),'PRODUCT DATA'!$B$2:$B$58,0)),IFERROR(INDEX('PRODUCT DATA'!$B$2:$B$58,MATCH(IF(UPPER($M20)="UK","GB",$M20),'PRODUCT DATA'!$A$2:$A$58,0)),"UNKNOWN COUNTRY - please check")))</f>
        <v/>
      </c>
      <c r="O20" s="41"/>
      <c r="P20" s="41"/>
      <c r="Q20" s="41"/>
      <c r="R20" s="41"/>
      <c r="S20" s="41"/>
      <c r="T20" s="41"/>
      <c r="U20" s="41"/>
      <c r="V20" s="43" t="str">
        <f t="shared" si="0"/>
        <v/>
      </c>
      <c r="W20" s="44" t="str">
        <f ca="1">IF(COUNTA($A20,$D20:$M20,$O20:$U20)=0,"",IF($A20="","Item Code; ","")&amp;IF(AND($A20&lt;&gt;"",ISNA(MATCH($AC20,'PRODUCT DATA'!$D$2:$D$394,0))),"Item Code; ","")&amp;IF($M20="","Country; ","")&amp;IF(AND($M20&lt;&gt;"",NOT(OR(NOT(ISNA(MATCH(IF(UPPER($M20)="UK","GB",$M20),'PRODUCT DATA'!$A$2:$A$58,0))),NOT(ISNA(MATCH(IF(UPPER($M20)="UK","GB",$M20),'PRODUCT DATA'!$B$2:$B$58,0)))))),"Country; ","")&amp;IF(AND($A20&lt;&gt;"",$M20&lt;&gt;"",NOT(ISNA(MATCH($AC20,'PRODUCT DATA'!$D$2:$D$394,0))),OR(NOT(ISNA(MATCH(IF(UPPER($M20)="UK","GB",$M20),'PRODUCT DATA'!$A$2:$A$58,0))),NOT(ISNA(MATCH(IF(UPPER($M20)="UK","GB",$M20),'PRODUCT DATA'!$B$2:$B$58,0)))),NOT(IFERROR(COUNTIF(OFFSET('PRODUCT DATA'!$F$2,0,MATCH($AC20,'PRODUCT DATA'!$F$1:$NN$1,0)-1,114,1),$N20)&gt;0,FALSE()))),IF(UPPER(IFERROR(OFFSET('PRODUCT DATA'!$C$2,MATCH($N20,'PRODUCT DATA'!$B$2:$B$58,0)-1,0),""))="NO","Alcohol Restriction; ","Item Code / Country combination; "),"")&amp;IF($C20="","Quantity; ","")&amp;IF(AND($C20&lt;&gt;"",OR(NOT(ISNUMBER($C20)),$C20&lt;1,$C20&gt;999,MOD($C20,1)&lt;&gt;0)),"Quantity; ","")&amp;IF($D20="","Recipient Name; ","")&amp;IF(LEN($D20)&gt;35,"Recipient Name; ","")&amp;IF($E20="","Recipient Phone; ","")&amp;IF(AND($E20&lt;&gt;"",OR(LEN($E20)&lt;6,LEN($E20)&gt;20,NOT(IFERROR(ISNUMBER(1*$E20),FALSE())))),"Recipient Phone; ","")&amp;IF(LEN($F20)&gt;35,"Recipient Company Name; ","")&amp;IF($G20="","Address Line 1; ","")&amp;IF(LEN($G20)&gt;35,"Address Line 1; ","")&amp;IF(LEN($H20)&gt;35,"Address Line 2; ","")&amp;IF(LEN($I20)&gt;35,"Address Line 3; ","")&amp;IF($J20="","Town; ","")&amp;IF(LEN($J20)&gt;35,"Town; ","")&amp;IF(AND($N20="IE",$K20=""),"County; ","")&amp;IF(LEN($AB20)&gt;35,"County; ","")&amp;IF(AND($L20="",AND($N20&lt;&gt;"AE",$N20&lt;&gt;"QA")),"Postcode; ","")&amp;IF(LEN($L20)&gt;35,"Postcode; ","")&amp;IF($AE20&lt;&gt;"","Postcode; ","")&amp;IF(LEN($O20)&gt;40,"Gift Message 1; ","")&amp;IF(LEN($P20)&gt;40,"Gift Message 2; ","")&amp;IF(LEN($Q20)&gt;40,"Gift Message 3; ","")&amp;IF(LEN($R20)&gt;40,"Gift Message 4; ","")&amp;IF(LEN($S20)&gt;40,"Gift Message 5; ","")&amp;IF(LEN($T20)&gt;40,"Gift Message 6; ","")&amp;IF(LEN($U20)&gt;40,"Gift Message 7; ",""))</f>
        <v/>
      </c>
      <c r="X20" s="44" t="str">
        <f ca="1">IF(COUNTA($A20,$D20:$M20,$O20:$U20)=0,"",IF($A20="","Enter the Item Code (hamper) - type it, paste it, or choose it from the dropdown. ","")&amp;IF(AND($A20&lt;&gt;"",ISNA(MATCH($AC20,'PRODUCT DATA'!$D$2:$D$394,0))),"This Item Code is not recognised. Check the code (case does not matter, but spelling and digits must match exactly) or choose it from the dropdown. ","")&amp;IF($M20="","Enter the Country after the Item Code - type or paste the name or the 2-letter code, or choose it from the dropdown. ","")&amp;IF(AND($M20&lt;&gt;"",NOT(OR(NOT(ISNA(MATCH(IF(UPPER($M20)="UK","GB",$M20),'PRODUCT DATA'!$A$2:$A$58,0))),NOT(ISNA(MATCH(IF(UPPER($M20)="UK","GB",$M20),'PRODUCT DATA'!$B$2:$B$58,0)))))),"This Country is not recognised as either a full name or a 2-letter code. Check the spelling (case does not matter) or choose it from the dropdown. ","")&amp;IF(AND($A20&lt;&gt;"",$M20&lt;&gt;"",NOT(ISNA(MATCH($AC20,'PRODUCT DATA'!$D$2:$D$394,0))),OR(NOT(ISNA(MATCH(IF(UPPER($M20)="UK","GB",$M20),'PRODUCT DATA'!$A$2:$A$58,0))),NOT(ISNA(MATCH(IF(UPPER($M20)="UK","GB",$M20),'PRODUCT DATA'!$B$2:$B$58,0)))),NOT(IFERROR(COUNTIF(OFFSET('PRODUCT DATA'!$F$2,0,MATCH($AC20,'PRODUCT DATA'!$F$1:$NN$1,0)-1,114,1),$N20)&gt;0,FALSE()))),IF(UPPER(IFERROR(OFFSET('PRODUCT DATA'!$C$2,MATCH($N20,'PRODUCT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"),"")&amp;IF($C20="","Enter Quantity. ","")&amp;IF(AND($C20&lt;&gt;"",OR(NOT(ISNUMBER($C20)),$C20&lt;1,$C20&gt;999,MOD($C20,1)&lt;&gt;0)),"Quantity must be a whole number from 1 to 999 (use a quantity above 1 only for a genuine bulk order of identical items to ONE address — otherwise use a separate row per recipient). ","")&amp;IF($D20="","Enter Recipient Name. ","")&amp;IF(LEN($D20)&gt;35,"Recipient Name exceeds 35 characters. ","")&amp;IF($E20="","Enter Recipient Phone. ","")&amp;IF(AND($E20&lt;&gt;"",OR(LEN($E20)&lt;6,LEN($E20)&gt;20,NOT(IFERROR(ISNUMBER(1*$E20),FALSE())))),"Phone must be the LOCAL number for the destination country: digits only, no +, spaces, or country code, 6 to 20 digits. ","")&amp;IF(LEN($F20)&gt;35,"Recipient Company Name exceeds 35 characters. ","")&amp;IF($G20="","Enter Address Line 1. ","")&amp;IF(LEN($G20)&gt;35,"Address Line 1 exceeds the 35-character SAP limit. ","")&amp;IF(LEN($H20)&gt;35,"Address Line 2 exceeds the 35-character SAP limit. ","")&amp;IF(LEN($I20)&gt;35,"Address Line 3 exceeds the 35-character SAP limit. ","")&amp;IF($J20="","Enter Town. This must never be left blank, even if there is no conventional town name. ","")&amp;IF(LEN($J20)&gt;35,"Town exceeds 35 characters. ","")&amp;IF(AND($N20="IE",$K20=""),"County is required for deliveries within the Republic of Ireland. ","")&amp;IF(LEN($AB20)&gt;35,"County exceeds 35 characters. ","")&amp;IF(AND($L20="",AND($N20&lt;&gt;"AE",$N20&lt;&gt;"QA")),"Postcode is required for the selected country. If there is genuinely no postcode, enter the first 3 characters of the area (e.g. D15). ","")&amp;IF(LEN($L20)&gt;35,"Postcode exceeds 35 characters. ","")&amp;IF($AE20&lt;&gt;"",$AE20,"")&amp;IF(LEN($O20)&gt;40,"Gift Message Line 1 exceeds 40 characters. ","")&amp;IF(LEN($P20)&gt;40,"Gift Message Line 2 exceeds 40 characters. ","")&amp;IF(LEN($Q20)&gt;40,"Gift Message Line 3 exceeds 40 characters. ","")&amp;IF(LEN($R20)&gt;40,"Gift Message Line 4 exceeds 40 characters. ","")&amp;IF(LEN($S20)&gt;40,"Gift Message Line 5 exceeds 40 characters. ","")&amp;IF(LEN($T20)&gt;40,"Gift Message Line 6 exceeds 40 characters. ","")&amp;IF(LEN($U20)&gt;40,"Gift Message Line 7 exceeds 40 characters. ",""))</f>
        <v/>
      </c>
      <c r="Y20" s="44" t="str">
        <f t="shared" si="1"/>
        <v/>
      </c>
      <c r="Z20" s="44"/>
      <c r="AA20" s="44"/>
      <c r="AB20" s="32" t="str">
        <f t="shared" si="2"/>
        <v/>
      </c>
      <c r="AC20" s="32" t="str">
        <f>IF($A20="","",IFERROR(LEFT(INDEX('PRODUCT DATA'!$NO$2:$NO$25,MATCH($A20,'PRODUCT DATA'!$NP$2:$NP$25,0)),FIND("|",INDEX('PRODUCT DATA'!$NO$2:$NO$25,MATCH($A20,'PRODUCT DATA'!$NP$2:$NP$25,0)))-1),$A20))</f>
        <v/>
      </c>
      <c r="AD20" s="45"/>
      <c r="AE20" s="45" t="str">
        <f t="shared" si="3"/>
        <v/>
      </c>
    </row>
    <row r="21" spans="1:31" ht="15" customHeight="1" x14ac:dyDescent="0.25">
      <c r="A21" s="40"/>
      <c r="B21" s="43" t="str">
        <f>IF($A21="","",IFERROR(VLOOKUP($AC21,'PRODUCT DATA'!$NR$2:$NS$374,2,FALSE()),"UNKNOWN ITEM CODE - please check"))</f>
        <v/>
      </c>
      <c r="C21" s="39">
        <v>1</v>
      </c>
      <c r="D21" s="39"/>
      <c r="E21" s="40"/>
      <c r="F21" s="41"/>
      <c r="G21" s="39"/>
      <c r="H21" s="41"/>
      <c r="I21" s="41"/>
      <c r="J21" s="39"/>
      <c r="K21" s="41"/>
      <c r="L21" s="40"/>
      <c r="M21" s="40"/>
      <c r="N21" s="42" t="str">
        <f>IF($M21="","",IFERROR(INDEX('PRODUCT DATA'!$B$2:$B$58,MATCH(IF(UPPER($M21)="UK","GB",$M21),'PRODUCT DATA'!$B$2:$B$58,0)),IFERROR(INDEX('PRODUCT DATA'!$B$2:$B$58,MATCH(IF(UPPER($M21)="UK","GB",$M21),'PRODUCT DATA'!$A$2:$A$58,0)),"UNKNOWN COUNTRY - please check")))</f>
        <v/>
      </c>
      <c r="O21" s="41"/>
      <c r="P21" s="41"/>
      <c r="Q21" s="41"/>
      <c r="R21" s="41"/>
      <c r="S21" s="41"/>
      <c r="T21" s="41"/>
      <c r="U21" s="41"/>
      <c r="V21" s="43" t="str">
        <f t="shared" si="0"/>
        <v/>
      </c>
      <c r="W21" s="44" t="str">
        <f ca="1">IF(COUNTA($A21,$D21:$M21,$O21:$U21)=0,"",IF($A21="","Item Code; ","")&amp;IF(AND($A21&lt;&gt;"",ISNA(MATCH($AC21,'PRODUCT DATA'!$D$2:$D$394,0))),"Item Code; ","")&amp;IF($M21="","Country; ","")&amp;IF(AND($M21&lt;&gt;"",NOT(OR(NOT(ISNA(MATCH(IF(UPPER($M21)="UK","GB",$M21),'PRODUCT DATA'!$A$2:$A$58,0))),NOT(ISNA(MATCH(IF(UPPER($M21)="UK","GB",$M21),'PRODUCT DATA'!$B$2:$B$58,0)))))),"Country; ","")&amp;IF(AND($A21&lt;&gt;"",$M21&lt;&gt;"",NOT(ISNA(MATCH($AC21,'PRODUCT DATA'!$D$2:$D$394,0))),OR(NOT(ISNA(MATCH(IF(UPPER($M21)="UK","GB",$M21),'PRODUCT DATA'!$A$2:$A$58,0))),NOT(ISNA(MATCH(IF(UPPER($M21)="UK","GB",$M21),'PRODUCT DATA'!$B$2:$B$58,0)))),NOT(IFERROR(COUNTIF(OFFSET('PRODUCT DATA'!$F$2,0,MATCH($AC21,'PRODUCT DATA'!$F$1:$NN$1,0)-1,114,1),$N21)&gt;0,FALSE()))),IF(UPPER(IFERROR(OFFSET('PRODUCT DATA'!$C$2,MATCH($N21,'PRODUCT DATA'!$B$2:$B$58,0)-1,0),""))="NO","Alcohol Restriction; ","Item Code / Country combination; "),"")&amp;IF($C21="","Quantity; ","")&amp;IF(AND($C21&lt;&gt;"",OR(NOT(ISNUMBER($C21)),$C21&lt;1,$C21&gt;999,MOD($C21,1)&lt;&gt;0)),"Quantity; ","")&amp;IF($D21="","Recipient Name; ","")&amp;IF(LEN($D21)&gt;35,"Recipient Name; ","")&amp;IF($E21="","Recipient Phone; ","")&amp;IF(AND($E21&lt;&gt;"",OR(LEN($E21)&lt;6,LEN($E21)&gt;20,NOT(IFERROR(ISNUMBER(1*$E21),FALSE())))),"Recipient Phone; ","")&amp;IF(LEN($F21)&gt;35,"Recipient Company Name; ","")&amp;IF($G21="","Address Line 1; ","")&amp;IF(LEN($G21)&gt;35,"Address Line 1; ","")&amp;IF(LEN($H21)&gt;35,"Address Line 2; ","")&amp;IF(LEN($I21)&gt;35,"Address Line 3; ","")&amp;IF($J21="","Town; ","")&amp;IF(LEN($J21)&gt;35,"Town; ","")&amp;IF(AND($N21="IE",$K21=""),"County; ","")&amp;IF(LEN($AB21)&gt;35,"County; ","")&amp;IF(AND($L21="",AND($N21&lt;&gt;"AE",$N21&lt;&gt;"QA")),"Postcode; ","")&amp;IF(LEN($L21)&gt;35,"Postcode; ","")&amp;IF($AE21&lt;&gt;"","Postcode; ","")&amp;IF(LEN($O21)&gt;40,"Gift Message 1; ","")&amp;IF(LEN($P21)&gt;40,"Gift Message 2; ","")&amp;IF(LEN($Q21)&gt;40,"Gift Message 3; ","")&amp;IF(LEN($R21)&gt;40,"Gift Message 4; ","")&amp;IF(LEN($S21)&gt;40,"Gift Message 5; ","")&amp;IF(LEN($T21)&gt;40,"Gift Message 6; ","")&amp;IF(LEN($U21)&gt;40,"Gift Message 7; ",""))</f>
        <v/>
      </c>
      <c r="X21" s="44" t="str">
        <f ca="1">IF(COUNTA($A21,$D21:$M21,$O21:$U21)=0,"",IF($A21="","Enter the Item Code (hamper) - type it, paste it, or choose it from the dropdown. ","")&amp;IF(AND($A21&lt;&gt;"",ISNA(MATCH($AC21,'PRODUCT DATA'!$D$2:$D$394,0))),"This Item Code is not recognised. Check the code (case does not matter, but spelling and digits must match exactly) or choose it from the dropdown. ","")&amp;IF($M21="","Enter the Country after the Item Code - type or paste the name or the 2-letter code, or choose it from the dropdown. ","")&amp;IF(AND($M21&lt;&gt;"",NOT(OR(NOT(ISNA(MATCH(IF(UPPER($M21)="UK","GB",$M21),'PRODUCT DATA'!$A$2:$A$58,0))),NOT(ISNA(MATCH(IF(UPPER($M21)="UK","GB",$M21),'PRODUCT DATA'!$B$2:$B$58,0)))))),"This Country is not recognised as either a full name or a 2-letter code. Check the spelling (case does not matter) or choose it from the dropdown. ","")&amp;IF(AND($A21&lt;&gt;"",$M21&lt;&gt;"",NOT(ISNA(MATCH($AC21,'PRODUCT DATA'!$D$2:$D$394,0))),OR(NOT(ISNA(MATCH(IF(UPPER($M21)="UK","GB",$M21),'PRODUCT DATA'!$A$2:$A$58,0))),NOT(ISNA(MATCH(IF(UPPER($M21)="UK","GB",$M21),'PRODUCT DATA'!$B$2:$B$58,0)))),NOT(IFERROR(COUNTIF(OFFSET('PRODUCT DATA'!$F$2,0,MATCH($AC21,'PRODUCT DATA'!$F$1:$NN$1,0)-1,114,1),$N21)&gt;0,FALSE()))),IF(UPPER(IFERROR(OFFSET('PRODUCT DATA'!$C$2,MATCH($N21,'PRODUCT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"),"")&amp;IF($C21="","Enter Quantity. ","")&amp;IF(AND($C21&lt;&gt;"",OR(NOT(ISNUMBER($C21)),$C21&lt;1,$C21&gt;999,MOD($C21,1)&lt;&gt;0)),"Quantity must be a whole number from 1 to 999 (use a quantity above 1 only for a genuine bulk order of identical items to ONE address — otherwise use a separate row per recipient). ","")&amp;IF($D21="","Enter Recipient Name. ","")&amp;IF(LEN($D21)&gt;35,"Recipient Name exceeds 35 characters. ","")&amp;IF($E21="","Enter Recipient Phone. ","")&amp;IF(AND($E21&lt;&gt;"",OR(LEN($E21)&lt;6,LEN($E21)&gt;20,NOT(IFERROR(ISNUMBER(1*$E21),FALSE())))),"Phone must be the LOCAL number for the destination country: digits only, no +, spaces, or country code, 6 to 20 digits. ","")&amp;IF(LEN($F21)&gt;35,"Recipient Company Name exceeds 35 characters. ","")&amp;IF($G21="","Enter Address Line 1. ","")&amp;IF(LEN($G21)&gt;35,"Address Line 1 exceeds the 35-character SAP limit. ","")&amp;IF(LEN($H21)&gt;35,"Address Line 2 exceeds the 35-character SAP limit. ","")&amp;IF(LEN($I21)&gt;35,"Address Line 3 exceeds the 35-character SAP limit. ","")&amp;IF($J21="","Enter Town. This must never be left blank, even if there is no conventional town name. ","")&amp;IF(LEN($J21)&gt;35,"Town exceeds 35 characters. ","")&amp;IF(AND($N21="IE",$K21=""),"County is required for deliveries within the Republic of Ireland. ","")&amp;IF(LEN($AB21)&gt;35,"County exceeds 35 characters. ","")&amp;IF(AND($L21="",AND($N21&lt;&gt;"AE",$N21&lt;&gt;"QA")),"Postcode is required for the selected country. If there is genuinely no postcode, enter the first 3 characters of the area (e.g. D15). ","")&amp;IF(LEN($L21)&gt;35,"Postcode exceeds 35 characters. ","")&amp;IF($AE21&lt;&gt;"",$AE21,"")&amp;IF(LEN($O21)&gt;40,"Gift Message Line 1 exceeds 40 characters. ","")&amp;IF(LEN($P21)&gt;40,"Gift Message Line 2 exceeds 40 characters. ","")&amp;IF(LEN($Q21)&gt;40,"Gift Message Line 3 exceeds 40 characters. ","")&amp;IF(LEN($R21)&gt;40,"Gift Message Line 4 exceeds 40 characters. ","")&amp;IF(LEN($S21)&gt;40,"Gift Message Line 5 exceeds 40 characters. ","")&amp;IF(LEN($T21)&gt;40,"Gift Message Line 6 exceeds 40 characters. ","")&amp;IF(LEN($U21)&gt;40,"Gift Message Line 7 exceeds 40 characters. ",""))</f>
        <v/>
      </c>
      <c r="Y21" s="44" t="str">
        <f t="shared" si="1"/>
        <v/>
      </c>
      <c r="Z21" s="44"/>
      <c r="AA21" s="44"/>
      <c r="AB21" s="32" t="str">
        <f t="shared" si="2"/>
        <v/>
      </c>
      <c r="AC21" s="32" t="str">
        <f>IF($A21="","",IFERROR(LEFT(INDEX('PRODUCT DATA'!$NO$2:$NO$25,MATCH($A21,'PRODUCT DATA'!$NP$2:$NP$25,0)),FIND("|",INDEX('PRODUCT DATA'!$NO$2:$NO$25,MATCH($A21,'PRODUCT DATA'!$NP$2:$NP$25,0)))-1),$A21))</f>
        <v/>
      </c>
      <c r="AD21" s="45"/>
      <c r="AE21" s="45" t="str">
        <f t="shared" si="3"/>
        <v/>
      </c>
    </row>
    <row r="22" spans="1:31" ht="15" customHeight="1" x14ac:dyDescent="0.25">
      <c r="A22" s="40"/>
      <c r="B22" s="43" t="str">
        <f>IF($A22="","",IFERROR(VLOOKUP($AC22,'PRODUCT DATA'!$NR$2:$NS$374,2,FALSE()),"UNKNOWN ITEM CODE - please check"))</f>
        <v/>
      </c>
      <c r="C22" s="39">
        <v>1</v>
      </c>
      <c r="D22" s="39"/>
      <c r="E22" s="40"/>
      <c r="F22" s="41"/>
      <c r="G22" s="39"/>
      <c r="H22" s="41"/>
      <c r="I22" s="41"/>
      <c r="J22" s="39"/>
      <c r="K22" s="41"/>
      <c r="L22" s="40"/>
      <c r="M22" s="40"/>
      <c r="N22" s="42" t="str">
        <f>IF($M22="","",IFERROR(INDEX('PRODUCT DATA'!$B$2:$B$58,MATCH(IF(UPPER($M22)="UK","GB",$M22),'PRODUCT DATA'!$B$2:$B$58,0)),IFERROR(INDEX('PRODUCT DATA'!$B$2:$B$58,MATCH(IF(UPPER($M22)="UK","GB",$M22),'PRODUCT DATA'!$A$2:$A$58,0)),"UNKNOWN COUNTRY - please check")))</f>
        <v/>
      </c>
      <c r="O22" s="41"/>
      <c r="P22" s="41"/>
      <c r="Q22" s="41"/>
      <c r="R22" s="41"/>
      <c r="S22" s="41"/>
      <c r="T22" s="41"/>
      <c r="U22" s="41"/>
      <c r="V22" s="43" t="str">
        <f t="shared" si="0"/>
        <v/>
      </c>
      <c r="W22" s="44" t="str">
        <f ca="1">IF(COUNTA($A22,$D22:$M22,$O22:$U22)=0,"",IF($A22="","Item Code; ","")&amp;IF(AND($A22&lt;&gt;"",ISNA(MATCH($AC22,'PRODUCT DATA'!$D$2:$D$394,0))),"Item Code; ","")&amp;IF($M22="","Country; ","")&amp;IF(AND($M22&lt;&gt;"",NOT(OR(NOT(ISNA(MATCH(IF(UPPER($M22)="UK","GB",$M22),'PRODUCT DATA'!$A$2:$A$58,0))),NOT(ISNA(MATCH(IF(UPPER($M22)="UK","GB",$M22),'PRODUCT DATA'!$B$2:$B$58,0)))))),"Country; ","")&amp;IF(AND($A22&lt;&gt;"",$M22&lt;&gt;"",NOT(ISNA(MATCH($AC22,'PRODUCT DATA'!$D$2:$D$394,0))),OR(NOT(ISNA(MATCH(IF(UPPER($M22)="UK","GB",$M22),'PRODUCT DATA'!$A$2:$A$58,0))),NOT(ISNA(MATCH(IF(UPPER($M22)="UK","GB",$M22),'PRODUCT DATA'!$B$2:$B$58,0)))),NOT(IFERROR(COUNTIF(OFFSET('PRODUCT DATA'!$F$2,0,MATCH($AC22,'PRODUCT DATA'!$F$1:$NN$1,0)-1,114,1),$N22)&gt;0,FALSE()))),IF(UPPER(IFERROR(OFFSET('PRODUCT DATA'!$C$2,MATCH($N22,'PRODUCT DATA'!$B$2:$B$58,0)-1,0),""))="NO","Alcohol Restriction; ","Item Code / Country combination; "),"")&amp;IF($C22="","Quantity; ","")&amp;IF(AND($C22&lt;&gt;"",OR(NOT(ISNUMBER($C22)),$C22&lt;1,$C22&gt;999,MOD($C22,1)&lt;&gt;0)),"Quantity; ","")&amp;IF($D22="","Recipient Name; ","")&amp;IF(LEN($D22)&gt;35,"Recipient Name; ","")&amp;IF($E22="","Recipient Phone; ","")&amp;IF(AND($E22&lt;&gt;"",OR(LEN($E22)&lt;6,LEN($E22)&gt;20,NOT(IFERROR(ISNUMBER(1*$E22),FALSE())))),"Recipient Phone; ","")&amp;IF(LEN($F22)&gt;35,"Recipient Company Name; ","")&amp;IF($G22="","Address Line 1; ","")&amp;IF(LEN($G22)&gt;35,"Address Line 1; ","")&amp;IF(LEN($H22)&gt;35,"Address Line 2; ","")&amp;IF(LEN($I22)&gt;35,"Address Line 3; ","")&amp;IF($J22="","Town; ","")&amp;IF(LEN($J22)&gt;35,"Town; ","")&amp;IF(AND($N22="IE",$K22=""),"County; ","")&amp;IF(LEN($AB22)&gt;35,"County; ","")&amp;IF(AND($L22="",AND($N22&lt;&gt;"AE",$N22&lt;&gt;"QA")),"Postcode; ","")&amp;IF(LEN($L22)&gt;35,"Postcode; ","")&amp;IF($AE22&lt;&gt;"","Postcode; ","")&amp;IF(LEN($O22)&gt;40,"Gift Message 1; ","")&amp;IF(LEN($P22)&gt;40,"Gift Message 2; ","")&amp;IF(LEN($Q22)&gt;40,"Gift Message 3; ","")&amp;IF(LEN($R22)&gt;40,"Gift Message 4; ","")&amp;IF(LEN($S22)&gt;40,"Gift Message 5; ","")&amp;IF(LEN($T22)&gt;40,"Gift Message 6; ","")&amp;IF(LEN($U22)&gt;40,"Gift Message 7; ",""))</f>
        <v/>
      </c>
      <c r="X22" s="44" t="str">
        <f ca="1">IF(COUNTA($A22,$D22:$M22,$O22:$U22)=0,"",IF($A22="","Enter the Item Code (hamper) - type it, paste it, or choose it from the dropdown. ","")&amp;IF(AND($A22&lt;&gt;"",ISNA(MATCH($AC22,'PRODUCT DATA'!$D$2:$D$394,0))),"This Item Code is not recognised. Check the code (case does not matter, but spelling and digits must match exactly) or choose it from the dropdown. ","")&amp;IF($M22="","Enter the Country after the Item Code - type or paste the name or the 2-letter code, or choose it from the dropdown. ","")&amp;IF(AND($M22&lt;&gt;"",NOT(OR(NOT(ISNA(MATCH(IF(UPPER($M22)="UK","GB",$M22),'PRODUCT DATA'!$A$2:$A$58,0))),NOT(ISNA(MATCH(IF(UPPER($M22)="UK","GB",$M22),'PRODUCT DATA'!$B$2:$B$58,0)))))),"This Country is not recognised as either a full name or a 2-letter code. Check the spelling (case does not matter) or choose it from the dropdown. ","")&amp;IF(AND($A22&lt;&gt;"",$M22&lt;&gt;"",NOT(ISNA(MATCH($AC22,'PRODUCT DATA'!$D$2:$D$394,0))),OR(NOT(ISNA(MATCH(IF(UPPER($M22)="UK","GB",$M22),'PRODUCT DATA'!$A$2:$A$58,0))),NOT(ISNA(MATCH(IF(UPPER($M22)="UK","GB",$M22),'PRODUCT DATA'!$B$2:$B$58,0)))),NOT(IFERROR(COUNTIF(OFFSET('PRODUCT DATA'!$F$2,0,MATCH($AC22,'PRODUCT DATA'!$F$1:$NN$1,0)-1,114,1),$N22)&gt;0,FALSE()))),IF(UPPER(IFERROR(OFFSET('PRODUCT DATA'!$C$2,MATCH($N22,'PRODUCT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"),"")&amp;IF($C22="","Enter Quantity. ","")&amp;IF(AND($C22&lt;&gt;"",OR(NOT(ISNUMBER($C22)),$C22&lt;1,$C22&gt;999,MOD($C22,1)&lt;&gt;0)),"Quantity must be a whole number from 1 to 999 (use a quantity above 1 only for a genuine bulk order of identical items to ONE address — otherwise use a separate row per recipient). ","")&amp;IF($D22="","Enter Recipient Name. ","")&amp;IF(LEN($D22)&gt;35,"Recipient Name exceeds 35 characters. ","")&amp;IF($E22="","Enter Recipient Phone. ","")&amp;IF(AND($E22&lt;&gt;"",OR(LEN($E22)&lt;6,LEN($E22)&gt;20,NOT(IFERROR(ISNUMBER(1*$E22),FALSE())))),"Phone must be the LOCAL number for the destination country: digits only, no +, spaces, or country code, 6 to 20 digits. ","")&amp;IF(LEN($F22)&gt;35,"Recipient Company Name exceeds 35 characters. ","")&amp;IF($G22="","Enter Address Line 1. ","")&amp;IF(LEN($G22)&gt;35,"Address Line 1 exceeds the 35-character SAP limit. ","")&amp;IF(LEN($H22)&gt;35,"Address Line 2 exceeds the 35-character SAP limit. ","")&amp;IF(LEN($I22)&gt;35,"Address Line 3 exceeds the 35-character SAP limit. ","")&amp;IF($J22="","Enter Town. This must never be left blank, even if there is no conventional town name. ","")&amp;IF(LEN($J22)&gt;35,"Town exceeds 35 characters. ","")&amp;IF(AND($N22="IE",$K22=""),"County is required for deliveries within the Republic of Ireland. ","")&amp;IF(LEN($AB22)&gt;35,"County exceeds 35 characters. ","")&amp;IF(AND($L22="",AND($N22&lt;&gt;"AE",$N22&lt;&gt;"QA")),"Postcode is required for the selected country. If there is genuinely no postcode, enter the first 3 characters of the area (e.g. D15). ","")&amp;IF(LEN($L22)&gt;35,"Postcode exceeds 35 characters. ","")&amp;IF($AE22&lt;&gt;"",$AE22,"")&amp;IF(LEN($O22)&gt;40,"Gift Message Line 1 exceeds 40 characters. ","")&amp;IF(LEN($P22)&gt;40,"Gift Message Line 2 exceeds 40 characters. ","")&amp;IF(LEN($Q22)&gt;40,"Gift Message Line 3 exceeds 40 characters. ","")&amp;IF(LEN($R22)&gt;40,"Gift Message Line 4 exceeds 40 characters. ","")&amp;IF(LEN($S22)&gt;40,"Gift Message Line 5 exceeds 40 characters. ","")&amp;IF(LEN($T22)&gt;40,"Gift Message Line 6 exceeds 40 characters. ","")&amp;IF(LEN($U22)&gt;40,"Gift Message Line 7 exceeds 40 characters. ",""))</f>
        <v/>
      </c>
      <c r="Y22" s="44" t="str">
        <f t="shared" si="1"/>
        <v/>
      </c>
      <c r="Z22" s="44"/>
      <c r="AA22" s="44"/>
      <c r="AB22" s="32" t="str">
        <f t="shared" si="2"/>
        <v/>
      </c>
      <c r="AC22" s="32" t="str">
        <f>IF($A22="","",IFERROR(LEFT(INDEX('PRODUCT DATA'!$NO$2:$NO$25,MATCH($A22,'PRODUCT DATA'!$NP$2:$NP$25,0)),FIND("|",INDEX('PRODUCT DATA'!$NO$2:$NO$25,MATCH($A22,'PRODUCT DATA'!$NP$2:$NP$25,0)))-1),$A22))</f>
        <v/>
      </c>
      <c r="AD22" s="45"/>
      <c r="AE22" s="45" t="str">
        <f t="shared" si="3"/>
        <v/>
      </c>
    </row>
    <row r="23" spans="1:31" ht="15" customHeight="1" x14ac:dyDescent="0.25">
      <c r="A23" s="40"/>
      <c r="B23" s="43" t="str">
        <f>IF($A23="","",IFERROR(VLOOKUP($AC23,'PRODUCT DATA'!$NR$2:$NS$374,2,FALSE()),"UNKNOWN ITEM CODE - please check"))</f>
        <v/>
      </c>
      <c r="C23" s="39">
        <v>1</v>
      </c>
      <c r="D23" s="39"/>
      <c r="E23" s="40"/>
      <c r="F23" s="41"/>
      <c r="G23" s="39"/>
      <c r="H23" s="41"/>
      <c r="I23" s="41"/>
      <c r="J23" s="39"/>
      <c r="K23" s="41"/>
      <c r="L23" s="40"/>
      <c r="M23" s="40"/>
      <c r="N23" s="42" t="str">
        <f>IF($M23="","",IFERROR(INDEX('PRODUCT DATA'!$B$2:$B$58,MATCH(IF(UPPER($M23)="UK","GB",$M23),'PRODUCT DATA'!$B$2:$B$58,0)),IFERROR(INDEX('PRODUCT DATA'!$B$2:$B$58,MATCH(IF(UPPER($M23)="UK","GB",$M23),'PRODUCT DATA'!$A$2:$A$58,0)),"UNKNOWN COUNTRY - please check")))</f>
        <v/>
      </c>
      <c r="O23" s="41"/>
      <c r="P23" s="41"/>
      <c r="Q23" s="41"/>
      <c r="R23" s="41"/>
      <c r="S23" s="41"/>
      <c r="T23" s="41"/>
      <c r="U23" s="41"/>
      <c r="V23" s="43" t="str">
        <f t="shared" si="0"/>
        <v/>
      </c>
      <c r="W23" s="44" t="str">
        <f ca="1">IF(COUNTA($A23,$D23:$M23,$O23:$U23)=0,"",IF($A23="","Item Code; ","")&amp;IF(AND($A23&lt;&gt;"",ISNA(MATCH($AC23,'PRODUCT DATA'!$D$2:$D$394,0))),"Item Code; ","")&amp;IF($M23="","Country; ","")&amp;IF(AND($M23&lt;&gt;"",NOT(OR(NOT(ISNA(MATCH(IF(UPPER($M23)="UK","GB",$M23),'PRODUCT DATA'!$A$2:$A$58,0))),NOT(ISNA(MATCH(IF(UPPER($M23)="UK","GB",$M23),'PRODUCT DATA'!$B$2:$B$58,0)))))),"Country; ","")&amp;IF(AND($A23&lt;&gt;"",$M23&lt;&gt;"",NOT(ISNA(MATCH($AC23,'PRODUCT DATA'!$D$2:$D$394,0))),OR(NOT(ISNA(MATCH(IF(UPPER($M23)="UK","GB",$M23),'PRODUCT DATA'!$A$2:$A$58,0))),NOT(ISNA(MATCH(IF(UPPER($M23)="UK","GB",$M23),'PRODUCT DATA'!$B$2:$B$58,0)))),NOT(IFERROR(COUNTIF(OFFSET('PRODUCT DATA'!$F$2,0,MATCH($AC23,'PRODUCT DATA'!$F$1:$NN$1,0)-1,114,1),$N23)&gt;0,FALSE()))),IF(UPPER(IFERROR(OFFSET('PRODUCT DATA'!$C$2,MATCH($N23,'PRODUCT DATA'!$B$2:$B$58,0)-1,0),""))="NO","Alcohol Restriction; ","Item Code / Country combination; "),"")&amp;IF($C23="","Quantity; ","")&amp;IF(AND($C23&lt;&gt;"",OR(NOT(ISNUMBER($C23)),$C23&lt;1,$C23&gt;999,MOD($C23,1)&lt;&gt;0)),"Quantity; ","")&amp;IF($D23="","Recipient Name; ","")&amp;IF(LEN($D23)&gt;35,"Recipient Name; ","")&amp;IF($E23="","Recipient Phone; ","")&amp;IF(AND($E23&lt;&gt;"",OR(LEN($E23)&lt;6,LEN($E23)&gt;20,NOT(IFERROR(ISNUMBER(1*$E23),FALSE())))),"Recipient Phone; ","")&amp;IF(LEN($F23)&gt;35,"Recipient Company Name; ","")&amp;IF($G23="","Address Line 1; ","")&amp;IF(LEN($G23)&gt;35,"Address Line 1; ","")&amp;IF(LEN($H23)&gt;35,"Address Line 2; ","")&amp;IF(LEN($I23)&gt;35,"Address Line 3; ","")&amp;IF($J23="","Town; ","")&amp;IF(LEN($J23)&gt;35,"Town; ","")&amp;IF(AND($N23="IE",$K23=""),"County; ","")&amp;IF(LEN($AB23)&gt;35,"County; ","")&amp;IF(AND($L23="",AND($N23&lt;&gt;"AE",$N23&lt;&gt;"QA")),"Postcode; ","")&amp;IF(LEN($L23)&gt;35,"Postcode; ","")&amp;IF($AE23&lt;&gt;"","Postcode; ","")&amp;IF(LEN($O23)&gt;40,"Gift Message 1; ","")&amp;IF(LEN($P23)&gt;40,"Gift Message 2; ","")&amp;IF(LEN($Q23)&gt;40,"Gift Message 3; ","")&amp;IF(LEN($R23)&gt;40,"Gift Message 4; ","")&amp;IF(LEN($S23)&gt;40,"Gift Message 5; ","")&amp;IF(LEN($T23)&gt;40,"Gift Message 6; ","")&amp;IF(LEN($U23)&gt;40,"Gift Message 7; ",""))</f>
        <v/>
      </c>
      <c r="X23" s="44" t="str">
        <f ca="1">IF(COUNTA($A23,$D23:$M23,$O23:$U23)=0,"",IF($A23="","Enter the Item Code (hamper) - type it, paste it, or choose it from the dropdown. ","")&amp;IF(AND($A23&lt;&gt;"",ISNA(MATCH($AC23,'PRODUCT DATA'!$D$2:$D$394,0))),"This Item Code is not recognised. Check the code (case does not matter, but spelling and digits must match exactly) or choose it from the dropdown. ","")&amp;IF($M23="","Enter the Country after the Item Code - type or paste the name or the 2-letter code, or choose it from the dropdown. ","")&amp;IF(AND($M23&lt;&gt;"",NOT(OR(NOT(ISNA(MATCH(IF(UPPER($M23)="UK","GB",$M23),'PRODUCT DATA'!$A$2:$A$58,0))),NOT(ISNA(MATCH(IF(UPPER($M23)="UK","GB",$M23),'PRODUCT DATA'!$B$2:$B$58,0)))))),"This Country is not recognised as either a full name or a 2-letter code. Check the spelling (case does not matter) or choose it from the dropdown. ","")&amp;IF(AND($A23&lt;&gt;"",$M23&lt;&gt;"",NOT(ISNA(MATCH($AC23,'PRODUCT DATA'!$D$2:$D$394,0))),OR(NOT(ISNA(MATCH(IF(UPPER($M23)="UK","GB",$M23),'PRODUCT DATA'!$A$2:$A$58,0))),NOT(ISNA(MATCH(IF(UPPER($M23)="UK","GB",$M23),'PRODUCT DATA'!$B$2:$B$58,0)))),NOT(IFERROR(COUNTIF(OFFSET('PRODUCT DATA'!$F$2,0,MATCH($AC23,'PRODUCT DATA'!$F$1:$NN$1,0)-1,114,1),$N23)&gt;0,FALSE()))),IF(UPPER(IFERROR(OFFSET('PRODUCT DATA'!$C$2,MATCH($N23,'PRODUCT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"),"")&amp;IF($C23="","Enter Quantity. ","")&amp;IF(AND($C23&lt;&gt;"",OR(NOT(ISNUMBER($C23)),$C23&lt;1,$C23&gt;999,MOD($C23,1)&lt;&gt;0)),"Quantity must be a whole number from 1 to 999 (use a quantity above 1 only for a genuine bulk order of identical items to ONE address — otherwise use a separate row per recipient). ","")&amp;IF($D23="","Enter Recipient Name. ","")&amp;IF(LEN($D23)&gt;35,"Recipient Name exceeds 35 characters. ","")&amp;IF($E23="","Enter Recipient Phone. ","")&amp;IF(AND($E23&lt;&gt;"",OR(LEN($E23)&lt;6,LEN($E23)&gt;20,NOT(IFERROR(ISNUMBER(1*$E23),FALSE())))),"Phone must be the LOCAL number for the destination country: digits only, no +, spaces, or country code, 6 to 20 digits. ","")&amp;IF(LEN($F23)&gt;35,"Recipient Company Name exceeds 35 characters. ","")&amp;IF($G23="","Enter Address Line 1. ","")&amp;IF(LEN($G23)&gt;35,"Address Line 1 exceeds the 35-character SAP limit. ","")&amp;IF(LEN($H23)&gt;35,"Address Line 2 exceeds the 35-character SAP limit. ","")&amp;IF(LEN($I23)&gt;35,"Address Line 3 exceeds the 35-character SAP limit. ","")&amp;IF($J23="","Enter Town. This must never be left blank, even if there is no conventional town name. ","")&amp;IF(LEN($J23)&gt;35,"Town exceeds 35 characters. ","")&amp;IF(AND($N23="IE",$K23=""),"County is required for deliveries within the Republic of Ireland. ","")&amp;IF(LEN($AB23)&gt;35,"County exceeds 35 characters. ","")&amp;IF(AND($L23="",AND($N23&lt;&gt;"AE",$N23&lt;&gt;"QA")),"Postcode is required for the selected country. If there is genuinely no postcode, enter the first 3 characters of the area (e.g. D15). ","")&amp;IF(LEN($L23)&gt;35,"Postcode exceeds 35 characters. ","")&amp;IF($AE23&lt;&gt;"",$AE23,"")&amp;IF(LEN($O23)&gt;40,"Gift Message Line 1 exceeds 40 characters. ","")&amp;IF(LEN($P23)&gt;40,"Gift Message Line 2 exceeds 40 characters. ","")&amp;IF(LEN($Q23)&gt;40,"Gift Message Line 3 exceeds 40 characters. ","")&amp;IF(LEN($R23)&gt;40,"Gift Message Line 4 exceeds 40 characters. ","")&amp;IF(LEN($S23)&gt;40,"Gift Message Line 5 exceeds 40 characters. ","")&amp;IF(LEN($T23)&gt;40,"Gift Message Line 6 exceeds 40 characters. ","")&amp;IF(LEN($U23)&gt;40,"Gift Message Line 7 exceeds 40 characters. ",""))</f>
        <v/>
      </c>
      <c r="Y23" s="44" t="str">
        <f t="shared" si="1"/>
        <v/>
      </c>
      <c r="Z23" s="44"/>
      <c r="AA23" s="44"/>
      <c r="AB23" s="32" t="str">
        <f t="shared" si="2"/>
        <v/>
      </c>
      <c r="AC23" s="32" t="str">
        <f>IF($A23="","",IFERROR(LEFT(INDEX('PRODUCT DATA'!$NO$2:$NO$25,MATCH($A23,'PRODUCT DATA'!$NP$2:$NP$25,0)),FIND("|",INDEX('PRODUCT DATA'!$NO$2:$NO$25,MATCH($A23,'PRODUCT DATA'!$NP$2:$NP$25,0)))-1),$A23))</f>
        <v/>
      </c>
      <c r="AD23" s="45"/>
      <c r="AE23" s="45" t="str">
        <f t="shared" si="3"/>
        <v/>
      </c>
    </row>
    <row r="24" spans="1:31" ht="15" customHeight="1" x14ac:dyDescent="0.25">
      <c r="A24" s="40"/>
      <c r="B24" s="43" t="str">
        <f>IF($A24="","",IFERROR(VLOOKUP($AC24,'PRODUCT DATA'!$NR$2:$NS$374,2,FALSE()),"UNKNOWN ITEM CODE - please check"))</f>
        <v/>
      </c>
      <c r="C24" s="39">
        <v>1</v>
      </c>
      <c r="D24" s="39"/>
      <c r="E24" s="40"/>
      <c r="F24" s="41"/>
      <c r="G24" s="39"/>
      <c r="H24" s="41"/>
      <c r="I24" s="41"/>
      <c r="J24" s="39"/>
      <c r="K24" s="41"/>
      <c r="L24" s="40"/>
      <c r="M24" s="40"/>
      <c r="N24" s="42" t="str">
        <f>IF($M24="","",IFERROR(INDEX('PRODUCT DATA'!$B$2:$B$58,MATCH(IF(UPPER($M24)="UK","GB",$M24),'PRODUCT DATA'!$B$2:$B$58,0)),IFERROR(INDEX('PRODUCT DATA'!$B$2:$B$58,MATCH(IF(UPPER($M24)="UK","GB",$M24),'PRODUCT DATA'!$A$2:$A$58,0)),"UNKNOWN COUNTRY - please check")))</f>
        <v/>
      </c>
      <c r="O24" s="41"/>
      <c r="P24" s="41"/>
      <c r="Q24" s="41"/>
      <c r="R24" s="41"/>
      <c r="S24" s="41"/>
      <c r="T24" s="41"/>
      <c r="U24" s="41"/>
      <c r="V24" s="43" t="str">
        <f t="shared" si="0"/>
        <v/>
      </c>
      <c r="W24" s="44" t="str">
        <f ca="1">IF(COUNTA($A24,$D24:$M24,$O24:$U24)=0,"",IF($A24="","Item Code; ","")&amp;IF(AND($A24&lt;&gt;"",ISNA(MATCH($AC24,'PRODUCT DATA'!$D$2:$D$394,0))),"Item Code; ","")&amp;IF($M24="","Country; ","")&amp;IF(AND($M24&lt;&gt;"",NOT(OR(NOT(ISNA(MATCH(IF(UPPER($M24)="UK","GB",$M24),'PRODUCT DATA'!$A$2:$A$58,0))),NOT(ISNA(MATCH(IF(UPPER($M24)="UK","GB",$M24),'PRODUCT DATA'!$B$2:$B$58,0)))))),"Country; ","")&amp;IF(AND($A24&lt;&gt;"",$M24&lt;&gt;"",NOT(ISNA(MATCH($AC24,'PRODUCT DATA'!$D$2:$D$394,0))),OR(NOT(ISNA(MATCH(IF(UPPER($M24)="UK","GB",$M24),'PRODUCT DATA'!$A$2:$A$58,0))),NOT(ISNA(MATCH(IF(UPPER($M24)="UK","GB",$M24),'PRODUCT DATA'!$B$2:$B$58,0)))),NOT(IFERROR(COUNTIF(OFFSET('PRODUCT DATA'!$F$2,0,MATCH($AC24,'PRODUCT DATA'!$F$1:$NN$1,0)-1,114,1),$N24)&gt;0,FALSE()))),IF(UPPER(IFERROR(OFFSET('PRODUCT DATA'!$C$2,MATCH($N24,'PRODUCT DATA'!$B$2:$B$58,0)-1,0),""))="NO","Alcohol Restriction; ","Item Code / Country combination; "),"")&amp;IF($C24="","Quantity; ","")&amp;IF(AND($C24&lt;&gt;"",OR(NOT(ISNUMBER($C24)),$C24&lt;1,$C24&gt;999,MOD($C24,1)&lt;&gt;0)),"Quantity; ","")&amp;IF($D24="","Recipient Name; ","")&amp;IF(LEN($D24)&gt;35,"Recipient Name; ","")&amp;IF($E24="","Recipient Phone; ","")&amp;IF(AND($E24&lt;&gt;"",OR(LEN($E24)&lt;6,LEN($E24)&gt;20,NOT(IFERROR(ISNUMBER(1*$E24),FALSE())))),"Recipient Phone; ","")&amp;IF(LEN($F24)&gt;35,"Recipient Company Name; ","")&amp;IF($G24="","Address Line 1; ","")&amp;IF(LEN($G24)&gt;35,"Address Line 1; ","")&amp;IF(LEN($H24)&gt;35,"Address Line 2; ","")&amp;IF(LEN($I24)&gt;35,"Address Line 3; ","")&amp;IF($J24="","Town; ","")&amp;IF(LEN($J24)&gt;35,"Town; ","")&amp;IF(AND($N24="IE",$K24=""),"County; ","")&amp;IF(LEN($AB24)&gt;35,"County; ","")&amp;IF(AND($L24="",AND($N24&lt;&gt;"AE",$N24&lt;&gt;"QA")),"Postcode; ","")&amp;IF(LEN($L24)&gt;35,"Postcode; ","")&amp;IF($AE24&lt;&gt;"","Postcode; ","")&amp;IF(LEN($O24)&gt;40,"Gift Message 1; ","")&amp;IF(LEN($P24)&gt;40,"Gift Message 2; ","")&amp;IF(LEN($Q24)&gt;40,"Gift Message 3; ","")&amp;IF(LEN($R24)&gt;40,"Gift Message 4; ","")&amp;IF(LEN($S24)&gt;40,"Gift Message 5; ","")&amp;IF(LEN($T24)&gt;40,"Gift Message 6; ","")&amp;IF(LEN($U24)&gt;40,"Gift Message 7; ",""))</f>
        <v/>
      </c>
      <c r="X24" s="44" t="str">
        <f ca="1">IF(COUNTA($A24,$D24:$M24,$O24:$U24)=0,"",IF($A24="","Enter the Item Code (hamper) - type it, paste it, or choose it from the dropdown. ","")&amp;IF(AND($A24&lt;&gt;"",ISNA(MATCH($AC24,'PRODUCT DATA'!$D$2:$D$394,0))),"This Item Code is not recognised. Check the code (case does not matter, but spelling and digits must match exactly) or choose it from the dropdown. ","")&amp;IF($M24="","Enter the Country after the Item Code - type or paste the name or the 2-letter code, or choose it from the dropdown. ","")&amp;IF(AND($M24&lt;&gt;"",NOT(OR(NOT(ISNA(MATCH(IF(UPPER($M24)="UK","GB",$M24),'PRODUCT DATA'!$A$2:$A$58,0))),NOT(ISNA(MATCH(IF(UPPER($M24)="UK","GB",$M24),'PRODUCT DATA'!$B$2:$B$58,0)))))),"This Country is not recognised as either a full name or a 2-letter code. Check the spelling (case does not matter) or choose it from the dropdown. ","")&amp;IF(AND($A24&lt;&gt;"",$M24&lt;&gt;"",NOT(ISNA(MATCH($AC24,'PRODUCT DATA'!$D$2:$D$394,0))),OR(NOT(ISNA(MATCH(IF(UPPER($M24)="UK","GB",$M24),'PRODUCT DATA'!$A$2:$A$58,0))),NOT(ISNA(MATCH(IF(UPPER($M24)="UK","GB",$M24),'PRODUCT DATA'!$B$2:$B$58,0)))),NOT(IFERROR(COUNTIF(OFFSET('PRODUCT DATA'!$F$2,0,MATCH($AC24,'PRODUCT DATA'!$F$1:$NN$1,0)-1,114,1),$N24)&gt;0,FALSE()))),IF(UPPER(IFERROR(OFFSET('PRODUCT DATA'!$C$2,MATCH($N24,'PRODUCT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"),"")&amp;IF($C24="","Enter Quantity. ","")&amp;IF(AND($C24&lt;&gt;"",OR(NOT(ISNUMBER($C24)),$C24&lt;1,$C24&gt;999,MOD($C24,1)&lt;&gt;0)),"Quantity must be a whole number from 1 to 999 (use a quantity above 1 only for a genuine bulk order of identical items to ONE address — otherwise use a separate row per recipient). ","")&amp;IF($D24="","Enter Recipient Name. ","")&amp;IF(LEN($D24)&gt;35,"Recipient Name exceeds 35 characters. ","")&amp;IF($E24="","Enter Recipient Phone. ","")&amp;IF(AND($E24&lt;&gt;"",OR(LEN($E24)&lt;6,LEN($E24)&gt;20,NOT(IFERROR(ISNUMBER(1*$E24),FALSE())))),"Phone must be the LOCAL number for the destination country: digits only, no +, spaces, or country code, 6 to 20 digits. ","")&amp;IF(LEN($F24)&gt;35,"Recipient Company Name exceeds 35 characters. ","")&amp;IF($G24="","Enter Address Line 1. ","")&amp;IF(LEN($G24)&gt;35,"Address Line 1 exceeds the 35-character SAP limit. ","")&amp;IF(LEN($H24)&gt;35,"Address Line 2 exceeds the 35-character SAP limit. ","")&amp;IF(LEN($I24)&gt;35,"Address Line 3 exceeds the 35-character SAP limit. ","")&amp;IF($J24="","Enter Town. This must never be left blank, even if there is no conventional town name. ","")&amp;IF(LEN($J24)&gt;35,"Town exceeds 35 characters. ","")&amp;IF(AND($N24="IE",$K24=""),"County is required for deliveries within the Republic of Ireland. ","")&amp;IF(LEN($AB24)&gt;35,"County exceeds 35 characters. ","")&amp;IF(AND($L24="",AND($N24&lt;&gt;"AE",$N24&lt;&gt;"QA")),"Postcode is required for the selected country. If there is genuinely no postcode, enter the first 3 characters of the area (e.g. D15). ","")&amp;IF(LEN($L24)&gt;35,"Postcode exceeds 35 characters. ","")&amp;IF($AE24&lt;&gt;"",$AE24,"")&amp;IF(LEN($O24)&gt;40,"Gift Message Line 1 exceeds 40 characters. ","")&amp;IF(LEN($P24)&gt;40,"Gift Message Line 2 exceeds 40 characters. ","")&amp;IF(LEN($Q24)&gt;40,"Gift Message Line 3 exceeds 40 characters. ","")&amp;IF(LEN($R24)&gt;40,"Gift Message Line 4 exceeds 40 characters. ","")&amp;IF(LEN($S24)&gt;40,"Gift Message Line 5 exceeds 40 characters. ","")&amp;IF(LEN($T24)&gt;40,"Gift Message Line 6 exceeds 40 characters. ","")&amp;IF(LEN($U24)&gt;40,"Gift Message Line 7 exceeds 40 characters. ",""))</f>
        <v/>
      </c>
      <c r="Y24" s="44" t="str">
        <f t="shared" si="1"/>
        <v/>
      </c>
      <c r="Z24" s="44"/>
      <c r="AA24" s="44"/>
      <c r="AB24" s="32" t="str">
        <f t="shared" si="2"/>
        <v/>
      </c>
      <c r="AC24" s="32" t="str">
        <f>IF($A24="","",IFERROR(LEFT(INDEX('PRODUCT DATA'!$NO$2:$NO$25,MATCH($A24,'PRODUCT DATA'!$NP$2:$NP$25,0)),FIND("|",INDEX('PRODUCT DATA'!$NO$2:$NO$25,MATCH($A24,'PRODUCT DATA'!$NP$2:$NP$25,0)))-1),$A24))</f>
        <v/>
      </c>
      <c r="AD24" s="45"/>
      <c r="AE24" s="45" t="str">
        <f t="shared" si="3"/>
        <v/>
      </c>
    </row>
    <row r="25" spans="1:31" ht="15" customHeight="1" x14ac:dyDescent="0.25">
      <c r="A25" s="40"/>
      <c r="B25" s="43" t="str">
        <f>IF($A25="","",IFERROR(VLOOKUP($AC25,'PRODUCT DATA'!$NR$2:$NS$374,2,FALSE()),"UNKNOWN ITEM CODE - please check"))</f>
        <v/>
      </c>
      <c r="C25" s="39">
        <v>1</v>
      </c>
      <c r="D25" s="39"/>
      <c r="E25" s="40"/>
      <c r="F25" s="41"/>
      <c r="G25" s="39"/>
      <c r="H25" s="41"/>
      <c r="I25" s="41"/>
      <c r="J25" s="39"/>
      <c r="K25" s="41"/>
      <c r="L25" s="40"/>
      <c r="M25" s="40"/>
      <c r="N25" s="42" t="str">
        <f>IF($M25="","",IFERROR(INDEX('PRODUCT DATA'!$B$2:$B$58,MATCH(IF(UPPER($M25)="UK","GB",$M25),'PRODUCT DATA'!$B$2:$B$58,0)),IFERROR(INDEX('PRODUCT DATA'!$B$2:$B$58,MATCH(IF(UPPER($M25)="UK","GB",$M25),'PRODUCT DATA'!$A$2:$A$58,0)),"UNKNOWN COUNTRY - please check")))</f>
        <v/>
      </c>
      <c r="O25" s="41"/>
      <c r="P25" s="41"/>
      <c r="Q25" s="41"/>
      <c r="R25" s="41"/>
      <c r="S25" s="41"/>
      <c r="T25" s="41"/>
      <c r="U25" s="41"/>
      <c r="V25" s="43" t="str">
        <f t="shared" si="0"/>
        <v/>
      </c>
      <c r="W25" s="44" t="str">
        <f ca="1">IF(COUNTA($A25,$D25:$M25,$O25:$U25)=0,"",IF($A25="","Item Code; ","")&amp;IF(AND($A25&lt;&gt;"",ISNA(MATCH($AC25,'PRODUCT DATA'!$D$2:$D$394,0))),"Item Code; ","")&amp;IF($M25="","Country; ","")&amp;IF(AND($M25&lt;&gt;"",NOT(OR(NOT(ISNA(MATCH(IF(UPPER($M25)="UK","GB",$M25),'PRODUCT DATA'!$A$2:$A$58,0))),NOT(ISNA(MATCH(IF(UPPER($M25)="UK","GB",$M25),'PRODUCT DATA'!$B$2:$B$58,0)))))),"Country; ","")&amp;IF(AND($A25&lt;&gt;"",$M25&lt;&gt;"",NOT(ISNA(MATCH($AC25,'PRODUCT DATA'!$D$2:$D$394,0))),OR(NOT(ISNA(MATCH(IF(UPPER($M25)="UK","GB",$M25),'PRODUCT DATA'!$A$2:$A$58,0))),NOT(ISNA(MATCH(IF(UPPER($M25)="UK","GB",$M25),'PRODUCT DATA'!$B$2:$B$58,0)))),NOT(IFERROR(COUNTIF(OFFSET('PRODUCT DATA'!$F$2,0,MATCH($AC25,'PRODUCT DATA'!$F$1:$NN$1,0)-1,114,1),$N25)&gt;0,FALSE()))),IF(UPPER(IFERROR(OFFSET('PRODUCT DATA'!$C$2,MATCH($N25,'PRODUCT DATA'!$B$2:$B$58,0)-1,0),""))="NO","Alcohol Restriction; ","Item Code / Country combination; "),"")&amp;IF($C25="","Quantity; ","")&amp;IF(AND($C25&lt;&gt;"",OR(NOT(ISNUMBER($C25)),$C25&lt;1,$C25&gt;999,MOD($C25,1)&lt;&gt;0)),"Quantity; ","")&amp;IF($D25="","Recipient Name; ","")&amp;IF(LEN($D25)&gt;35,"Recipient Name; ","")&amp;IF($E25="","Recipient Phone; ","")&amp;IF(AND($E25&lt;&gt;"",OR(LEN($E25)&lt;6,LEN($E25)&gt;20,NOT(IFERROR(ISNUMBER(1*$E25),FALSE())))),"Recipient Phone; ","")&amp;IF(LEN($F25)&gt;35,"Recipient Company Name; ","")&amp;IF($G25="","Address Line 1; ","")&amp;IF(LEN($G25)&gt;35,"Address Line 1; ","")&amp;IF(LEN($H25)&gt;35,"Address Line 2; ","")&amp;IF(LEN($I25)&gt;35,"Address Line 3; ","")&amp;IF($J25="","Town; ","")&amp;IF(LEN($J25)&gt;35,"Town; ","")&amp;IF(AND($N25="IE",$K25=""),"County; ","")&amp;IF(LEN($AB25)&gt;35,"County; ","")&amp;IF(AND($L25="",AND($N25&lt;&gt;"AE",$N25&lt;&gt;"QA")),"Postcode; ","")&amp;IF(LEN($L25)&gt;35,"Postcode; ","")&amp;IF($AE25&lt;&gt;"","Postcode; ","")&amp;IF(LEN($O25)&gt;40,"Gift Message 1; ","")&amp;IF(LEN($P25)&gt;40,"Gift Message 2; ","")&amp;IF(LEN($Q25)&gt;40,"Gift Message 3; ","")&amp;IF(LEN($R25)&gt;40,"Gift Message 4; ","")&amp;IF(LEN($S25)&gt;40,"Gift Message 5; ","")&amp;IF(LEN($T25)&gt;40,"Gift Message 6; ","")&amp;IF(LEN($U25)&gt;40,"Gift Message 7; ",""))</f>
        <v/>
      </c>
      <c r="X25" s="44" t="str">
        <f ca="1">IF(COUNTA($A25,$D25:$M25,$O25:$U25)=0,"",IF($A25="","Enter the Item Code (hamper) - type it, paste it, or choose it from the dropdown. ","")&amp;IF(AND($A25&lt;&gt;"",ISNA(MATCH($AC25,'PRODUCT DATA'!$D$2:$D$394,0))),"This Item Code is not recognised. Check the code (case does not matter, but spelling and digits must match exactly) or choose it from the dropdown. ","")&amp;IF($M25="","Enter the Country after the Item Code - type or paste the name or the 2-letter code, or choose it from the dropdown. ","")&amp;IF(AND($M25&lt;&gt;"",NOT(OR(NOT(ISNA(MATCH(IF(UPPER($M25)="UK","GB",$M25),'PRODUCT DATA'!$A$2:$A$58,0))),NOT(ISNA(MATCH(IF(UPPER($M25)="UK","GB",$M25),'PRODUCT DATA'!$B$2:$B$58,0)))))),"This Country is not recognised as either a full name or a 2-letter code. Check the spelling (case does not matter) or choose it from the dropdown. ","")&amp;IF(AND($A25&lt;&gt;"",$M25&lt;&gt;"",NOT(ISNA(MATCH($AC25,'PRODUCT DATA'!$D$2:$D$394,0))),OR(NOT(ISNA(MATCH(IF(UPPER($M25)="UK","GB",$M25),'PRODUCT DATA'!$A$2:$A$58,0))),NOT(ISNA(MATCH(IF(UPPER($M25)="UK","GB",$M25),'PRODUCT DATA'!$B$2:$B$58,0)))),NOT(IFERROR(COUNTIF(OFFSET('PRODUCT DATA'!$F$2,0,MATCH($AC25,'PRODUCT DATA'!$F$1:$NN$1,0)-1,114,1),$N25)&gt;0,FALSE()))),IF(UPPER(IFERROR(OFFSET('PRODUCT DATA'!$C$2,MATCH($N25,'PRODUCT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"),"")&amp;IF($C25="","Enter Quantity. ","")&amp;IF(AND($C25&lt;&gt;"",OR(NOT(ISNUMBER($C25)),$C25&lt;1,$C25&gt;999,MOD($C25,1)&lt;&gt;0)),"Quantity must be a whole number from 1 to 999 (use a quantity above 1 only for a genuine bulk order of identical items to ONE address — otherwise use a separate row per recipient). ","")&amp;IF($D25="","Enter Recipient Name. ","")&amp;IF(LEN($D25)&gt;35,"Recipient Name exceeds 35 characters. ","")&amp;IF($E25="","Enter Recipient Phone. ","")&amp;IF(AND($E25&lt;&gt;"",OR(LEN($E25)&lt;6,LEN($E25)&gt;20,NOT(IFERROR(ISNUMBER(1*$E25),FALSE())))),"Phone must be the LOCAL number for the destination country: digits only, no +, spaces, or country code, 6 to 20 digits. ","")&amp;IF(LEN($F25)&gt;35,"Recipient Company Name exceeds 35 characters. ","")&amp;IF($G25="","Enter Address Line 1. ","")&amp;IF(LEN($G25)&gt;35,"Address Line 1 exceeds the 35-character SAP limit. ","")&amp;IF(LEN($H25)&gt;35,"Address Line 2 exceeds the 35-character SAP limit. ","")&amp;IF(LEN($I25)&gt;35,"Address Line 3 exceeds the 35-character SAP limit. ","")&amp;IF($J25="","Enter Town. This must never be left blank, even if there is no conventional town name. ","")&amp;IF(LEN($J25)&gt;35,"Town exceeds 35 characters. ","")&amp;IF(AND($N25="IE",$K25=""),"County is required for deliveries within the Republic of Ireland. ","")&amp;IF(LEN($AB25)&gt;35,"County exceeds 35 characters. ","")&amp;IF(AND($L25="",AND($N25&lt;&gt;"AE",$N25&lt;&gt;"QA")),"Postcode is required for the selected country. If there is genuinely no postcode, enter the first 3 characters of the area (e.g. D15). ","")&amp;IF(LEN($L25)&gt;35,"Postcode exceeds 35 characters. ","")&amp;IF($AE25&lt;&gt;"",$AE25,"")&amp;IF(LEN($O25)&gt;40,"Gift Message Line 1 exceeds 40 characters. ","")&amp;IF(LEN($P25)&gt;40,"Gift Message Line 2 exceeds 40 characters. ","")&amp;IF(LEN($Q25)&gt;40,"Gift Message Line 3 exceeds 40 characters. ","")&amp;IF(LEN($R25)&gt;40,"Gift Message Line 4 exceeds 40 characters. ","")&amp;IF(LEN($S25)&gt;40,"Gift Message Line 5 exceeds 40 characters. ","")&amp;IF(LEN($T25)&gt;40,"Gift Message Line 6 exceeds 40 characters. ","")&amp;IF(LEN($U25)&gt;40,"Gift Message Line 7 exceeds 40 characters. ",""))</f>
        <v/>
      </c>
      <c r="Y25" s="44" t="str">
        <f t="shared" si="1"/>
        <v/>
      </c>
      <c r="Z25" s="44"/>
      <c r="AA25" s="44"/>
      <c r="AB25" s="32" t="str">
        <f t="shared" si="2"/>
        <v/>
      </c>
      <c r="AC25" s="32" t="str">
        <f>IF($A25="","",IFERROR(LEFT(INDEX('PRODUCT DATA'!$NO$2:$NO$25,MATCH($A25,'PRODUCT DATA'!$NP$2:$NP$25,0)),FIND("|",INDEX('PRODUCT DATA'!$NO$2:$NO$25,MATCH($A25,'PRODUCT DATA'!$NP$2:$NP$25,0)))-1),$A25))</f>
        <v/>
      </c>
      <c r="AD25" s="45"/>
      <c r="AE25" s="45" t="str">
        <f t="shared" si="3"/>
        <v/>
      </c>
    </row>
    <row r="26" spans="1:31" ht="15" customHeight="1" x14ac:dyDescent="0.25">
      <c r="A26" s="40"/>
      <c r="B26" s="43" t="str">
        <f>IF($A26="","",IFERROR(VLOOKUP($AC26,'PRODUCT DATA'!$NR$2:$NS$374,2,FALSE()),"UNKNOWN ITEM CODE - please check"))</f>
        <v/>
      </c>
      <c r="C26" s="39">
        <v>1</v>
      </c>
      <c r="D26" s="39"/>
      <c r="E26" s="40"/>
      <c r="F26" s="41"/>
      <c r="G26" s="39"/>
      <c r="H26" s="41"/>
      <c r="I26" s="41"/>
      <c r="J26" s="39"/>
      <c r="K26" s="41"/>
      <c r="L26" s="40"/>
      <c r="M26" s="40"/>
      <c r="N26" s="42" t="str">
        <f>IF($M26="","",IFERROR(INDEX('PRODUCT DATA'!$B$2:$B$58,MATCH(IF(UPPER($M26)="UK","GB",$M26),'PRODUCT DATA'!$B$2:$B$58,0)),IFERROR(INDEX('PRODUCT DATA'!$B$2:$B$58,MATCH(IF(UPPER($M26)="UK","GB",$M26),'PRODUCT DATA'!$A$2:$A$58,0)),"UNKNOWN COUNTRY - please check")))</f>
        <v/>
      </c>
      <c r="O26" s="41"/>
      <c r="P26" s="41"/>
      <c r="Q26" s="41"/>
      <c r="R26" s="41"/>
      <c r="S26" s="41"/>
      <c r="T26" s="41"/>
      <c r="U26" s="41"/>
      <c r="V26" s="43" t="str">
        <f t="shared" si="0"/>
        <v/>
      </c>
      <c r="W26" s="44" t="str">
        <f ca="1">IF(COUNTA($A26,$D26:$M26,$O26:$U26)=0,"",IF($A26="","Item Code; ","")&amp;IF(AND($A26&lt;&gt;"",ISNA(MATCH($AC26,'PRODUCT DATA'!$D$2:$D$394,0))),"Item Code; ","")&amp;IF($M26="","Country; ","")&amp;IF(AND($M26&lt;&gt;"",NOT(OR(NOT(ISNA(MATCH(IF(UPPER($M26)="UK","GB",$M26),'PRODUCT DATA'!$A$2:$A$58,0))),NOT(ISNA(MATCH(IF(UPPER($M26)="UK","GB",$M26),'PRODUCT DATA'!$B$2:$B$58,0)))))),"Country; ","")&amp;IF(AND($A26&lt;&gt;"",$M26&lt;&gt;"",NOT(ISNA(MATCH($AC26,'PRODUCT DATA'!$D$2:$D$394,0))),OR(NOT(ISNA(MATCH(IF(UPPER($M26)="UK","GB",$M26),'PRODUCT DATA'!$A$2:$A$58,0))),NOT(ISNA(MATCH(IF(UPPER($M26)="UK","GB",$M26),'PRODUCT DATA'!$B$2:$B$58,0)))),NOT(IFERROR(COUNTIF(OFFSET('PRODUCT DATA'!$F$2,0,MATCH($AC26,'PRODUCT DATA'!$F$1:$NN$1,0)-1,114,1),$N26)&gt;0,FALSE()))),IF(UPPER(IFERROR(OFFSET('PRODUCT DATA'!$C$2,MATCH($N26,'PRODUCT DATA'!$B$2:$B$58,0)-1,0),""))="NO","Alcohol Restriction; ","Item Code / Country combination; "),"")&amp;IF($C26="","Quantity; ","")&amp;IF(AND($C26&lt;&gt;"",OR(NOT(ISNUMBER($C26)),$C26&lt;1,$C26&gt;999,MOD($C26,1)&lt;&gt;0)),"Quantity; ","")&amp;IF($D26="","Recipient Name; ","")&amp;IF(LEN($D26)&gt;35,"Recipient Name; ","")&amp;IF($E26="","Recipient Phone; ","")&amp;IF(AND($E26&lt;&gt;"",OR(LEN($E26)&lt;6,LEN($E26)&gt;20,NOT(IFERROR(ISNUMBER(1*$E26),FALSE())))),"Recipient Phone; ","")&amp;IF(LEN($F26)&gt;35,"Recipient Company Name; ","")&amp;IF($G26="","Address Line 1; ","")&amp;IF(LEN($G26)&gt;35,"Address Line 1; ","")&amp;IF(LEN($H26)&gt;35,"Address Line 2; ","")&amp;IF(LEN($I26)&gt;35,"Address Line 3; ","")&amp;IF($J26="","Town; ","")&amp;IF(LEN($J26)&gt;35,"Town; ","")&amp;IF(AND($N26="IE",$K26=""),"County; ","")&amp;IF(LEN($AB26)&gt;35,"County; ","")&amp;IF(AND($L26="",AND($N26&lt;&gt;"AE",$N26&lt;&gt;"QA")),"Postcode; ","")&amp;IF(LEN($L26)&gt;35,"Postcode; ","")&amp;IF($AE26&lt;&gt;"","Postcode; ","")&amp;IF(LEN($O26)&gt;40,"Gift Message 1; ","")&amp;IF(LEN($P26)&gt;40,"Gift Message 2; ","")&amp;IF(LEN($Q26)&gt;40,"Gift Message 3; ","")&amp;IF(LEN($R26)&gt;40,"Gift Message 4; ","")&amp;IF(LEN($S26)&gt;40,"Gift Message 5; ","")&amp;IF(LEN($T26)&gt;40,"Gift Message 6; ","")&amp;IF(LEN($U26)&gt;40,"Gift Message 7; ",""))</f>
        <v/>
      </c>
      <c r="X26" s="44" t="str">
        <f ca="1">IF(COUNTA($A26,$D26:$M26,$O26:$U26)=0,"",IF($A26="","Enter the Item Code (hamper) - type it, paste it, or choose it from the dropdown. ","")&amp;IF(AND($A26&lt;&gt;"",ISNA(MATCH($AC26,'PRODUCT DATA'!$D$2:$D$394,0))),"This Item Code is not recognised. Check the code (case does not matter, but spelling and digits must match exactly) or choose it from the dropdown. ","")&amp;IF($M26="","Enter the Country after the Item Code - type or paste the name or the 2-letter code, or choose it from the dropdown. ","")&amp;IF(AND($M26&lt;&gt;"",NOT(OR(NOT(ISNA(MATCH(IF(UPPER($M26)="UK","GB",$M26),'PRODUCT DATA'!$A$2:$A$58,0))),NOT(ISNA(MATCH(IF(UPPER($M26)="UK","GB",$M26),'PRODUCT DATA'!$B$2:$B$58,0)))))),"This Country is not recognised as either a full name or a 2-letter code. Check the spelling (case does not matter) or choose it from the dropdown. ","")&amp;IF(AND($A26&lt;&gt;"",$M26&lt;&gt;"",NOT(ISNA(MATCH($AC26,'PRODUCT DATA'!$D$2:$D$394,0))),OR(NOT(ISNA(MATCH(IF(UPPER($M26)="UK","GB",$M26),'PRODUCT DATA'!$A$2:$A$58,0))),NOT(ISNA(MATCH(IF(UPPER($M26)="UK","GB",$M26),'PRODUCT DATA'!$B$2:$B$58,0)))),NOT(IFERROR(COUNTIF(OFFSET('PRODUCT DATA'!$F$2,0,MATCH($AC26,'PRODUCT DATA'!$F$1:$NN$1,0)-1,114,1),$N26)&gt;0,FALSE()))),IF(UPPER(IFERROR(OFFSET('PRODUCT DATA'!$C$2,MATCH($N26,'PRODUCT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"),"")&amp;IF($C26="","Enter Quantity. ","")&amp;IF(AND($C26&lt;&gt;"",OR(NOT(ISNUMBER($C26)),$C26&lt;1,$C26&gt;999,MOD($C26,1)&lt;&gt;0)),"Quantity must be a whole number from 1 to 999 (use a quantity above 1 only for a genuine bulk order of identical items to ONE address — otherwise use a separate row per recipient). ","")&amp;IF($D26="","Enter Recipient Name. ","")&amp;IF(LEN($D26)&gt;35,"Recipient Name exceeds 35 characters. ","")&amp;IF($E26="","Enter Recipient Phone. ","")&amp;IF(AND($E26&lt;&gt;"",OR(LEN($E26)&lt;6,LEN($E26)&gt;20,NOT(IFERROR(ISNUMBER(1*$E26),FALSE())))),"Phone must be the LOCAL number for the destination country: digits only, no +, spaces, or country code, 6 to 20 digits. ","")&amp;IF(LEN($F26)&gt;35,"Recipient Company Name exceeds 35 characters. ","")&amp;IF($G26="","Enter Address Line 1. ","")&amp;IF(LEN($G26)&gt;35,"Address Line 1 exceeds the 35-character SAP limit. ","")&amp;IF(LEN($H26)&gt;35,"Address Line 2 exceeds the 35-character SAP limit. ","")&amp;IF(LEN($I26)&gt;35,"Address Line 3 exceeds the 35-character SAP limit. ","")&amp;IF($J26="","Enter Town. This must never be left blank, even if there is no conventional town name. ","")&amp;IF(LEN($J26)&gt;35,"Town exceeds 35 characters. ","")&amp;IF(AND($N26="IE",$K26=""),"County is required for deliveries within the Republic of Ireland. ","")&amp;IF(LEN($AB26)&gt;35,"County exceeds 35 characters. ","")&amp;IF(AND($L26="",AND($N26&lt;&gt;"AE",$N26&lt;&gt;"QA")),"Postcode is required for the selected country. If there is genuinely no postcode, enter the first 3 characters of the area (e.g. D15). ","")&amp;IF(LEN($L26)&gt;35,"Postcode exceeds 35 characters. ","")&amp;IF($AE26&lt;&gt;"",$AE26,"")&amp;IF(LEN($O26)&gt;40,"Gift Message Line 1 exceeds 40 characters. ","")&amp;IF(LEN($P26)&gt;40,"Gift Message Line 2 exceeds 40 characters. ","")&amp;IF(LEN($Q26)&gt;40,"Gift Message Line 3 exceeds 40 characters. ","")&amp;IF(LEN($R26)&gt;40,"Gift Message Line 4 exceeds 40 characters. ","")&amp;IF(LEN($S26)&gt;40,"Gift Message Line 5 exceeds 40 characters. ","")&amp;IF(LEN($T26)&gt;40,"Gift Message Line 6 exceeds 40 characters. ","")&amp;IF(LEN($U26)&gt;40,"Gift Message Line 7 exceeds 40 characters. ",""))</f>
        <v/>
      </c>
      <c r="Y26" s="44" t="str">
        <f t="shared" si="1"/>
        <v/>
      </c>
      <c r="Z26" s="44"/>
      <c r="AA26" s="44"/>
      <c r="AB26" s="32" t="str">
        <f t="shared" si="2"/>
        <v/>
      </c>
      <c r="AC26" s="32" t="str">
        <f>IF($A26="","",IFERROR(LEFT(INDEX('PRODUCT DATA'!$NO$2:$NO$25,MATCH($A26,'PRODUCT DATA'!$NP$2:$NP$25,0)),FIND("|",INDEX('PRODUCT DATA'!$NO$2:$NO$25,MATCH($A26,'PRODUCT DATA'!$NP$2:$NP$25,0)))-1),$A26))</f>
        <v/>
      </c>
      <c r="AD26" s="45"/>
      <c r="AE26" s="45" t="str">
        <f t="shared" si="3"/>
        <v/>
      </c>
    </row>
    <row r="27" spans="1:31" ht="15" customHeight="1" x14ac:dyDescent="0.25">
      <c r="A27" s="40"/>
      <c r="B27" s="43" t="str">
        <f>IF($A27="","",IFERROR(VLOOKUP($AC27,'PRODUCT DATA'!$NR$2:$NS$374,2,FALSE()),"UNKNOWN ITEM CODE - please check"))</f>
        <v/>
      </c>
      <c r="C27" s="39">
        <v>1</v>
      </c>
      <c r="D27" s="39"/>
      <c r="E27" s="40"/>
      <c r="F27" s="41"/>
      <c r="G27" s="39"/>
      <c r="H27" s="41"/>
      <c r="I27" s="41"/>
      <c r="J27" s="39"/>
      <c r="K27" s="41"/>
      <c r="L27" s="40"/>
      <c r="M27" s="40"/>
      <c r="N27" s="42" t="str">
        <f>IF($M27="","",IFERROR(INDEX('PRODUCT DATA'!$B$2:$B$58,MATCH(IF(UPPER($M27)="UK","GB",$M27),'PRODUCT DATA'!$B$2:$B$58,0)),IFERROR(INDEX('PRODUCT DATA'!$B$2:$B$58,MATCH(IF(UPPER($M27)="UK","GB",$M27),'PRODUCT DATA'!$A$2:$A$58,0)),"UNKNOWN COUNTRY - please check")))</f>
        <v/>
      </c>
      <c r="O27" s="41"/>
      <c r="P27" s="41"/>
      <c r="Q27" s="41"/>
      <c r="R27" s="41"/>
      <c r="S27" s="41"/>
      <c r="T27" s="41"/>
      <c r="U27" s="41"/>
      <c r="V27" s="43" t="str">
        <f t="shared" si="0"/>
        <v/>
      </c>
      <c r="W27" s="44" t="str">
        <f ca="1">IF(COUNTA($A27,$D27:$M27,$O27:$U27)=0,"",IF($A27="","Item Code; ","")&amp;IF(AND($A27&lt;&gt;"",ISNA(MATCH($AC27,'PRODUCT DATA'!$D$2:$D$394,0))),"Item Code; ","")&amp;IF($M27="","Country; ","")&amp;IF(AND($M27&lt;&gt;"",NOT(OR(NOT(ISNA(MATCH(IF(UPPER($M27)="UK","GB",$M27),'PRODUCT DATA'!$A$2:$A$58,0))),NOT(ISNA(MATCH(IF(UPPER($M27)="UK","GB",$M27),'PRODUCT DATA'!$B$2:$B$58,0)))))),"Country; ","")&amp;IF(AND($A27&lt;&gt;"",$M27&lt;&gt;"",NOT(ISNA(MATCH($AC27,'PRODUCT DATA'!$D$2:$D$394,0))),OR(NOT(ISNA(MATCH(IF(UPPER($M27)="UK","GB",$M27),'PRODUCT DATA'!$A$2:$A$58,0))),NOT(ISNA(MATCH(IF(UPPER($M27)="UK","GB",$M27),'PRODUCT DATA'!$B$2:$B$58,0)))),NOT(IFERROR(COUNTIF(OFFSET('PRODUCT DATA'!$F$2,0,MATCH($AC27,'PRODUCT DATA'!$F$1:$NN$1,0)-1,114,1),$N27)&gt;0,FALSE()))),IF(UPPER(IFERROR(OFFSET('PRODUCT DATA'!$C$2,MATCH($N27,'PRODUCT DATA'!$B$2:$B$58,0)-1,0),""))="NO","Alcohol Restriction; ","Item Code / Country combination; "),"")&amp;IF($C27="","Quantity; ","")&amp;IF(AND($C27&lt;&gt;"",OR(NOT(ISNUMBER($C27)),$C27&lt;1,$C27&gt;999,MOD($C27,1)&lt;&gt;0)),"Quantity; ","")&amp;IF($D27="","Recipient Name; ","")&amp;IF(LEN($D27)&gt;35,"Recipient Name; ","")&amp;IF($E27="","Recipient Phone; ","")&amp;IF(AND($E27&lt;&gt;"",OR(LEN($E27)&lt;6,LEN($E27)&gt;20,NOT(IFERROR(ISNUMBER(1*$E27),FALSE())))),"Recipient Phone; ","")&amp;IF(LEN($F27)&gt;35,"Recipient Company Name; ","")&amp;IF($G27="","Address Line 1; ","")&amp;IF(LEN($G27)&gt;35,"Address Line 1; ","")&amp;IF(LEN($H27)&gt;35,"Address Line 2; ","")&amp;IF(LEN($I27)&gt;35,"Address Line 3; ","")&amp;IF($J27="","Town; ","")&amp;IF(LEN($J27)&gt;35,"Town; ","")&amp;IF(AND($N27="IE",$K27=""),"County; ","")&amp;IF(LEN($AB27)&gt;35,"County; ","")&amp;IF(AND($L27="",AND($N27&lt;&gt;"AE",$N27&lt;&gt;"QA")),"Postcode; ","")&amp;IF(LEN($L27)&gt;35,"Postcode; ","")&amp;IF($AE27&lt;&gt;"","Postcode; ","")&amp;IF(LEN($O27)&gt;40,"Gift Message 1; ","")&amp;IF(LEN($P27)&gt;40,"Gift Message 2; ","")&amp;IF(LEN($Q27)&gt;40,"Gift Message 3; ","")&amp;IF(LEN($R27)&gt;40,"Gift Message 4; ","")&amp;IF(LEN($S27)&gt;40,"Gift Message 5; ","")&amp;IF(LEN($T27)&gt;40,"Gift Message 6; ","")&amp;IF(LEN($U27)&gt;40,"Gift Message 7; ",""))</f>
        <v/>
      </c>
      <c r="X27" s="44" t="str">
        <f ca="1">IF(COUNTA($A27,$D27:$M27,$O27:$U27)=0,"",IF($A27="","Enter the Item Code (hamper) - type it, paste it, or choose it from the dropdown. ","")&amp;IF(AND($A27&lt;&gt;"",ISNA(MATCH($AC27,'PRODUCT DATA'!$D$2:$D$394,0))),"This Item Code is not recognised. Check the code (case does not matter, but spelling and digits must match exactly) or choose it from the dropdown. ","")&amp;IF($M27="","Enter the Country after the Item Code - type or paste the name or the 2-letter code, or choose it from the dropdown. ","")&amp;IF(AND($M27&lt;&gt;"",NOT(OR(NOT(ISNA(MATCH(IF(UPPER($M27)="UK","GB",$M27),'PRODUCT DATA'!$A$2:$A$58,0))),NOT(ISNA(MATCH(IF(UPPER($M27)="UK","GB",$M27),'PRODUCT DATA'!$B$2:$B$58,0)))))),"This Country is not recognised as either a full name or a 2-letter code. Check the spelling (case does not matter) or choose it from the dropdown. ","")&amp;IF(AND($A27&lt;&gt;"",$M27&lt;&gt;"",NOT(ISNA(MATCH($AC27,'PRODUCT DATA'!$D$2:$D$394,0))),OR(NOT(ISNA(MATCH(IF(UPPER($M27)="UK","GB",$M27),'PRODUCT DATA'!$A$2:$A$58,0))),NOT(ISNA(MATCH(IF(UPPER($M27)="UK","GB",$M27),'PRODUCT DATA'!$B$2:$B$58,0)))),NOT(IFERROR(COUNTIF(OFFSET('PRODUCT DATA'!$F$2,0,MATCH($AC27,'PRODUCT DATA'!$F$1:$NN$1,0)-1,114,1),$N27)&gt;0,FALSE()))),IF(UPPER(IFERROR(OFFSET('PRODUCT DATA'!$C$2,MATCH($N27,'PRODUCT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"),"")&amp;IF($C27="","Enter Quantity. ","")&amp;IF(AND($C27&lt;&gt;"",OR(NOT(ISNUMBER($C27)),$C27&lt;1,$C27&gt;999,MOD($C27,1)&lt;&gt;0)),"Quantity must be a whole number from 1 to 999 (use a quantity above 1 only for a genuine bulk order of identical items to ONE address — otherwise use a separate row per recipient). ","")&amp;IF($D27="","Enter Recipient Name. ","")&amp;IF(LEN($D27)&gt;35,"Recipient Name exceeds 35 characters. ","")&amp;IF($E27="","Enter Recipient Phone. ","")&amp;IF(AND($E27&lt;&gt;"",OR(LEN($E27)&lt;6,LEN($E27)&gt;20,NOT(IFERROR(ISNUMBER(1*$E27),FALSE())))),"Phone must be the LOCAL number for the destination country: digits only, no +, spaces, or country code, 6 to 20 digits. ","")&amp;IF(LEN($F27)&gt;35,"Recipient Company Name exceeds 35 characters. ","")&amp;IF($G27="","Enter Address Line 1. ","")&amp;IF(LEN($G27)&gt;35,"Address Line 1 exceeds the 35-character SAP limit. ","")&amp;IF(LEN($H27)&gt;35,"Address Line 2 exceeds the 35-character SAP limit. ","")&amp;IF(LEN($I27)&gt;35,"Address Line 3 exceeds the 35-character SAP limit. ","")&amp;IF($J27="","Enter Town. This must never be left blank, even if there is no conventional town name. ","")&amp;IF(LEN($J27)&gt;35,"Town exceeds 35 characters. ","")&amp;IF(AND($N27="IE",$K27=""),"County is required for deliveries within the Republic of Ireland. ","")&amp;IF(LEN($AB27)&gt;35,"County exceeds 35 characters. ","")&amp;IF(AND($L27="",AND($N27&lt;&gt;"AE",$N27&lt;&gt;"QA")),"Postcode is required for the selected country. If there is genuinely no postcode, enter the first 3 characters of the area (e.g. D15). ","")&amp;IF(LEN($L27)&gt;35,"Postcode exceeds 35 characters. ","")&amp;IF($AE27&lt;&gt;"",$AE27,"")&amp;IF(LEN($O27)&gt;40,"Gift Message Line 1 exceeds 40 characters. ","")&amp;IF(LEN($P27)&gt;40,"Gift Message Line 2 exceeds 40 characters. ","")&amp;IF(LEN($Q27)&gt;40,"Gift Message Line 3 exceeds 40 characters. ","")&amp;IF(LEN($R27)&gt;40,"Gift Message Line 4 exceeds 40 characters. ","")&amp;IF(LEN($S27)&gt;40,"Gift Message Line 5 exceeds 40 characters. ","")&amp;IF(LEN($T27)&gt;40,"Gift Message Line 6 exceeds 40 characters. ","")&amp;IF(LEN($U27)&gt;40,"Gift Message Line 7 exceeds 40 characters. ",""))</f>
        <v/>
      </c>
      <c r="Y27" s="44" t="str">
        <f t="shared" si="1"/>
        <v/>
      </c>
      <c r="Z27" s="44"/>
      <c r="AA27" s="44"/>
      <c r="AB27" s="32" t="str">
        <f t="shared" si="2"/>
        <v/>
      </c>
      <c r="AC27" s="32" t="str">
        <f>IF($A27="","",IFERROR(LEFT(INDEX('PRODUCT DATA'!$NO$2:$NO$25,MATCH($A27,'PRODUCT DATA'!$NP$2:$NP$25,0)),FIND("|",INDEX('PRODUCT DATA'!$NO$2:$NO$25,MATCH($A27,'PRODUCT DATA'!$NP$2:$NP$25,0)))-1),$A27))</f>
        <v/>
      </c>
      <c r="AD27" s="45"/>
      <c r="AE27" s="45" t="str">
        <f t="shared" si="3"/>
        <v/>
      </c>
    </row>
    <row r="28" spans="1:31" ht="15" customHeight="1" x14ac:dyDescent="0.25">
      <c r="A28" s="40"/>
      <c r="B28" s="43" t="str">
        <f>IF($A28="","",IFERROR(VLOOKUP($AC28,'PRODUCT DATA'!$NR$2:$NS$374,2,FALSE()),"UNKNOWN ITEM CODE - please check"))</f>
        <v/>
      </c>
      <c r="C28" s="39">
        <v>1</v>
      </c>
      <c r="D28" s="39"/>
      <c r="E28" s="40"/>
      <c r="F28" s="41"/>
      <c r="G28" s="39"/>
      <c r="H28" s="41"/>
      <c r="I28" s="41"/>
      <c r="J28" s="39"/>
      <c r="K28" s="41"/>
      <c r="L28" s="40"/>
      <c r="M28" s="40"/>
      <c r="N28" s="42" t="str">
        <f>IF($M28="","",IFERROR(INDEX('PRODUCT DATA'!$B$2:$B$58,MATCH(IF(UPPER($M28)="UK","GB",$M28),'PRODUCT DATA'!$B$2:$B$58,0)),IFERROR(INDEX('PRODUCT DATA'!$B$2:$B$58,MATCH(IF(UPPER($M28)="UK","GB",$M28),'PRODUCT DATA'!$A$2:$A$58,0)),"UNKNOWN COUNTRY - please check")))</f>
        <v/>
      </c>
      <c r="O28" s="41"/>
      <c r="P28" s="41"/>
      <c r="Q28" s="41"/>
      <c r="R28" s="41"/>
      <c r="S28" s="41"/>
      <c r="T28" s="41"/>
      <c r="U28" s="41"/>
      <c r="V28" s="43" t="str">
        <f t="shared" si="0"/>
        <v/>
      </c>
      <c r="W28" s="44" t="str">
        <f ca="1">IF(COUNTA($A28,$D28:$M28,$O28:$U28)=0,"",IF($A28="","Item Code; ","")&amp;IF(AND($A28&lt;&gt;"",ISNA(MATCH($AC28,'PRODUCT DATA'!$D$2:$D$394,0))),"Item Code; ","")&amp;IF($M28="","Country; ","")&amp;IF(AND($M28&lt;&gt;"",NOT(OR(NOT(ISNA(MATCH(IF(UPPER($M28)="UK","GB",$M28),'PRODUCT DATA'!$A$2:$A$58,0))),NOT(ISNA(MATCH(IF(UPPER($M28)="UK","GB",$M28),'PRODUCT DATA'!$B$2:$B$58,0)))))),"Country; ","")&amp;IF(AND($A28&lt;&gt;"",$M28&lt;&gt;"",NOT(ISNA(MATCH($AC28,'PRODUCT DATA'!$D$2:$D$394,0))),OR(NOT(ISNA(MATCH(IF(UPPER($M28)="UK","GB",$M28),'PRODUCT DATA'!$A$2:$A$58,0))),NOT(ISNA(MATCH(IF(UPPER($M28)="UK","GB",$M28),'PRODUCT DATA'!$B$2:$B$58,0)))),NOT(IFERROR(COUNTIF(OFFSET('PRODUCT DATA'!$F$2,0,MATCH($AC28,'PRODUCT DATA'!$F$1:$NN$1,0)-1,114,1),$N28)&gt;0,FALSE()))),IF(UPPER(IFERROR(OFFSET('PRODUCT DATA'!$C$2,MATCH($N28,'PRODUCT DATA'!$B$2:$B$58,0)-1,0),""))="NO","Alcohol Restriction; ","Item Code / Country combination; "),"")&amp;IF($C28="","Quantity; ","")&amp;IF(AND($C28&lt;&gt;"",OR(NOT(ISNUMBER($C28)),$C28&lt;1,$C28&gt;999,MOD($C28,1)&lt;&gt;0)),"Quantity; ","")&amp;IF($D28="","Recipient Name; ","")&amp;IF(LEN($D28)&gt;35,"Recipient Name; ","")&amp;IF($E28="","Recipient Phone; ","")&amp;IF(AND($E28&lt;&gt;"",OR(LEN($E28)&lt;6,LEN($E28)&gt;20,NOT(IFERROR(ISNUMBER(1*$E28),FALSE())))),"Recipient Phone; ","")&amp;IF(LEN($F28)&gt;35,"Recipient Company Name; ","")&amp;IF($G28="","Address Line 1; ","")&amp;IF(LEN($G28)&gt;35,"Address Line 1; ","")&amp;IF(LEN($H28)&gt;35,"Address Line 2; ","")&amp;IF(LEN($I28)&gt;35,"Address Line 3; ","")&amp;IF($J28="","Town; ","")&amp;IF(LEN($J28)&gt;35,"Town; ","")&amp;IF(AND($N28="IE",$K28=""),"County; ","")&amp;IF(LEN($AB28)&gt;35,"County; ","")&amp;IF(AND($L28="",AND($N28&lt;&gt;"AE",$N28&lt;&gt;"QA")),"Postcode; ","")&amp;IF(LEN($L28)&gt;35,"Postcode; ","")&amp;IF($AE28&lt;&gt;"","Postcode; ","")&amp;IF(LEN($O28)&gt;40,"Gift Message 1; ","")&amp;IF(LEN($P28)&gt;40,"Gift Message 2; ","")&amp;IF(LEN($Q28)&gt;40,"Gift Message 3; ","")&amp;IF(LEN($R28)&gt;40,"Gift Message 4; ","")&amp;IF(LEN($S28)&gt;40,"Gift Message 5; ","")&amp;IF(LEN($T28)&gt;40,"Gift Message 6; ","")&amp;IF(LEN($U28)&gt;40,"Gift Message 7; ",""))</f>
        <v/>
      </c>
      <c r="X28" s="44" t="str">
        <f ca="1">IF(COUNTA($A28,$D28:$M28,$O28:$U28)=0,"",IF($A28="","Enter the Item Code (hamper) - type it, paste it, or choose it from the dropdown. ","")&amp;IF(AND($A28&lt;&gt;"",ISNA(MATCH($AC28,'PRODUCT DATA'!$D$2:$D$394,0))),"This Item Code is not recognised. Check the code (case does not matter, but spelling and digits must match exactly) or choose it from the dropdown. ","")&amp;IF($M28="","Enter the Country after the Item Code - type or paste the name or the 2-letter code, or choose it from the dropdown. ","")&amp;IF(AND($M28&lt;&gt;"",NOT(OR(NOT(ISNA(MATCH(IF(UPPER($M28)="UK","GB",$M28),'PRODUCT DATA'!$A$2:$A$58,0))),NOT(ISNA(MATCH(IF(UPPER($M28)="UK","GB",$M28),'PRODUCT DATA'!$B$2:$B$58,0)))))),"This Country is not recognised as either a full name or a 2-letter code. Check the spelling (case does not matter) or choose it from the dropdown. ","")&amp;IF(AND($A28&lt;&gt;"",$M28&lt;&gt;"",NOT(ISNA(MATCH($AC28,'PRODUCT DATA'!$D$2:$D$394,0))),OR(NOT(ISNA(MATCH(IF(UPPER($M28)="UK","GB",$M28),'PRODUCT DATA'!$A$2:$A$58,0))),NOT(ISNA(MATCH(IF(UPPER($M28)="UK","GB",$M28),'PRODUCT DATA'!$B$2:$B$58,0)))),NOT(IFERROR(COUNTIF(OFFSET('PRODUCT DATA'!$F$2,0,MATCH($AC28,'PRODUCT DATA'!$F$1:$NN$1,0)-1,114,1),$N28)&gt;0,FALSE()))),IF(UPPER(IFERROR(OFFSET('PRODUCT DATA'!$C$2,MATCH($N28,'PRODUCT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"),"")&amp;IF($C28="","Enter Quantity. ","")&amp;IF(AND($C28&lt;&gt;"",OR(NOT(ISNUMBER($C28)),$C28&lt;1,$C28&gt;999,MOD($C28,1)&lt;&gt;0)),"Quantity must be a whole number from 1 to 999 (use a quantity above 1 only for a genuine bulk order of identical items to ONE address — otherwise use a separate row per recipient). ","")&amp;IF($D28="","Enter Recipient Name. ","")&amp;IF(LEN($D28)&gt;35,"Recipient Name exceeds 35 characters. ","")&amp;IF($E28="","Enter Recipient Phone. ","")&amp;IF(AND($E28&lt;&gt;"",OR(LEN($E28)&lt;6,LEN($E28)&gt;20,NOT(IFERROR(ISNUMBER(1*$E28),FALSE())))),"Phone must be the LOCAL number for the destination country: digits only, no +, spaces, or country code, 6 to 20 digits. ","")&amp;IF(LEN($F28)&gt;35,"Recipient Company Name exceeds 35 characters. ","")&amp;IF($G28="","Enter Address Line 1. ","")&amp;IF(LEN($G28)&gt;35,"Address Line 1 exceeds the 35-character SAP limit. ","")&amp;IF(LEN($H28)&gt;35,"Address Line 2 exceeds the 35-character SAP limit. ","")&amp;IF(LEN($I28)&gt;35,"Address Line 3 exceeds the 35-character SAP limit. ","")&amp;IF($J28="","Enter Town. This must never be left blank, even if there is no conventional town name. ","")&amp;IF(LEN($J28)&gt;35,"Town exceeds 35 characters. ","")&amp;IF(AND($N28="IE",$K28=""),"County is required for deliveries within the Republic of Ireland. ","")&amp;IF(LEN($AB28)&gt;35,"County exceeds 35 characters. ","")&amp;IF(AND($L28="",AND($N28&lt;&gt;"AE",$N28&lt;&gt;"QA")),"Postcode is required for the selected country. If there is genuinely no postcode, enter the first 3 characters of the area (e.g. D15). ","")&amp;IF(LEN($L28)&gt;35,"Postcode exceeds 35 characters. ","")&amp;IF($AE28&lt;&gt;"",$AE28,"")&amp;IF(LEN($O28)&gt;40,"Gift Message Line 1 exceeds 40 characters. ","")&amp;IF(LEN($P28)&gt;40,"Gift Message Line 2 exceeds 40 characters. ","")&amp;IF(LEN($Q28)&gt;40,"Gift Message Line 3 exceeds 40 characters. ","")&amp;IF(LEN($R28)&gt;40,"Gift Message Line 4 exceeds 40 characters. ","")&amp;IF(LEN($S28)&gt;40,"Gift Message Line 5 exceeds 40 characters. ","")&amp;IF(LEN($T28)&gt;40,"Gift Message Line 6 exceeds 40 characters. ","")&amp;IF(LEN($U28)&gt;40,"Gift Message Line 7 exceeds 40 characters. ",""))</f>
        <v/>
      </c>
      <c r="Y28" s="44" t="str">
        <f t="shared" si="1"/>
        <v/>
      </c>
      <c r="Z28" s="44"/>
      <c r="AA28" s="44"/>
      <c r="AB28" s="32" t="str">
        <f t="shared" si="2"/>
        <v/>
      </c>
      <c r="AC28" s="32" t="str">
        <f>IF($A28="","",IFERROR(LEFT(INDEX('PRODUCT DATA'!$NO$2:$NO$25,MATCH($A28,'PRODUCT DATA'!$NP$2:$NP$25,0)),FIND("|",INDEX('PRODUCT DATA'!$NO$2:$NO$25,MATCH($A28,'PRODUCT DATA'!$NP$2:$NP$25,0)))-1),$A28))</f>
        <v/>
      </c>
      <c r="AD28" s="45"/>
      <c r="AE28" s="45" t="str">
        <f t="shared" si="3"/>
        <v/>
      </c>
    </row>
    <row r="29" spans="1:31" ht="15" customHeight="1" x14ac:dyDescent="0.25">
      <c r="A29" s="40"/>
      <c r="B29" s="43" t="str">
        <f>IF($A29="","",IFERROR(VLOOKUP($AC29,'PRODUCT DATA'!$NR$2:$NS$374,2,FALSE()),"UNKNOWN ITEM CODE - please check"))</f>
        <v/>
      </c>
      <c r="C29" s="39">
        <v>1</v>
      </c>
      <c r="D29" s="39"/>
      <c r="E29" s="40"/>
      <c r="F29" s="41"/>
      <c r="G29" s="39"/>
      <c r="H29" s="41"/>
      <c r="I29" s="41"/>
      <c r="J29" s="39"/>
      <c r="K29" s="41"/>
      <c r="L29" s="40"/>
      <c r="M29" s="40"/>
      <c r="N29" s="42" t="str">
        <f>IF($M29="","",IFERROR(INDEX('PRODUCT DATA'!$B$2:$B$58,MATCH(IF(UPPER($M29)="UK","GB",$M29),'PRODUCT DATA'!$B$2:$B$58,0)),IFERROR(INDEX('PRODUCT DATA'!$B$2:$B$58,MATCH(IF(UPPER($M29)="UK","GB",$M29),'PRODUCT DATA'!$A$2:$A$58,0)),"UNKNOWN COUNTRY - please check")))</f>
        <v/>
      </c>
      <c r="O29" s="41"/>
      <c r="P29" s="41"/>
      <c r="Q29" s="41"/>
      <c r="R29" s="41"/>
      <c r="S29" s="41"/>
      <c r="T29" s="41"/>
      <c r="U29" s="41"/>
      <c r="V29" s="43" t="str">
        <f t="shared" si="0"/>
        <v/>
      </c>
      <c r="W29" s="44" t="str">
        <f ca="1">IF(COUNTA($A29,$D29:$M29,$O29:$U29)=0,"",IF($A29="","Item Code; ","")&amp;IF(AND($A29&lt;&gt;"",ISNA(MATCH($AC29,'PRODUCT DATA'!$D$2:$D$394,0))),"Item Code; ","")&amp;IF($M29="","Country; ","")&amp;IF(AND($M29&lt;&gt;"",NOT(OR(NOT(ISNA(MATCH(IF(UPPER($M29)="UK","GB",$M29),'PRODUCT DATA'!$A$2:$A$58,0))),NOT(ISNA(MATCH(IF(UPPER($M29)="UK","GB",$M29),'PRODUCT DATA'!$B$2:$B$58,0)))))),"Country; ","")&amp;IF(AND($A29&lt;&gt;"",$M29&lt;&gt;"",NOT(ISNA(MATCH($AC29,'PRODUCT DATA'!$D$2:$D$394,0))),OR(NOT(ISNA(MATCH(IF(UPPER($M29)="UK","GB",$M29),'PRODUCT DATA'!$A$2:$A$58,0))),NOT(ISNA(MATCH(IF(UPPER($M29)="UK","GB",$M29),'PRODUCT DATA'!$B$2:$B$58,0)))),NOT(IFERROR(COUNTIF(OFFSET('PRODUCT DATA'!$F$2,0,MATCH($AC29,'PRODUCT DATA'!$F$1:$NN$1,0)-1,114,1),$N29)&gt;0,FALSE()))),IF(UPPER(IFERROR(OFFSET('PRODUCT DATA'!$C$2,MATCH($N29,'PRODUCT DATA'!$B$2:$B$58,0)-1,0),""))="NO","Alcohol Restriction; ","Item Code / Country combination; "),"")&amp;IF($C29="","Quantity; ","")&amp;IF(AND($C29&lt;&gt;"",OR(NOT(ISNUMBER($C29)),$C29&lt;1,$C29&gt;999,MOD($C29,1)&lt;&gt;0)),"Quantity; ","")&amp;IF($D29="","Recipient Name; ","")&amp;IF(LEN($D29)&gt;35,"Recipient Name; ","")&amp;IF($E29="","Recipient Phone; ","")&amp;IF(AND($E29&lt;&gt;"",OR(LEN($E29)&lt;6,LEN($E29)&gt;20,NOT(IFERROR(ISNUMBER(1*$E29),FALSE())))),"Recipient Phone; ","")&amp;IF(LEN($F29)&gt;35,"Recipient Company Name; ","")&amp;IF($G29="","Address Line 1; ","")&amp;IF(LEN($G29)&gt;35,"Address Line 1; ","")&amp;IF(LEN($H29)&gt;35,"Address Line 2; ","")&amp;IF(LEN($I29)&gt;35,"Address Line 3; ","")&amp;IF($J29="","Town; ","")&amp;IF(LEN($J29)&gt;35,"Town; ","")&amp;IF(AND($N29="IE",$K29=""),"County; ","")&amp;IF(LEN($AB29)&gt;35,"County; ","")&amp;IF(AND($L29="",AND($N29&lt;&gt;"AE",$N29&lt;&gt;"QA")),"Postcode; ","")&amp;IF(LEN($L29)&gt;35,"Postcode; ","")&amp;IF($AE29&lt;&gt;"","Postcode; ","")&amp;IF(LEN($O29)&gt;40,"Gift Message 1; ","")&amp;IF(LEN($P29)&gt;40,"Gift Message 2; ","")&amp;IF(LEN($Q29)&gt;40,"Gift Message 3; ","")&amp;IF(LEN($R29)&gt;40,"Gift Message 4; ","")&amp;IF(LEN($S29)&gt;40,"Gift Message 5; ","")&amp;IF(LEN($T29)&gt;40,"Gift Message 6; ","")&amp;IF(LEN($U29)&gt;40,"Gift Message 7; ",""))</f>
        <v/>
      </c>
      <c r="X29" s="44" t="str">
        <f ca="1">IF(COUNTA($A29,$D29:$M29,$O29:$U29)=0,"",IF($A29="","Enter the Item Code (hamper) - type it, paste it, or choose it from the dropdown. ","")&amp;IF(AND($A29&lt;&gt;"",ISNA(MATCH($AC29,'PRODUCT DATA'!$D$2:$D$394,0))),"This Item Code is not recognised. Check the code (case does not matter, but spelling and digits must match exactly) or choose it from the dropdown. ","")&amp;IF($M29="","Enter the Country after the Item Code - type or paste the name or the 2-letter code, or choose it from the dropdown. ","")&amp;IF(AND($M29&lt;&gt;"",NOT(OR(NOT(ISNA(MATCH(IF(UPPER($M29)="UK","GB",$M29),'PRODUCT DATA'!$A$2:$A$58,0))),NOT(ISNA(MATCH(IF(UPPER($M29)="UK","GB",$M29),'PRODUCT DATA'!$B$2:$B$58,0)))))),"This Country is not recognised as either a full name or a 2-letter code. Check the spelling (case does not matter) or choose it from the dropdown. ","")&amp;IF(AND($A29&lt;&gt;"",$M29&lt;&gt;"",NOT(ISNA(MATCH($AC29,'PRODUCT DATA'!$D$2:$D$394,0))),OR(NOT(ISNA(MATCH(IF(UPPER($M29)="UK","GB",$M29),'PRODUCT DATA'!$A$2:$A$58,0))),NOT(ISNA(MATCH(IF(UPPER($M29)="UK","GB",$M29),'PRODUCT DATA'!$B$2:$B$58,0)))),NOT(IFERROR(COUNTIF(OFFSET('PRODUCT DATA'!$F$2,0,MATCH($AC29,'PRODUCT DATA'!$F$1:$NN$1,0)-1,114,1),$N29)&gt;0,FALSE()))),IF(UPPER(IFERROR(OFFSET('PRODUCT DATA'!$C$2,MATCH($N29,'PRODUCT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"),"")&amp;IF($C29="","Enter Quantity. ","")&amp;IF(AND($C29&lt;&gt;"",OR(NOT(ISNUMBER($C29)),$C29&lt;1,$C29&gt;999,MOD($C29,1)&lt;&gt;0)),"Quantity must be a whole number from 1 to 999 (use a quantity above 1 only for a genuine bulk order of identical items to ONE address — otherwise use a separate row per recipient). ","")&amp;IF($D29="","Enter Recipient Name. ","")&amp;IF(LEN($D29)&gt;35,"Recipient Name exceeds 35 characters. ","")&amp;IF($E29="","Enter Recipient Phone. ","")&amp;IF(AND($E29&lt;&gt;"",OR(LEN($E29)&lt;6,LEN($E29)&gt;20,NOT(IFERROR(ISNUMBER(1*$E29),FALSE())))),"Phone must be the LOCAL number for the destination country: digits only, no +, spaces, or country code, 6 to 20 digits. ","")&amp;IF(LEN($F29)&gt;35,"Recipient Company Name exceeds 35 characters. ","")&amp;IF($G29="","Enter Address Line 1. ","")&amp;IF(LEN($G29)&gt;35,"Address Line 1 exceeds the 35-character SAP limit. ","")&amp;IF(LEN($H29)&gt;35,"Address Line 2 exceeds the 35-character SAP limit. ","")&amp;IF(LEN($I29)&gt;35,"Address Line 3 exceeds the 35-character SAP limit. ","")&amp;IF($J29="","Enter Town. This must never be left blank, even if there is no conventional town name. ","")&amp;IF(LEN($J29)&gt;35,"Town exceeds 35 characters. ","")&amp;IF(AND($N29="IE",$K29=""),"County is required for deliveries within the Republic of Ireland. ","")&amp;IF(LEN($AB29)&gt;35,"County exceeds 35 characters. ","")&amp;IF(AND($L29="",AND($N29&lt;&gt;"AE",$N29&lt;&gt;"QA")),"Postcode is required for the selected country. If there is genuinely no postcode, enter the first 3 characters of the area (e.g. D15). ","")&amp;IF(LEN($L29)&gt;35,"Postcode exceeds 35 characters. ","")&amp;IF($AE29&lt;&gt;"",$AE29,"")&amp;IF(LEN($O29)&gt;40,"Gift Message Line 1 exceeds 40 characters. ","")&amp;IF(LEN($P29)&gt;40,"Gift Message Line 2 exceeds 40 characters. ","")&amp;IF(LEN($Q29)&gt;40,"Gift Message Line 3 exceeds 40 characters. ","")&amp;IF(LEN($R29)&gt;40,"Gift Message Line 4 exceeds 40 characters. ","")&amp;IF(LEN($S29)&gt;40,"Gift Message Line 5 exceeds 40 characters. ","")&amp;IF(LEN($T29)&gt;40,"Gift Message Line 6 exceeds 40 characters. ","")&amp;IF(LEN($U29)&gt;40,"Gift Message Line 7 exceeds 40 characters. ",""))</f>
        <v/>
      </c>
      <c r="Y29" s="44" t="str">
        <f t="shared" si="1"/>
        <v/>
      </c>
      <c r="Z29" s="44"/>
      <c r="AA29" s="44"/>
      <c r="AB29" s="32" t="str">
        <f t="shared" si="2"/>
        <v/>
      </c>
      <c r="AC29" s="32" t="str">
        <f>IF($A29="","",IFERROR(LEFT(INDEX('PRODUCT DATA'!$NO$2:$NO$25,MATCH($A29,'PRODUCT DATA'!$NP$2:$NP$25,0)),FIND("|",INDEX('PRODUCT DATA'!$NO$2:$NO$25,MATCH($A29,'PRODUCT DATA'!$NP$2:$NP$25,0)))-1),$A29))</f>
        <v/>
      </c>
      <c r="AD29" s="45"/>
      <c r="AE29" s="45" t="str">
        <f t="shared" si="3"/>
        <v/>
      </c>
    </row>
    <row r="30" spans="1:31" ht="15" customHeight="1" x14ac:dyDescent="0.25">
      <c r="A30" s="40"/>
      <c r="B30" s="43" t="str">
        <f>IF($A30="","",IFERROR(VLOOKUP($AC30,'PRODUCT DATA'!$NR$2:$NS$374,2,FALSE()),"UNKNOWN ITEM CODE - please check"))</f>
        <v/>
      </c>
      <c r="C30" s="39">
        <v>1</v>
      </c>
      <c r="D30" s="39"/>
      <c r="E30" s="40"/>
      <c r="F30" s="41"/>
      <c r="G30" s="39"/>
      <c r="H30" s="41"/>
      <c r="I30" s="41"/>
      <c r="J30" s="39"/>
      <c r="K30" s="41"/>
      <c r="L30" s="40"/>
      <c r="M30" s="40"/>
      <c r="N30" s="42" t="str">
        <f>IF($M30="","",IFERROR(INDEX('PRODUCT DATA'!$B$2:$B$58,MATCH(IF(UPPER($M30)="UK","GB",$M30),'PRODUCT DATA'!$B$2:$B$58,0)),IFERROR(INDEX('PRODUCT DATA'!$B$2:$B$58,MATCH(IF(UPPER($M30)="UK","GB",$M30),'PRODUCT DATA'!$A$2:$A$58,0)),"UNKNOWN COUNTRY - please check")))</f>
        <v/>
      </c>
      <c r="O30" s="41"/>
      <c r="P30" s="41"/>
      <c r="Q30" s="41"/>
      <c r="R30" s="41"/>
      <c r="S30" s="41"/>
      <c r="T30" s="41"/>
      <c r="U30" s="41"/>
      <c r="V30" s="43" t="str">
        <f t="shared" si="0"/>
        <v/>
      </c>
      <c r="W30" s="44" t="str">
        <f ca="1">IF(COUNTA($A30,$D30:$M30,$O30:$U30)=0,"",IF($A30="","Item Code; ","")&amp;IF(AND($A30&lt;&gt;"",ISNA(MATCH($AC30,'PRODUCT DATA'!$D$2:$D$394,0))),"Item Code; ","")&amp;IF($M30="","Country; ","")&amp;IF(AND($M30&lt;&gt;"",NOT(OR(NOT(ISNA(MATCH(IF(UPPER($M30)="UK","GB",$M30),'PRODUCT DATA'!$A$2:$A$58,0))),NOT(ISNA(MATCH(IF(UPPER($M30)="UK","GB",$M30),'PRODUCT DATA'!$B$2:$B$58,0)))))),"Country; ","")&amp;IF(AND($A30&lt;&gt;"",$M30&lt;&gt;"",NOT(ISNA(MATCH($AC30,'PRODUCT DATA'!$D$2:$D$394,0))),OR(NOT(ISNA(MATCH(IF(UPPER($M30)="UK","GB",$M30),'PRODUCT DATA'!$A$2:$A$58,0))),NOT(ISNA(MATCH(IF(UPPER($M30)="UK","GB",$M30),'PRODUCT DATA'!$B$2:$B$58,0)))),NOT(IFERROR(COUNTIF(OFFSET('PRODUCT DATA'!$F$2,0,MATCH($AC30,'PRODUCT DATA'!$F$1:$NN$1,0)-1,114,1),$N30)&gt;0,FALSE()))),IF(UPPER(IFERROR(OFFSET('PRODUCT DATA'!$C$2,MATCH($N30,'PRODUCT DATA'!$B$2:$B$58,0)-1,0),""))="NO","Alcohol Restriction; ","Item Code / Country combination; "),"")&amp;IF($C30="","Quantity; ","")&amp;IF(AND($C30&lt;&gt;"",OR(NOT(ISNUMBER($C30)),$C30&lt;1,$C30&gt;999,MOD($C30,1)&lt;&gt;0)),"Quantity; ","")&amp;IF($D30="","Recipient Name; ","")&amp;IF(LEN($D30)&gt;35,"Recipient Name; ","")&amp;IF($E30="","Recipient Phone; ","")&amp;IF(AND($E30&lt;&gt;"",OR(LEN($E30)&lt;6,LEN($E30)&gt;20,NOT(IFERROR(ISNUMBER(1*$E30),FALSE())))),"Recipient Phone; ","")&amp;IF(LEN($F30)&gt;35,"Recipient Company Name; ","")&amp;IF($G30="","Address Line 1; ","")&amp;IF(LEN($G30)&gt;35,"Address Line 1; ","")&amp;IF(LEN($H30)&gt;35,"Address Line 2; ","")&amp;IF(LEN($I30)&gt;35,"Address Line 3; ","")&amp;IF($J30="","Town; ","")&amp;IF(LEN($J30)&gt;35,"Town; ","")&amp;IF(AND($N30="IE",$K30=""),"County; ","")&amp;IF(LEN($AB30)&gt;35,"County; ","")&amp;IF(AND($L30="",AND($N30&lt;&gt;"AE",$N30&lt;&gt;"QA")),"Postcode; ","")&amp;IF(LEN($L30)&gt;35,"Postcode; ","")&amp;IF($AE30&lt;&gt;"","Postcode; ","")&amp;IF(LEN($O30)&gt;40,"Gift Message 1; ","")&amp;IF(LEN($P30)&gt;40,"Gift Message 2; ","")&amp;IF(LEN($Q30)&gt;40,"Gift Message 3; ","")&amp;IF(LEN($R30)&gt;40,"Gift Message 4; ","")&amp;IF(LEN($S30)&gt;40,"Gift Message 5; ","")&amp;IF(LEN($T30)&gt;40,"Gift Message 6; ","")&amp;IF(LEN($U30)&gt;40,"Gift Message 7; ",""))</f>
        <v/>
      </c>
      <c r="X30" s="44" t="str">
        <f ca="1">IF(COUNTA($A30,$D30:$M30,$O30:$U30)=0,"",IF($A30="","Enter the Item Code (hamper) - type it, paste it, or choose it from the dropdown. ","")&amp;IF(AND($A30&lt;&gt;"",ISNA(MATCH($AC30,'PRODUCT DATA'!$D$2:$D$394,0))),"This Item Code is not recognised. Check the code (case does not matter, but spelling and digits must match exactly) or choose it from the dropdown. ","")&amp;IF($M30="","Enter the Country after the Item Code - type or paste the name or the 2-letter code, or choose it from the dropdown. ","")&amp;IF(AND($M30&lt;&gt;"",NOT(OR(NOT(ISNA(MATCH(IF(UPPER($M30)="UK","GB",$M30),'PRODUCT DATA'!$A$2:$A$58,0))),NOT(ISNA(MATCH(IF(UPPER($M30)="UK","GB",$M30),'PRODUCT DATA'!$B$2:$B$58,0)))))),"This Country is not recognised as either a full name or a 2-letter code. Check the spelling (case does not matter) or choose it from the dropdown. ","")&amp;IF(AND($A30&lt;&gt;"",$M30&lt;&gt;"",NOT(ISNA(MATCH($AC30,'PRODUCT DATA'!$D$2:$D$394,0))),OR(NOT(ISNA(MATCH(IF(UPPER($M30)="UK","GB",$M30),'PRODUCT DATA'!$A$2:$A$58,0))),NOT(ISNA(MATCH(IF(UPPER($M30)="UK","GB",$M30),'PRODUCT DATA'!$B$2:$B$58,0)))),NOT(IFERROR(COUNTIF(OFFSET('PRODUCT DATA'!$F$2,0,MATCH($AC30,'PRODUCT DATA'!$F$1:$NN$1,0)-1,114,1),$N30)&gt;0,FALSE()))),IF(UPPER(IFERROR(OFFSET('PRODUCT DATA'!$C$2,MATCH($N30,'PRODUCT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"),"")&amp;IF($C30="","Enter Quantity. ","")&amp;IF(AND($C30&lt;&gt;"",OR(NOT(ISNUMBER($C30)),$C30&lt;1,$C30&gt;999,MOD($C30,1)&lt;&gt;0)),"Quantity must be a whole number from 1 to 999 (use a quantity above 1 only for a genuine bulk order of identical items to ONE address — otherwise use a separate row per recipient). ","")&amp;IF($D30="","Enter Recipient Name. ","")&amp;IF(LEN($D30)&gt;35,"Recipient Name exceeds 35 characters. ","")&amp;IF($E30="","Enter Recipient Phone. ","")&amp;IF(AND($E30&lt;&gt;"",OR(LEN($E30)&lt;6,LEN($E30)&gt;20,NOT(IFERROR(ISNUMBER(1*$E30),FALSE())))),"Phone must be the LOCAL number for the destination country: digits only, no +, spaces, or country code, 6 to 20 digits. ","")&amp;IF(LEN($F30)&gt;35,"Recipient Company Name exceeds 35 characters. ","")&amp;IF($G30="","Enter Address Line 1. ","")&amp;IF(LEN($G30)&gt;35,"Address Line 1 exceeds the 35-character SAP limit. ","")&amp;IF(LEN($H30)&gt;35,"Address Line 2 exceeds the 35-character SAP limit. ","")&amp;IF(LEN($I30)&gt;35,"Address Line 3 exceeds the 35-character SAP limit. ","")&amp;IF($J30="","Enter Town. This must never be left blank, even if there is no conventional town name. ","")&amp;IF(LEN($J30)&gt;35,"Town exceeds 35 characters. ","")&amp;IF(AND($N30="IE",$K30=""),"County is required for deliveries within the Republic of Ireland. ","")&amp;IF(LEN($AB30)&gt;35,"County exceeds 35 characters. ","")&amp;IF(AND($L30="",AND($N30&lt;&gt;"AE",$N30&lt;&gt;"QA")),"Postcode is required for the selected country. If there is genuinely no postcode, enter the first 3 characters of the area (e.g. D15). ","")&amp;IF(LEN($L30)&gt;35,"Postcode exceeds 35 characters. ","")&amp;IF($AE30&lt;&gt;"",$AE30,"")&amp;IF(LEN($O30)&gt;40,"Gift Message Line 1 exceeds 40 characters. ","")&amp;IF(LEN($P30)&gt;40,"Gift Message Line 2 exceeds 40 characters. ","")&amp;IF(LEN($Q30)&gt;40,"Gift Message Line 3 exceeds 40 characters. ","")&amp;IF(LEN($R30)&gt;40,"Gift Message Line 4 exceeds 40 characters. ","")&amp;IF(LEN($S30)&gt;40,"Gift Message Line 5 exceeds 40 characters. ","")&amp;IF(LEN($T30)&gt;40,"Gift Message Line 6 exceeds 40 characters. ","")&amp;IF(LEN($U30)&gt;40,"Gift Message Line 7 exceeds 40 characters. ",""))</f>
        <v/>
      </c>
      <c r="Y30" s="44" t="str">
        <f t="shared" si="1"/>
        <v/>
      </c>
      <c r="Z30" s="44"/>
      <c r="AA30" s="44"/>
      <c r="AB30" s="32" t="str">
        <f t="shared" si="2"/>
        <v/>
      </c>
      <c r="AC30" s="32" t="str">
        <f>IF($A30="","",IFERROR(LEFT(INDEX('PRODUCT DATA'!$NO$2:$NO$25,MATCH($A30,'PRODUCT DATA'!$NP$2:$NP$25,0)),FIND("|",INDEX('PRODUCT DATA'!$NO$2:$NO$25,MATCH($A30,'PRODUCT DATA'!$NP$2:$NP$25,0)))-1),$A30))</f>
        <v/>
      </c>
      <c r="AD30" s="45"/>
      <c r="AE30" s="45" t="str">
        <f t="shared" si="3"/>
        <v/>
      </c>
    </row>
    <row r="31" spans="1:31" ht="15" customHeight="1" x14ac:dyDescent="0.25">
      <c r="A31" s="40"/>
      <c r="B31" s="43" t="str">
        <f>IF($A31="","",IFERROR(VLOOKUP($AC31,'PRODUCT DATA'!$NR$2:$NS$374,2,FALSE()),"UNKNOWN ITEM CODE - please check"))</f>
        <v/>
      </c>
      <c r="C31" s="39">
        <v>1</v>
      </c>
      <c r="D31" s="39"/>
      <c r="E31" s="40"/>
      <c r="F31" s="41"/>
      <c r="G31" s="39"/>
      <c r="H31" s="41"/>
      <c r="I31" s="41"/>
      <c r="J31" s="39"/>
      <c r="K31" s="41"/>
      <c r="L31" s="40"/>
      <c r="M31" s="40"/>
      <c r="N31" s="42" t="str">
        <f>IF($M31="","",IFERROR(INDEX('PRODUCT DATA'!$B$2:$B$58,MATCH(IF(UPPER($M31)="UK","GB",$M31),'PRODUCT DATA'!$B$2:$B$58,0)),IFERROR(INDEX('PRODUCT DATA'!$B$2:$B$58,MATCH(IF(UPPER($M31)="UK","GB",$M31),'PRODUCT DATA'!$A$2:$A$58,0)),"UNKNOWN COUNTRY - please check")))</f>
        <v/>
      </c>
      <c r="O31" s="41"/>
      <c r="P31" s="41"/>
      <c r="Q31" s="41"/>
      <c r="R31" s="41"/>
      <c r="S31" s="41"/>
      <c r="T31" s="41"/>
      <c r="U31" s="41"/>
      <c r="V31" s="43" t="str">
        <f t="shared" si="0"/>
        <v/>
      </c>
      <c r="W31" s="44" t="str">
        <f ca="1">IF(COUNTA($A31,$D31:$M31,$O31:$U31)=0,"",IF($A31="","Item Code; ","")&amp;IF(AND($A31&lt;&gt;"",ISNA(MATCH($AC31,'PRODUCT DATA'!$D$2:$D$394,0))),"Item Code; ","")&amp;IF($M31="","Country; ","")&amp;IF(AND($M31&lt;&gt;"",NOT(OR(NOT(ISNA(MATCH(IF(UPPER($M31)="UK","GB",$M31),'PRODUCT DATA'!$A$2:$A$58,0))),NOT(ISNA(MATCH(IF(UPPER($M31)="UK","GB",$M31),'PRODUCT DATA'!$B$2:$B$58,0)))))),"Country; ","")&amp;IF(AND($A31&lt;&gt;"",$M31&lt;&gt;"",NOT(ISNA(MATCH($AC31,'PRODUCT DATA'!$D$2:$D$394,0))),OR(NOT(ISNA(MATCH(IF(UPPER($M31)="UK","GB",$M31),'PRODUCT DATA'!$A$2:$A$58,0))),NOT(ISNA(MATCH(IF(UPPER($M31)="UK","GB",$M31),'PRODUCT DATA'!$B$2:$B$58,0)))),NOT(IFERROR(COUNTIF(OFFSET('PRODUCT DATA'!$F$2,0,MATCH($AC31,'PRODUCT DATA'!$F$1:$NN$1,0)-1,114,1),$N31)&gt;0,FALSE()))),IF(UPPER(IFERROR(OFFSET('PRODUCT DATA'!$C$2,MATCH($N31,'PRODUCT DATA'!$B$2:$B$58,0)-1,0),""))="NO","Alcohol Restriction; ","Item Code / Country combination; "),"")&amp;IF($C31="","Quantity; ","")&amp;IF(AND($C31&lt;&gt;"",OR(NOT(ISNUMBER($C31)),$C31&lt;1,$C31&gt;999,MOD($C31,1)&lt;&gt;0)),"Quantity; ","")&amp;IF($D31="","Recipient Name; ","")&amp;IF(LEN($D31)&gt;35,"Recipient Name; ","")&amp;IF($E31="","Recipient Phone; ","")&amp;IF(AND($E31&lt;&gt;"",OR(LEN($E31)&lt;6,LEN($E31)&gt;20,NOT(IFERROR(ISNUMBER(1*$E31),FALSE())))),"Recipient Phone; ","")&amp;IF(LEN($F31)&gt;35,"Recipient Company Name; ","")&amp;IF($G31="","Address Line 1; ","")&amp;IF(LEN($G31)&gt;35,"Address Line 1; ","")&amp;IF(LEN($H31)&gt;35,"Address Line 2; ","")&amp;IF(LEN($I31)&gt;35,"Address Line 3; ","")&amp;IF($J31="","Town; ","")&amp;IF(LEN($J31)&gt;35,"Town; ","")&amp;IF(AND($N31="IE",$K31=""),"County; ","")&amp;IF(LEN($AB31)&gt;35,"County; ","")&amp;IF(AND($L31="",AND($N31&lt;&gt;"AE",$N31&lt;&gt;"QA")),"Postcode; ","")&amp;IF(LEN($L31)&gt;35,"Postcode; ","")&amp;IF($AE31&lt;&gt;"","Postcode; ","")&amp;IF(LEN($O31)&gt;40,"Gift Message 1; ","")&amp;IF(LEN($P31)&gt;40,"Gift Message 2; ","")&amp;IF(LEN($Q31)&gt;40,"Gift Message 3; ","")&amp;IF(LEN($R31)&gt;40,"Gift Message 4; ","")&amp;IF(LEN($S31)&gt;40,"Gift Message 5; ","")&amp;IF(LEN($T31)&gt;40,"Gift Message 6; ","")&amp;IF(LEN($U31)&gt;40,"Gift Message 7; ",""))</f>
        <v/>
      </c>
      <c r="X31" s="44" t="str">
        <f ca="1">IF(COUNTA($A31,$D31:$M31,$O31:$U31)=0,"",IF($A31="","Enter the Item Code (hamper) - type it, paste it, or choose it from the dropdown. ","")&amp;IF(AND($A31&lt;&gt;"",ISNA(MATCH($AC31,'PRODUCT DATA'!$D$2:$D$394,0))),"This Item Code is not recognised. Check the code (case does not matter, but spelling and digits must match exactly) or choose it from the dropdown. ","")&amp;IF($M31="","Enter the Country after the Item Code - type or paste the name or the 2-letter code, or choose it from the dropdown. ","")&amp;IF(AND($M31&lt;&gt;"",NOT(OR(NOT(ISNA(MATCH(IF(UPPER($M31)="UK","GB",$M31),'PRODUCT DATA'!$A$2:$A$58,0))),NOT(ISNA(MATCH(IF(UPPER($M31)="UK","GB",$M31),'PRODUCT DATA'!$B$2:$B$58,0)))))),"This Country is not recognised as either a full name or a 2-letter code. Check the spelling (case does not matter) or choose it from the dropdown. ","")&amp;IF(AND($A31&lt;&gt;"",$M31&lt;&gt;"",NOT(ISNA(MATCH($AC31,'PRODUCT DATA'!$D$2:$D$394,0))),OR(NOT(ISNA(MATCH(IF(UPPER($M31)="UK","GB",$M31),'PRODUCT DATA'!$A$2:$A$58,0))),NOT(ISNA(MATCH(IF(UPPER($M31)="UK","GB",$M31),'PRODUCT DATA'!$B$2:$B$58,0)))),NOT(IFERROR(COUNTIF(OFFSET('PRODUCT DATA'!$F$2,0,MATCH($AC31,'PRODUCT DATA'!$F$1:$NN$1,0)-1,114,1),$N31)&gt;0,FALSE()))),IF(UPPER(IFERROR(OFFSET('PRODUCT DATA'!$C$2,MATCH($N31,'PRODUCT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"),"")&amp;IF($C31="","Enter Quantity. ","")&amp;IF(AND($C31&lt;&gt;"",OR(NOT(ISNUMBER($C31)),$C31&lt;1,$C31&gt;999,MOD($C31,1)&lt;&gt;0)),"Quantity must be a whole number from 1 to 999 (use a quantity above 1 only for a genuine bulk order of identical items to ONE address — otherwise use a separate row per recipient). ","")&amp;IF($D31="","Enter Recipient Name. ","")&amp;IF(LEN($D31)&gt;35,"Recipient Name exceeds 35 characters. ","")&amp;IF($E31="","Enter Recipient Phone. ","")&amp;IF(AND($E31&lt;&gt;"",OR(LEN($E31)&lt;6,LEN($E31)&gt;20,NOT(IFERROR(ISNUMBER(1*$E31),FALSE())))),"Phone must be the LOCAL number for the destination country: digits only, no +, spaces, or country code, 6 to 20 digits. ","")&amp;IF(LEN($F31)&gt;35,"Recipient Company Name exceeds 35 characters. ","")&amp;IF($G31="","Enter Address Line 1. ","")&amp;IF(LEN($G31)&gt;35,"Address Line 1 exceeds the 35-character SAP limit. ","")&amp;IF(LEN($H31)&gt;35,"Address Line 2 exceeds the 35-character SAP limit. ","")&amp;IF(LEN($I31)&gt;35,"Address Line 3 exceeds the 35-character SAP limit. ","")&amp;IF($J31="","Enter Town. This must never be left blank, even if there is no conventional town name. ","")&amp;IF(LEN($J31)&gt;35,"Town exceeds 35 characters. ","")&amp;IF(AND($N31="IE",$K31=""),"County is required for deliveries within the Republic of Ireland. ","")&amp;IF(LEN($AB31)&gt;35,"County exceeds 35 characters. ","")&amp;IF(AND($L31="",AND($N31&lt;&gt;"AE",$N31&lt;&gt;"QA")),"Postcode is required for the selected country. If there is genuinely no postcode, enter the first 3 characters of the area (e.g. D15). ","")&amp;IF(LEN($L31)&gt;35,"Postcode exceeds 35 characters. ","")&amp;IF($AE31&lt;&gt;"",$AE31,"")&amp;IF(LEN($O31)&gt;40,"Gift Message Line 1 exceeds 40 characters. ","")&amp;IF(LEN($P31)&gt;40,"Gift Message Line 2 exceeds 40 characters. ","")&amp;IF(LEN($Q31)&gt;40,"Gift Message Line 3 exceeds 40 characters. ","")&amp;IF(LEN($R31)&gt;40,"Gift Message Line 4 exceeds 40 characters. ","")&amp;IF(LEN($S31)&gt;40,"Gift Message Line 5 exceeds 40 characters. ","")&amp;IF(LEN($T31)&gt;40,"Gift Message Line 6 exceeds 40 characters. ","")&amp;IF(LEN($U31)&gt;40,"Gift Message Line 7 exceeds 40 characters. ",""))</f>
        <v/>
      </c>
      <c r="Y31" s="44" t="str">
        <f t="shared" si="1"/>
        <v/>
      </c>
      <c r="Z31" s="44"/>
      <c r="AA31" s="44"/>
      <c r="AB31" s="32" t="str">
        <f t="shared" si="2"/>
        <v/>
      </c>
      <c r="AC31" s="32" t="str">
        <f>IF($A31="","",IFERROR(LEFT(INDEX('PRODUCT DATA'!$NO$2:$NO$25,MATCH($A31,'PRODUCT DATA'!$NP$2:$NP$25,0)),FIND("|",INDEX('PRODUCT DATA'!$NO$2:$NO$25,MATCH($A31,'PRODUCT DATA'!$NP$2:$NP$25,0)))-1),$A31))</f>
        <v/>
      </c>
      <c r="AD31" s="45"/>
      <c r="AE31" s="45" t="str">
        <f t="shared" si="3"/>
        <v/>
      </c>
    </row>
    <row r="32" spans="1:31" ht="15" customHeight="1" x14ac:dyDescent="0.25">
      <c r="A32" s="40"/>
      <c r="B32" s="43" t="str">
        <f>IF($A32="","",IFERROR(VLOOKUP($AC32,'PRODUCT DATA'!$NR$2:$NS$374,2,FALSE()),"UNKNOWN ITEM CODE - please check"))</f>
        <v/>
      </c>
      <c r="C32" s="39">
        <v>1</v>
      </c>
      <c r="D32" s="39"/>
      <c r="E32" s="40"/>
      <c r="F32" s="41"/>
      <c r="G32" s="39"/>
      <c r="H32" s="41"/>
      <c r="I32" s="41"/>
      <c r="J32" s="39"/>
      <c r="K32" s="41"/>
      <c r="L32" s="40"/>
      <c r="M32" s="40"/>
      <c r="N32" s="42" t="str">
        <f>IF($M32="","",IFERROR(INDEX('PRODUCT DATA'!$B$2:$B$58,MATCH(IF(UPPER($M32)="UK","GB",$M32),'PRODUCT DATA'!$B$2:$B$58,0)),IFERROR(INDEX('PRODUCT DATA'!$B$2:$B$58,MATCH(IF(UPPER($M32)="UK","GB",$M32),'PRODUCT DATA'!$A$2:$A$58,0)),"UNKNOWN COUNTRY - please check")))</f>
        <v/>
      </c>
      <c r="O32" s="41"/>
      <c r="P32" s="41"/>
      <c r="Q32" s="41"/>
      <c r="R32" s="41"/>
      <c r="S32" s="41"/>
      <c r="T32" s="41"/>
      <c r="U32" s="41"/>
      <c r="V32" s="43" t="str">
        <f t="shared" si="0"/>
        <v/>
      </c>
      <c r="W32" s="44" t="str">
        <f ca="1">IF(COUNTA($A32,$D32:$M32,$O32:$U32)=0,"",IF($A32="","Item Code; ","")&amp;IF(AND($A32&lt;&gt;"",ISNA(MATCH($AC32,'PRODUCT DATA'!$D$2:$D$394,0))),"Item Code; ","")&amp;IF($M32="","Country; ","")&amp;IF(AND($M32&lt;&gt;"",NOT(OR(NOT(ISNA(MATCH(IF(UPPER($M32)="UK","GB",$M32),'PRODUCT DATA'!$A$2:$A$58,0))),NOT(ISNA(MATCH(IF(UPPER($M32)="UK","GB",$M32),'PRODUCT DATA'!$B$2:$B$58,0)))))),"Country; ","")&amp;IF(AND($A32&lt;&gt;"",$M32&lt;&gt;"",NOT(ISNA(MATCH($AC32,'PRODUCT DATA'!$D$2:$D$394,0))),OR(NOT(ISNA(MATCH(IF(UPPER($M32)="UK","GB",$M32),'PRODUCT DATA'!$A$2:$A$58,0))),NOT(ISNA(MATCH(IF(UPPER($M32)="UK","GB",$M32),'PRODUCT DATA'!$B$2:$B$58,0)))),NOT(IFERROR(COUNTIF(OFFSET('PRODUCT DATA'!$F$2,0,MATCH($AC32,'PRODUCT DATA'!$F$1:$NN$1,0)-1,114,1),$N32)&gt;0,FALSE()))),IF(UPPER(IFERROR(OFFSET('PRODUCT DATA'!$C$2,MATCH($N32,'PRODUCT DATA'!$B$2:$B$58,0)-1,0),""))="NO","Alcohol Restriction; ","Item Code / Country combination; "),"")&amp;IF($C32="","Quantity; ","")&amp;IF(AND($C32&lt;&gt;"",OR(NOT(ISNUMBER($C32)),$C32&lt;1,$C32&gt;999,MOD($C32,1)&lt;&gt;0)),"Quantity; ","")&amp;IF($D32="","Recipient Name; ","")&amp;IF(LEN($D32)&gt;35,"Recipient Name; ","")&amp;IF($E32="","Recipient Phone; ","")&amp;IF(AND($E32&lt;&gt;"",OR(LEN($E32)&lt;6,LEN($E32)&gt;20,NOT(IFERROR(ISNUMBER(1*$E32),FALSE())))),"Recipient Phone; ","")&amp;IF(LEN($F32)&gt;35,"Recipient Company Name; ","")&amp;IF($G32="","Address Line 1; ","")&amp;IF(LEN($G32)&gt;35,"Address Line 1; ","")&amp;IF(LEN($H32)&gt;35,"Address Line 2; ","")&amp;IF(LEN($I32)&gt;35,"Address Line 3; ","")&amp;IF($J32="","Town; ","")&amp;IF(LEN($J32)&gt;35,"Town; ","")&amp;IF(AND($N32="IE",$K32=""),"County; ","")&amp;IF(LEN($AB32)&gt;35,"County; ","")&amp;IF(AND($L32="",AND($N32&lt;&gt;"AE",$N32&lt;&gt;"QA")),"Postcode; ","")&amp;IF(LEN($L32)&gt;35,"Postcode; ","")&amp;IF($AE32&lt;&gt;"","Postcode; ","")&amp;IF(LEN($O32)&gt;40,"Gift Message 1; ","")&amp;IF(LEN($P32)&gt;40,"Gift Message 2; ","")&amp;IF(LEN($Q32)&gt;40,"Gift Message 3; ","")&amp;IF(LEN($R32)&gt;40,"Gift Message 4; ","")&amp;IF(LEN($S32)&gt;40,"Gift Message 5; ","")&amp;IF(LEN($T32)&gt;40,"Gift Message 6; ","")&amp;IF(LEN($U32)&gt;40,"Gift Message 7; ",""))</f>
        <v/>
      </c>
      <c r="X32" s="44" t="str">
        <f ca="1">IF(COUNTA($A32,$D32:$M32,$O32:$U32)=0,"",IF($A32="","Enter the Item Code (hamper) - type it, paste it, or choose it from the dropdown. ","")&amp;IF(AND($A32&lt;&gt;"",ISNA(MATCH($AC32,'PRODUCT DATA'!$D$2:$D$394,0))),"This Item Code is not recognised. Check the code (case does not matter, but spelling and digits must match exactly) or choose it from the dropdown. ","")&amp;IF($M32="","Enter the Country after the Item Code - type or paste the name or the 2-letter code, or choose it from the dropdown. ","")&amp;IF(AND($M32&lt;&gt;"",NOT(OR(NOT(ISNA(MATCH(IF(UPPER($M32)="UK","GB",$M32),'PRODUCT DATA'!$A$2:$A$58,0))),NOT(ISNA(MATCH(IF(UPPER($M32)="UK","GB",$M32),'PRODUCT DATA'!$B$2:$B$58,0)))))),"This Country is not recognised as either a full name or a 2-letter code. Check the spelling (case does not matter) or choose it from the dropdown. ","")&amp;IF(AND($A32&lt;&gt;"",$M32&lt;&gt;"",NOT(ISNA(MATCH($AC32,'PRODUCT DATA'!$D$2:$D$394,0))),OR(NOT(ISNA(MATCH(IF(UPPER($M32)="UK","GB",$M32),'PRODUCT DATA'!$A$2:$A$58,0))),NOT(ISNA(MATCH(IF(UPPER($M32)="UK","GB",$M32),'PRODUCT DATA'!$B$2:$B$58,0)))),NOT(IFERROR(COUNTIF(OFFSET('PRODUCT DATA'!$F$2,0,MATCH($AC32,'PRODUCT DATA'!$F$1:$NN$1,0)-1,114,1),$N32)&gt;0,FALSE()))),IF(UPPER(IFERROR(OFFSET('PRODUCT DATA'!$C$2,MATCH($N32,'PRODUCT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"),"")&amp;IF($C32="","Enter Quantity. ","")&amp;IF(AND($C32&lt;&gt;"",OR(NOT(ISNUMBER($C32)),$C32&lt;1,$C32&gt;999,MOD($C32,1)&lt;&gt;0)),"Quantity must be a whole number from 1 to 999 (use a quantity above 1 only for a genuine bulk order of identical items to ONE address — otherwise use a separate row per recipient). ","")&amp;IF($D32="","Enter Recipient Name. ","")&amp;IF(LEN($D32)&gt;35,"Recipient Name exceeds 35 characters. ","")&amp;IF($E32="","Enter Recipient Phone. ","")&amp;IF(AND($E32&lt;&gt;"",OR(LEN($E32)&lt;6,LEN($E32)&gt;20,NOT(IFERROR(ISNUMBER(1*$E32),FALSE())))),"Phone must be the LOCAL number for the destination country: digits only, no +, spaces, or country code, 6 to 20 digits. ","")&amp;IF(LEN($F32)&gt;35,"Recipient Company Name exceeds 35 characters. ","")&amp;IF($G32="","Enter Address Line 1. ","")&amp;IF(LEN($G32)&gt;35,"Address Line 1 exceeds the 35-character SAP limit. ","")&amp;IF(LEN($H32)&gt;35,"Address Line 2 exceeds the 35-character SAP limit. ","")&amp;IF(LEN($I32)&gt;35,"Address Line 3 exceeds the 35-character SAP limit. ","")&amp;IF($J32="","Enter Town. This must never be left blank, even if there is no conventional town name. ","")&amp;IF(LEN($J32)&gt;35,"Town exceeds 35 characters. ","")&amp;IF(AND($N32="IE",$K32=""),"County is required for deliveries within the Republic of Ireland. ","")&amp;IF(LEN($AB32)&gt;35,"County exceeds 35 characters. ","")&amp;IF(AND($L32="",AND($N32&lt;&gt;"AE",$N32&lt;&gt;"QA")),"Postcode is required for the selected country. If there is genuinely no postcode, enter the first 3 characters of the area (e.g. D15). ","")&amp;IF(LEN($L32)&gt;35,"Postcode exceeds 35 characters. ","")&amp;IF($AE32&lt;&gt;"",$AE32,"")&amp;IF(LEN($O32)&gt;40,"Gift Message Line 1 exceeds 40 characters. ","")&amp;IF(LEN($P32)&gt;40,"Gift Message Line 2 exceeds 40 characters. ","")&amp;IF(LEN($Q32)&gt;40,"Gift Message Line 3 exceeds 40 characters. ","")&amp;IF(LEN($R32)&gt;40,"Gift Message Line 4 exceeds 40 characters. ","")&amp;IF(LEN($S32)&gt;40,"Gift Message Line 5 exceeds 40 characters. ","")&amp;IF(LEN($T32)&gt;40,"Gift Message Line 6 exceeds 40 characters. ","")&amp;IF(LEN($U32)&gt;40,"Gift Message Line 7 exceeds 40 characters. ",""))</f>
        <v/>
      </c>
      <c r="Y32" s="44" t="str">
        <f t="shared" si="1"/>
        <v/>
      </c>
      <c r="Z32" s="44"/>
      <c r="AA32" s="44"/>
      <c r="AB32" s="32" t="str">
        <f t="shared" si="2"/>
        <v/>
      </c>
      <c r="AC32" s="32" t="str">
        <f>IF($A32="","",IFERROR(LEFT(INDEX('PRODUCT DATA'!$NO$2:$NO$25,MATCH($A32,'PRODUCT DATA'!$NP$2:$NP$25,0)),FIND("|",INDEX('PRODUCT DATA'!$NO$2:$NO$25,MATCH($A32,'PRODUCT DATA'!$NP$2:$NP$25,0)))-1),$A32))</f>
        <v/>
      </c>
      <c r="AD32" s="45"/>
      <c r="AE32" s="45" t="str">
        <f t="shared" si="3"/>
        <v/>
      </c>
    </row>
    <row r="33" spans="1:31" ht="15" customHeight="1" x14ac:dyDescent="0.25">
      <c r="A33" s="40"/>
      <c r="B33" s="43" t="str">
        <f>IF($A33="","",IFERROR(VLOOKUP($AC33,'PRODUCT DATA'!$NR$2:$NS$374,2,FALSE()),"UNKNOWN ITEM CODE - please check"))</f>
        <v/>
      </c>
      <c r="C33" s="39">
        <v>1</v>
      </c>
      <c r="D33" s="39"/>
      <c r="E33" s="40"/>
      <c r="F33" s="41"/>
      <c r="G33" s="39"/>
      <c r="H33" s="41"/>
      <c r="I33" s="41"/>
      <c r="J33" s="39"/>
      <c r="K33" s="41"/>
      <c r="L33" s="40"/>
      <c r="M33" s="40"/>
      <c r="N33" s="42" t="str">
        <f>IF($M33="","",IFERROR(INDEX('PRODUCT DATA'!$B$2:$B$58,MATCH(IF(UPPER($M33)="UK","GB",$M33),'PRODUCT DATA'!$B$2:$B$58,0)),IFERROR(INDEX('PRODUCT DATA'!$B$2:$B$58,MATCH(IF(UPPER($M33)="UK","GB",$M33),'PRODUCT DATA'!$A$2:$A$58,0)),"UNKNOWN COUNTRY - please check")))</f>
        <v/>
      </c>
      <c r="O33" s="41"/>
      <c r="P33" s="41"/>
      <c r="Q33" s="41"/>
      <c r="R33" s="41"/>
      <c r="S33" s="41"/>
      <c r="T33" s="41"/>
      <c r="U33" s="41"/>
      <c r="V33" s="43" t="str">
        <f t="shared" si="0"/>
        <v/>
      </c>
      <c r="W33" s="44" t="str">
        <f ca="1">IF(COUNTA($A33,$D33:$M33,$O33:$U33)=0,"",IF($A33="","Item Code; ","")&amp;IF(AND($A33&lt;&gt;"",ISNA(MATCH($AC33,'PRODUCT DATA'!$D$2:$D$394,0))),"Item Code; ","")&amp;IF($M33="","Country; ","")&amp;IF(AND($M33&lt;&gt;"",NOT(OR(NOT(ISNA(MATCH(IF(UPPER($M33)="UK","GB",$M33),'PRODUCT DATA'!$A$2:$A$58,0))),NOT(ISNA(MATCH(IF(UPPER($M33)="UK","GB",$M33),'PRODUCT DATA'!$B$2:$B$58,0)))))),"Country; ","")&amp;IF(AND($A33&lt;&gt;"",$M33&lt;&gt;"",NOT(ISNA(MATCH($AC33,'PRODUCT DATA'!$D$2:$D$394,0))),OR(NOT(ISNA(MATCH(IF(UPPER($M33)="UK","GB",$M33),'PRODUCT DATA'!$A$2:$A$58,0))),NOT(ISNA(MATCH(IF(UPPER($M33)="UK","GB",$M33),'PRODUCT DATA'!$B$2:$B$58,0)))),NOT(IFERROR(COUNTIF(OFFSET('PRODUCT DATA'!$F$2,0,MATCH($AC33,'PRODUCT DATA'!$F$1:$NN$1,0)-1,114,1),$N33)&gt;0,FALSE()))),IF(UPPER(IFERROR(OFFSET('PRODUCT DATA'!$C$2,MATCH($N33,'PRODUCT DATA'!$B$2:$B$58,0)-1,0),""))="NO","Alcohol Restriction; ","Item Code / Country combination; "),"")&amp;IF($C33="","Quantity; ","")&amp;IF(AND($C33&lt;&gt;"",OR(NOT(ISNUMBER($C33)),$C33&lt;1,$C33&gt;999,MOD($C33,1)&lt;&gt;0)),"Quantity; ","")&amp;IF($D33="","Recipient Name; ","")&amp;IF(LEN($D33)&gt;35,"Recipient Name; ","")&amp;IF($E33="","Recipient Phone; ","")&amp;IF(AND($E33&lt;&gt;"",OR(LEN($E33)&lt;6,LEN($E33)&gt;20,NOT(IFERROR(ISNUMBER(1*$E33),FALSE())))),"Recipient Phone; ","")&amp;IF(LEN($F33)&gt;35,"Recipient Company Name; ","")&amp;IF($G33="","Address Line 1; ","")&amp;IF(LEN($G33)&gt;35,"Address Line 1; ","")&amp;IF(LEN($H33)&gt;35,"Address Line 2; ","")&amp;IF(LEN($I33)&gt;35,"Address Line 3; ","")&amp;IF($J33="","Town; ","")&amp;IF(LEN($J33)&gt;35,"Town; ","")&amp;IF(AND($N33="IE",$K33=""),"County; ","")&amp;IF(LEN($AB33)&gt;35,"County; ","")&amp;IF(AND($L33="",AND($N33&lt;&gt;"AE",$N33&lt;&gt;"QA")),"Postcode; ","")&amp;IF(LEN($L33)&gt;35,"Postcode; ","")&amp;IF($AE33&lt;&gt;"","Postcode; ","")&amp;IF(LEN($O33)&gt;40,"Gift Message 1; ","")&amp;IF(LEN($P33)&gt;40,"Gift Message 2; ","")&amp;IF(LEN($Q33)&gt;40,"Gift Message 3; ","")&amp;IF(LEN($R33)&gt;40,"Gift Message 4; ","")&amp;IF(LEN($S33)&gt;40,"Gift Message 5; ","")&amp;IF(LEN($T33)&gt;40,"Gift Message 6; ","")&amp;IF(LEN($U33)&gt;40,"Gift Message 7; ",""))</f>
        <v/>
      </c>
      <c r="X33" s="44" t="str">
        <f ca="1">IF(COUNTA($A33,$D33:$M33,$O33:$U33)=0,"",IF($A33="","Enter the Item Code (hamper) - type it, paste it, or choose it from the dropdown. ","")&amp;IF(AND($A33&lt;&gt;"",ISNA(MATCH($AC33,'PRODUCT DATA'!$D$2:$D$394,0))),"This Item Code is not recognised. Check the code (case does not matter, but spelling and digits must match exactly) or choose it from the dropdown. ","")&amp;IF($M33="","Enter the Country after the Item Code - type or paste the name or the 2-letter code, or choose it from the dropdown. ","")&amp;IF(AND($M33&lt;&gt;"",NOT(OR(NOT(ISNA(MATCH(IF(UPPER($M33)="UK","GB",$M33),'PRODUCT DATA'!$A$2:$A$58,0))),NOT(ISNA(MATCH(IF(UPPER($M33)="UK","GB",$M33),'PRODUCT DATA'!$B$2:$B$58,0)))))),"This Country is not recognised as either a full name or a 2-letter code. Check the spelling (case does not matter) or choose it from the dropdown. ","")&amp;IF(AND($A33&lt;&gt;"",$M33&lt;&gt;"",NOT(ISNA(MATCH($AC33,'PRODUCT DATA'!$D$2:$D$394,0))),OR(NOT(ISNA(MATCH(IF(UPPER($M33)="UK","GB",$M33),'PRODUCT DATA'!$A$2:$A$58,0))),NOT(ISNA(MATCH(IF(UPPER($M33)="UK","GB",$M33),'PRODUCT DATA'!$B$2:$B$58,0)))),NOT(IFERROR(COUNTIF(OFFSET('PRODUCT DATA'!$F$2,0,MATCH($AC33,'PRODUCT DATA'!$F$1:$NN$1,0)-1,114,1),$N33)&gt;0,FALSE()))),IF(UPPER(IFERROR(OFFSET('PRODUCT DATA'!$C$2,MATCH($N33,'PRODUCT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"),"")&amp;IF($C33="","Enter Quantity. ","")&amp;IF(AND($C33&lt;&gt;"",OR(NOT(ISNUMBER($C33)),$C33&lt;1,$C33&gt;999,MOD($C33,1)&lt;&gt;0)),"Quantity must be a whole number from 1 to 999 (use a quantity above 1 only for a genuine bulk order of identical items to ONE address — otherwise use a separate row per recipient). ","")&amp;IF($D33="","Enter Recipient Name. ","")&amp;IF(LEN($D33)&gt;35,"Recipient Name exceeds 35 characters. ","")&amp;IF($E33="","Enter Recipient Phone. ","")&amp;IF(AND($E33&lt;&gt;"",OR(LEN($E33)&lt;6,LEN($E33)&gt;20,NOT(IFERROR(ISNUMBER(1*$E33),FALSE())))),"Phone must be the LOCAL number for the destination country: digits only, no +, spaces, or country code, 6 to 20 digits. ","")&amp;IF(LEN($F33)&gt;35,"Recipient Company Name exceeds 35 characters. ","")&amp;IF($G33="","Enter Address Line 1. ","")&amp;IF(LEN($G33)&gt;35,"Address Line 1 exceeds the 35-character SAP limit. ","")&amp;IF(LEN($H33)&gt;35,"Address Line 2 exceeds the 35-character SAP limit. ","")&amp;IF(LEN($I33)&gt;35,"Address Line 3 exceeds the 35-character SAP limit. ","")&amp;IF($J33="","Enter Town. This must never be left blank, even if there is no conventional town name. ","")&amp;IF(LEN($J33)&gt;35,"Town exceeds 35 characters. ","")&amp;IF(AND($N33="IE",$K33=""),"County is required for deliveries within the Republic of Ireland. ","")&amp;IF(LEN($AB33)&gt;35,"County exceeds 35 characters. ","")&amp;IF(AND($L33="",AND($N33&lt;&gt;"AE",$N33&lt;&gt;"QA")),"Postcode is required for the selected country. If there is genuinely no postcode, enter the first 3 characters of the area (e.g. D15). ","")&amp;IF(LEN($L33)&gt;35,"Postcode exceeds 35 characters. ","")&amp;IF($AE33&lt;&gt;"",$AE33,"")&amp;IF(LEN($O33)&gt;40,"Gift Message Line 1 exceeds 40 characters. ","")&amp;IF(LEN($P33)&gt;40,"Gift Message Line 2 exceeds 40 characters. ","")&amp;IF(LEN($Q33)&gt;40,"Gift Message Line 3 exceeds 40 characters. ","")&amp;IF(LEN($R33)&gt;40,"Gift Message Line 4 exceeds 40 characters. ","")&amp;IF(LEN($S33)&gt;40,"Gift Message Line 5 exceeds 40 characters. ","")&amp;IF(LEN($T33)&gt;40,"Gift Message Line 6 exceeds 40 characters. ","")&amp;IF(LEN($U33)&gt;40,"Gift Message Line 7 exceeds 40 characters. ",""))</f>
        <v/>
      </c>
      <c r="Y33" s="44" t="str">
        <f t="shared" si="1"/>
        <v/>
      </c>
      <c r="Z33" s="44"/>
      <c r="AA33" s="44"/>
      <c r="AB33" s="32" t="str">
        <f t="shared" si="2"/>
        <v/>
      </c>
      <c r="AC33" s="32" t="str">
        <f>IF($A33="","",IFERROR(LEFT(INDEX('PRODUCT DATA'!$NO$2:$NO$25,MATCH($A33,'PRODUCT DATA'!$NP$2:$NP$25,0)),FIND("|",INDEX('PRODUCT DATA'!$NO$2:$NO$25,MATCH($A33,'PRODUCT DATA'!$NP$2:$NP$25,0)))-1),$A33))</f>
        <v/>
      </c>
      <c r="AD33" s="45"/>
      <c r="AE33" s="45" t="str">
        <f t="shared" si="3"/>
        <v/>
      </c>
    </row>
    <row r="34" spans="1:31" ht="15" customHeight="1" x14ac:dyDescent="0.25">
      <c r="A34" s="40"/>
      <c r="B34" s="43" t="str">
        <f>IF($A34="","",IFERROR(VLOOKUP($AC34,'PRODUCT DATA'!$NR$2:$NS$374,2,FALSE()),"UNKNOWN ITEM CODE - please check"))</f>
        <v/>
      </c>
      <c r="C34" s="39">
        <v>1</v>
      </c>
      <c r="D34" s="39"/>
      <c r="E34" s="40"/>
      <c r="F34" s="41"/>
      <c r="G34" s="39"/>
      <c r="H34" s="41"/>
      <c r="I34" s="41"/>
      <c r="J34" s="39"/>
      <c r="K34" s="41"/>
      <c r="L34" s="40"/>
      <c r="M34" s="40"/>
      <c r="N34" s="42" t="str">
        <f>IF($M34="","",IFERROR(INDEX('PRODUCT DATA'!$B$2:$B$58,MATCH(IF(UPPER($M34)="UK","GB",$M34),'PRODUCT DATA'!$B$2:$B$58,0)),IFERROR(INDEX('PRODUCT DATA'!$B$2:$B$58,MATCH(IF(UPPER($M34)="UK","GB",$M34),'PRODUCT DATA'!$A$2:$A$58,0)),"UNKNOWN COUNTRY - please check")))</f>
        <v/>
      </c>
      <c r="O34" s="41"/>
      <c r="P34" s="41"/>
      <c r="Q34" s="41"/>
      <c r="R34" s="41"/>
      <c r="S34" s="41"/>
      <c r="T34" s="41"/>
      <c r="U34" s="41"/>
      <c r="V34" s="43" t="str">
        <f t="shared" si="0"/>
        <v/>
      </c>
      <c r="W34" s="44" t="str">
        <f ca="1">IF(COUNTA($A34,$D34:$M34,$O34:$U34)=0,"",IF($A34="","Item Code; ","")&amp;IF(AND($A34&lt;&gt;"",ISNA(MATCH($AC34,'PRODUCT DATA'!$D$2:$D$394,0))),"Item Code; ","")&amp;IF($M34="","Country; ","")&amp;IF(AND($M34&lt;&gt;"",NOT(OR(NOT(ISNA(MATCH(IF(UPPER($M34)="UK","GB",$M34),'PRODUCT DATA'!$A$2:$A$58,0))),NOT(ISNA(MATCH(IF(UPPER($M34)="UK","GB",$M34),'PRODUCT DATA'!$B$2:$B$58,0)))))),"Country; ","")&amp;IF(AND($A34&lt;&gt;"",$M34&lt;&gt;"",NOT(ISNA(MATCH($AC34,'PRODUCT DATA'!$D$2:$D$394,0))),OR(NOT(ISNA(MATCH(IF(UPPER($M34)="UK","GB",$M34),'PRODUCT DATA'!$A$2:$A$58,0))),NOT(ISNA(MATCH(IF(UPPER($M34)="UK","GB",$M34),'PRODUCT DATA'!$B$2:$B$58,0)))),NOT(IFERROR(COUNTIF(OFFSET('PRODUCT DATA'!$F$2,0,MATCH($AC34,'PRODUCT DATA'!$F$1:$NN$1,0)-1,114,1),$N34)&gt;0,FALSE()))),IF(UPPER(IFERROR(OFFSET('PRODUCT DATA'!$C$2,MATCH($N34,'PRODUCT DATA'!$B$2:$B$58,0)-1,0),""))="NO","Alcohol Restriction; ","Item Code / Country combination; "),"")&amp;IF($C34="","Quantity; ","")&amp;IF(AND($C34&lt;&gt;"",OR(NOT(ISNUMBER($C34)),$C34&lt;1,$C34&gt;999,MOD($C34,1)&lt;&gt;0)),"Quantity; ","")&amp;IF($D34="","Recipient Name; ","")&amp;IF(LEN($D34)&gt;35,"Recipient Name; ","")&amp;IF($E34="","Recipient Phone; ","")&amp;IF(AND($E34&lt;&gt;"",OR(LEN($E34)&lt;6,LEN($E34)&gt;20,NOT(IFERROR(ISNUMBER(1*$E34),FALSE())))),"Recipient Phone; ","")&amp;IF(LEN($F34)&gt;35,"Recipient Company Name; ","")&amp;IF($G34="","Address Line 1; ","")&amp;IF(LEN($G34)&gt;35,"Address Line 1; ","")&amp;IF(LEN($H34)&gt;35,"Address Line 2; ","")&amp;IF(LEN($I34)&gt;35,"Address Line 3; ","")&amp;IF($J34="","Town; ","")&amp;IF(LEN($J34)&gt;35,"Town; ","")&amp;IF(AND($N34="IE",$K34=""),"County; ","")&amp;IF(LEN($AB34)&gt;35,"County; ","")&amp;IF(AND($L34="",AND($N34&lt;&gt;"AE",$N34&lt;&gt;"QA")),"Postcode; ","")&amp;IF(LEN($L34)&gt;35,"Postcode; ","")&amp;IF($AE34&lt;&gt;"","Postcode; ","")&amp;IF(LEN($O34)&gt;40,"Gift Message 1; ","")&amp;IF(LEN($P34)&gt;40,"Gift Message 2; ","")&amp;IF(LEN($Q34)&gt;40,"Gift Message 3; ","")&amp;IF(LEN($R34)&gt;40,"Gift Message 4; ","")&amp;IF(LEN($S34)&gt;40,"Gift Message 5; ","")&amp;IF(LEN($T34)&gt;40,"Gift Message 6; ","")&amp;IF(LEN($U34)&gt;40,"Gift Message 7; ",""))</f>
        <v/>
      </c>
      <c r="X34" s="44" t="str">
        <f ca="1">IF(COUNTA($A34,$D34:$M34,$O34:$U34)=0,"",IF($A34="","Enter the Item Code (hamper) - type it, paste it, or choose it from the dropdown. ","")&amp;IF(AND($A34&lt;&gt;"",ISNA(MATCH($AC34,'PRODUCT DATA'!$D$2:$D$394,0))),"This Item Code is not recognised. Check the code (case does not matter, but spelling and digits must match exactly) or choose it from the dropdown. ","")&amp;IF($M34="","Enter the Country after the Item Code - type or paste the name or the 2-letter code, or choose it from the dropdown. ","")&amp;IF(AND($M34&lt;&gt;"",NOT(OR(NOT(ISNA(MATCH(IF(UPPER($M34)="UK","GB",$M34),'PRODUCT DATA'!$A$2:$A$58,0))),NOT(ISNA(MATCH(IF(UPPER($M34)="UK","GB",$M34),'PRODUCT DATA'!$B$2:$B$58,0)))))),"This Country is not recognised as either a full name or a 2-letter code. Check the spelling (case does not matter) or choose it from the dropdown. ","")&amp;IF(AND($A34&lt;&gt;"",$M34&lt;&gt;"",NOT(ISNA(MATCH($AC34,'PRODUCT DATA'!$D$2:$D$394,0))),OR(NOT(ISNA(MATCH(IF(UPPER($M34)="UK","GB",$M34),'PRODUCT DATA'!$A$2:$A$58,0))),NOT(ISNA(MATCH(IF(UPPER($M34)="UK","GB",$M34),'PRODUCT DATA'!$B$2:$B$58,0)))),NOT(IFERROR(COUNTIF(OFFSET('PRODUCT DATA'!$F$2,0,MATCH($AC34,'PRODUCT DATA'!$F$1:$NN$1,0)-1,114,1),$N34)&gt;0,FALSE()))),IF(UPPER(IFERROR(OFFSET('PRODUCT DATA'!$C$2,MATCH($N34,'PRODUCT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"),"")&amp;IF($C34="","Enter Quantity. ","")&amp;IF(AND($C34&lt;&gt;"",OR(NOT(ISNUMBER($C34)),$C34&lt;1,$C34&gt;999,MOD($C34,1)&lt;&gt;0)),"Quantity must be a whole number from 1 to 999 (use a quantity above 1 only for a genuine bulk order of identical items to ONE address — otherwise use a separate row per recipient). ","")&amp;IF($D34="","Enter Recipient Name. ","")&amp;IF(LEN($D34)&gt;35,"Recipient Name exceeds 35 characters. ","")&amp;IF($E34="","Enter Recipient Phone. ","")&amp;IF(AND($E34&lt;&gt;"",OR(LEN($E34)&lt;6,LEN($E34)&gt;20,NOT(IFERROR(ISNUMBER(1*$E34),FALSE())))),"Phone must be the LOCAL number for the destination country: digits only, no +, spaces, or country code, 6 to 20 digits. ","")&amp;IF(LEN($F34)&gt;35,"Recipient Company Name exceeds 35 characters. ","")&amp;IF($G34="","Enter Address Line 1. ","")&amp;IF(LEN($G34)&gt;35,"Address Line 1 exceeds the 35-character SAP limit. ","")&amp;IF(LEN($H34)&gt;35,"Address Line 2 exceeds the 35-character SAP limit. ","")&amp;IF(LEN($I34)&gt;35,"Address Line 3 exceeds the 35-character SAP limit. ","")&amp;IF($J34="","Enter Town. This must never be left blank, even if there is no conventional town name. ","")&amp;IF(LEN($J34)&gt;35,"Town exceeds 35 characters. ","")&amp;IF(AND($N34="IE",$K34=""),"County is required for deliveries within the Republic of Ireland. ","")&amp;IF(LEN($AB34)&gt;35,"County exceeds 35 characters. ","")&amp;IF(AND($L34="",AND($N34&lt;&gt;"AE",$N34&lt;&gt;"QA")),"Postcode is required for the selected country. If there is genuinely no postcode, enter the first 3 characters of the area (e.g. D15). ","")&amp;IF(LEN($L34)&gt;35,"Postcode exceeds 35 characters. ","")&amp;IF($AE34&lt;&gt;"",$AE34,"")&amp;IF(LEN($O34)&gt;40,"Gift Message Line 1 exceeds 40 characters. ","")&amp;IF(LEN($P34)&gt;40,"Gift Message Line 2 exceeds 40 characters. ","")&amp;IF(LEN($Q34)&gt;40,"Gift Message Line 3 exceeds 40 characters. ","")&amp;IF(LEN($R34)&gt;40,"Gift Message Line 4 exceeds 40 characters. ","")&amp;IF(LEN($S34)&gt;40,"Gift Message Line 5 exceeds 40 characters. ","")&amp;IF(LEN($T34)&gt;40,"Gift Message Line 6 exceeds 40 characters. ","")&amp;IF(LEN($U34)&gt;40,"Gift Message Line 7 exceeds 40 characters. ",""))</f>
        <v/>
      </c>
      <c r="Y34" s="44" t="str">
        <f t="shared" si="1"/>
        <v/>
      </c>
      <c r="Z34" s="44"/>
      <c r="AA34" s="44"/>
      <c r="AB34" s="32" t="str">
        <f t="shared" si="2"/>
        <v/>
      </c>
      <c r="AC34" s="32" t="str">
        <f>IF($A34="","",IFERROR(LEFT(INDEX('PRODUCT DATA'!$NO$2:$NO$25,MATCH($A34,'PRODUCT DATA'!$NP$2:$NP$25,0)),FIND("|",INDEX('PRODUCT DATA'!$NO$2:$NO$25,MATCH($A34,'PRODUCT DATA'!$NP$2:$NP$25,0)))-1),$A34))</f>
        <v/>
      </c>
      <c r="AD34" s="45"/>
      <c r="AE34" s="45" t="str">
        <f t="shared" si="3"/>
        <v/>
      </c>
    </row>
    <row r="35" spans="1:31" ht="15" customHeight="1" x14ac:dyDescent="0.25">
      <c r="A35" s="40"/>
      <c r="B35" s="43" t="str">
        <f>IF($A35="","",IFERROR(VLOOKUP($AC35,'PRODUCT DATA'!$NR$2:$NS$374,2,FALSE()),"UNKNOWN ITEM CODE - please check"))</f>
        <v/>
      </c>
      <c r="C35" s="39">
        <v>1</v>
      </c>
      <c r="D35" s="39"/>
      <c r="E35" s="40"/>
      <c r="F35" s="41"/>
      <c r="G35" s="39"/>
      <c r="H35" s="41"/>
      <c r="I35" s="41"/>
      <c r="J35" s="39"/>
      <c r="K35" s="41"/>
      <c r="L35" s="40"/>
      <c r="M35" s="40"/>
      <c r="N35" s="42" t="str">
        <f>IF($M35="","",IFERROR(INDEX('PRODUCT DATA'!$B$2:$B$58,MATCH(IF(UPPER($M35)="UK","GB",$M35),'PRODUCT DATA'!$B$2:$B$58,0)),IFERROR(INDEX('PRODUCT DATA'!$B$2:$B$58,MATCH(IF(UPPER($M35)="UK","GB",$M35),'PRODUCT DATA'!$A$2:$A$58,0)),"UNKNOWN COUNTRY - please check")))</f>
        <v/>
      </c>
      <c r="O35" s="41"/>
      <c r="P35" s="41"/>
      <c r="Q35" s="41"/>
      <c r="R35" s="41"/>
      <c r="S35" s="41"/>
      <c r="T35" s="41"/>
      <c r="U35" s="41"/>
      <c r="V35" s="43" t="str">
        <f t="shared" si="0"/>
        <v/>
      </c>
      <c r="W35" s="44" t="str">
        <f ca="1">IF(COUNTA($A35,$D35:$M35,$O35:$U35)=0,"",IF($A35="","Item Code; ","")&amp;IF(AND($A35&lt;&gt;"",ISNA(MATCH($AC35,'PRODUCT DATA'!$D$2:$D$394,0))),"Item Code; ","")&amp;IF($M35="","Country; ","")&amp;IF(AND($M35&lt;&gt;"",NOT(OR(NOT(ISNA(MATCH(IF(UPPER($M35)="UK","GB",$M35),'PRODUCT DATA'!$A$2:$A$58,0))),NOT(ISNA(MATCH(IF(UPPER($M35)="UK","GB",$M35),'PRODUCT DATA'!$B$2:$B$58,0)))))),"Country; ","")&amp;IF(AND($A35&lt;&gt;"",$M35&lt;&gt;"",NOT(ISNA(MATCH($AC35,'PRODUCT DATA'!$D$2:$D$394,0))),OR(NOT(ISNA(MATCH(IF(UPPER($M35)="UK","GB",$M35),'PRODUCT DATA'!$A$2:$A$58,0))),NOT(ISNA(MATCH(IF(UPPER($M35)="UK","GB",$M35),'PRODUCT DATA'!$B$2:$B$58,0)))),NOT(IFERROR(COUNTIF(OFFSET('PRODUCT DATA'!$F$2,0,MATCH($AC35,'PRODUCT DATA'!$F$1:$NN$1,0)-1,114,1),$N35)&gt;0,FALSE()))),IF(UPPER(IFERROR(OFFSET('PRODUCT DATA'!$C$2,MATCH($N35,'PRODUCT DATA'!$B$2:$B$58,0)-1,0),""))="NO","Alcohol Restriction; ","Item Code / Country combination; "),"")&amp;IF($C35="","Quantity; ","")&amp;IF(AND($C35&lt;&gt;"",OR(NOT(ISNUMBER($C35)),$C35&lt;1,$C35&gt;999,MOD($C35,1)&lt;&gt;0)),"Quantity; ","")&amp;IF($D35="","Recipient Name; ","")&amp;IF(LEN($D35)&gt;35,"Recipient Name; ","")&amp;IF($E35="","Recipient Phone; ","")&amp;IF(AND($E35&lt;&gt;"",OR(LEN($E35)&lt;6,LEN($E35)&gt;20,NOT(IFERROR(ISNUMBER(1*$E35),FALSE())))),"Recipient Phone; ","")&amp;IF(LEN($F35)&gt;35,"Recipient Company Name; ","")&amp;IF($G35="","Address Line 1; ","")&amp;IF(LEN($G35)&gt;35,"Address Line 1; ","")&amp;IF(LEN($H35)&gt;35,"Address Line 2; ","")&amp;IF(LEN($I35)&gt;35,"Address Line 3; ","")&amp;IF($J35="","Town; ","")&amp;IF(LEN($J35)&gt;35,"Town; ","")&amp;IF(AND($N35="IE",$K35=""),"County; ","")&amp;IF(LEN($AB35)&gt;35,"County; ","")&amp;IF(AND($L35="",AND($N35&lt;&gt;"AE",$N35&lt;&gt;"QA")),"Postcode; ","")&amp;IF(LEN($L35)&gt;35,"Postcode; ","")&amp;IF($AE35&lt;&gt;"","Postcode; ","")&amp;IF(LEN($O35)&gt;40,"Gift Message 1; ","")&amp;IF(LEN($P35)&gt;40,"Gift Message 2; ","")&amp;IF(LEN($Q35)&gt;40,"Gift Message 3; ","")&amp;IF(LEN($R35)&gt;40,"Gift Message 4; ","")&amp;IF(LEN($S35)&gt;40,"Gift Message 5; ","")&amp;IF(LEN($T35)&gt;40,"Gift Message 6; ","")&amp;IF(LEN($U35)&gt;40,"Gift Message 7; ",""))</f>
        <v/>
      </c>
      <c r="X35" s="44" t="str">
        <f ca="1">IF(COUNTA($A35,$D35:$M35,$O35:$U35)=0,"",IF($A35="","Enter the Item Code (hamper) - type it, paste it, or choose it from the dropdown. ","")&amp;IF(AND($A35&lt;&gt;"",ISNA(MATCH($AC35,'PRODUCT DATA'!$D$2:$D$394,0))),"This Item Code is not recognised. Check the code (case does not matter, but spelling and digits must match exactly) or choose it from the dropdown. ","")&amp;IF($M35="","Enter the Country after the Item Code - type or paste the name or the 2-letter code, or choose it from the dropdown. ","")&amp;IF(AND($M35&lt;&gt;"",NOT(OR(NOT(ISNA(MATCH(IF(UPPER($M35)="UK","GB",$M35),'PRODUCT DATA'!$A$2:$A$58,0))),NOT(ISNA(MATCH(IF(UPPER($M35)="UK","GB",$M35),'PRODUCT DATA'!$B$2:$B$58,0)))))),"This Country is not recognised as either a full name or a 2-letter code. Check the spelling (case does not matter) or choose it from the dropdown. ","")&amp;IF(AND($A35&lt;&gt;"",$M35&lt;&gt;"",NOT(ISNA(MATCH($AC35,'PRODUCT DATA'!$D$2:$D$394,0))),OR(NOT(ISNA(MATCH(IF(UPPER($M35)="UK","GB",$M35),'PRODUCT DATA'!$A$2:$A$58,0))),NOT(ISNA(MATCH(IF(UPPER($M35)="UK","GB",$M35),'PRODUCT DATA'!$B$2:$B$58,0)))),NOT(IFERROR(COUNTIF(OFFSET('PRODUCT DATA'!$F$2,0,MATCH($AC35,'PRODUCT DATA'!$F$1:$NN$1,0)-1,114,1),$N35)&gt;0,FALSE()))),IF(UPPER(IFERROR(OFFSET('PRODUCT DATA'!$C$2,MATCH($N35,'PRODUCT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"),"")&amp;IF($C35="","Enter Quantity. ","")&amp;IF(AND($C35&lt;&gt;"",OR(NOT(ISNUMBER($C35)),$C35&lt;1,$C35&gt;999,MOD($C35,1)&lt;&gt;0)),"Quantity must be a whole number from 1 to 999 (use a quantity above 1 only for a genuine bulk order of identical items to ONE address — otherwise use a separate row per recipient). ","")&amp;IF($D35="","Enter Recipient Name. ","")&amp;IF(LEN($D35)&gt;35,"Recipient Name exceeds 35 characters. ","")&amp;IF($E35="","Enter Recipient Phone. ","")&amp;IF(AND($E35&lt;&gt;"",OR(LEN($E35)&lt;6,LEN($E35)&gt;20,NOT(IFERROR(ISNUMBER(1*$E35),FALSE())))),"Phone must be the LOCAL number for the destination country: digits only, no +, spaces, or country code, 6 to 20 digits. ","")&amp;IF(LEN($F35)&gt;35,"Recipient Company Name exceeds 35 characters. ","")&amp;IF($G35="","Enter Address Line 1. ","")&amp;IF(LEN($G35)&gt;35,"Address Line 1 exceeds the 35-character SAP limit. ","")&amp;IF(LEN($H35)&gt;35,"Address Line 2 exceeds the 35-character SAP limit. ","")&amp;IF(LEN($I35)&gt;35,"Address Line 3 exceeds the 35-character SAP limit. ","")&amp;IF($J35="","Enter Town. This must never be left blank, even if there is no conventional town name. ","")&amp;IF(LEN($J35)&gt;35,"Town exceeds 35 characters. ","")&amp;IF(AND($N35="IE",$K35=""),"County is required for deliveries within the Republic of Ireland. ","")&amp;IF(LEN($AB35)&gt;35,"County exceeds 35 characters. ","")&amp;IF(AND($L35="",AND($N35&lt;&gt;"AE",$N35&lt;&gt;"QA")),"Postcode is required for the selected country. If there is genuinely no postcode, enter the first 3 characters of the area (e.g. D15). ","")&amp;IF(LEN($L35)&gt;35,"Postcode exceeds 35 characters. ","")&amp;IF($AE35&lt;&gt;"",$AE35,"")&amp;IF(LEN($O35)&gt;40,"Gift Message Line 1 exceeds 40 characters. ","")&amp;IF(LEN($P35)&gt;40,"Gift Message Line 2 exceeds 40 characters. ","")&amp;IF(LEN($Q35)&gt;40,"Gift Message Line 3 exceeds 40 characters. ","")&amp;IF(LEN($R35)&gt;40,"Gift Message Line 4 exceeds 40 characters. ","")&amp;IF(LEN($S35)&gt;40,"Gift Message Line 5 exceeds 40 characters. ","")&amp;IF(LEN($T35)&gt;40,"Gift Message Line 6 exceeds 40 characters. ","")&amp;IF(LEN($U35)&gt;40,"Gift Message Line 7 exceeds 40 characters. ",""))</f>
        <v/>
      </c>
      <c r="Y35" s="44" t="str">
        <f t="shared" si="1"/>
        <v/>
      </c>
      <c r="Z35" s="44"/>
      <c r="AA35" s="44"/>
      <c r="AB35" s="32" t="str">
        <f t="shared" si="2"/>
        <v/>
      </c>
      <c r="AC35" s="32" t="str">
        <f>IF($A35="","",IFERROR(LEFT(INDEX('PRODUCT DATA'!$NO$2:$NO$25,MATCH($A35,'PRODUCT DATA'!$NP$2:$NP$25,0)),FIND("|",INDEX('PRODUCT DATA'!$NO$2:$NO$25,MATCH($A35,'PRODUCT DATA'!$NP$2:$NP$25,0)))-1),$A35))</f>
        <v/>
      </c>
      <c r="AD35" s="45"/>
      <c r="AE35" s="45" t="str">
        <f t="shared" si="3"/>
        <v/>
      </c>
    </row>
    <row r="36" spans="1:31" ht="15" customHeight="1" x14ac:dyDescent="0.25">
      <c r="A36" s="40"/>
      <c r="B36" s="43" t="str">
        <f>IF($A36="","",IFERROR(VLOOKUP($AC36,'PRODUCT DATA'!$NR$2:$NS$374,2,FALSE()),"UNKNOWN ITEM CODE - please check"))</f>
        <v/>
      </c>
      <c r="C36" s="39">
        <v>1</v>
      </c>
      <c r="D36" s="39"/>
      <c r="E36" s="40"/>
      <c r="F36" s="41"/>
      <c r="G36" s="39"/>
      <c r="H36" s="41"/>
      <c r="I36" s="41"/>
      <c r="J36" s="39"/>
      <c r="K36" s="41"/>
      <c r="L36" s="40"/>
      <c r="M36" s="40"/>
      <c r="N36" s="42" t="str">
        <f>IF($M36="","",IFERROR(INDEX('PRODUCT DATA'!$B$2:$B$58,MATCH(IF(UPPER($M36)="UK","GB",$M36),'PRODUCT DATA'!$B$2:$B$58,0)),IFERROR(INDEX('PRODUCT DATA'!$B$2:$B$58,MATCH(IF(UPPER($M36)="UK","GB",$M36),'PRODUCT DATA'!$A$2:$A$58,0)),"UNKNOWN COUNTRY - please check")))</f>
        <v/>
      </c>
      <c r="O36" s="41"/>
      <c r="P36" s="41"/>
      <c r="Q36" s="41"/>
      <c r="R36" s="41"/>
      <c r="S36" s="41"/>
      <c r="T36" s="41"/>
      <c r="U36" s="41"/>
      <c r="V36" s="43" t="str">
        <f t="shared" si="0"/>
        <v/>
      </c>
      <c r="W36" s="44" t="str">
        <f ca="1">IF(COUNTA($A36,$D36:$M36,$O36:$U36)=0,"",IF($A36="","Item Code; ","")&amp;IF(AND($A36&lt;&gt;"",ISNA(MATCH($AC36,'PRODUCT DATA'!$D$2:$D$394,0))),"Item Code; ","")&amp;IF($M36="","Country; ","")&amp;IF(AND($M36&lt;&gt;"",NOT(OR(NOT(ISNA(MATCH(IF(UPPER($M36)="UK","GB",$M36),'PRODUCT DATA'!$A$2:$A$58,0))),NOT(ISNA(MATCH(IF(UPPER($M36)="UK","GB",$M36),'PRODUCT DATA'!$B$2:$B$58,0)))))),"Country; ","")&amp;IF(AND($A36&lt;&gt;"",$M36&lt;&gt;"",NOT(ISNA(MATCH($AC36,'PRODUCT DATA'!$D$2:$D$394,0))),OR(NOT(ISNA(MATCH(IF(UPPER($M36)="UK","GB",$M36),'PRODUCT DATA'!$A$2:$A$58,0))),NOT(ISNA(MATCH(IF(UPPER($M36)="UK","GB",$M36),'PRODUCT DATA'!$B$2:$B$58,0)))),NOT(IFERROR(COUNTIF(OFFSET('PRODUCT DATA'!$F$2,0,MATCH($AC36,'PRODUCT DATA'!$F$1:$NN$1,0)-1,114,1),$N36)&gt;0,FALSE()))),IF(UPPER(IFERROR(OFFSET('PRODUCT DATA'!$C$2,MATCH($N36,'PRODUCT DATA'!$B$2:$B$58,0)-1,0),""))="NO","Alcohol Restriction; ","Item Code / Country combination; "),"")&amp;IF($C36="","Quantity; ","")&amp;IF(AND($C36&lt;&gt;"",OR(NOT(ISNUMBER($C36)),$C36&lt;1,$C36&gt;999,MOD($C36,1)&lt;&gt;0)),"Quantity; ","")&amp;IF($D36="","Recipient Name; ","")&amp;IF(LEN($D36)&gt;35,"Recipient Name; ","")&amp;IF($E36="","Recipient Phone; ","")&amp;IF(AND($E36&lt;&gt;"",OR(LEN($E36)&lt;6,LEN($E36)&gt;20,NOT(IFERROR(ISNUMBER(1*$E36),FALSE())))),"Recipient Phone; ","")&amp;IF(LEN($F36)&gt;35,"Recipient Company Name; ","")&amp;IF($G36="","Address Line 1; ","")&amp;IF(LEN($G36)&gt;35,"Address Line 1; ","")&amp;IF(LEN($H36)&gt;35,"Address Line 2; ","")&amp;IF(LEN($I36)&gt;35,"Address Line 3; ","")&amp;IF($J36="","Town; ","")&amp;IF(LEN($J36)&gt;35,"Town; ","")&amp;IF(AND($N36="IE",$K36=""),"County; ","")&amp;IF(LEN($AB36)&gt;35,"County; ","")&amp;IF(AND($L36="",AND($N36&lt;&gt;"AE",$N36&lt;&gt;"QA")),"Postcode; ","")&amp;IF(LEN($L36)&gt;35,"Postcode; ","")&amp;IF($AE36&lt;&gt;"","Postcode; ","")&amp;IF(LEN($O36)&gt;40,"Gift Message 1; ","")&amp;IF(LEN($P36)&gt;40,"Gift Message 2; ","")&amp;IF(LEN($Q36)&gt;40,"Gift Message 3; ","")&amp;IF(LEN($R36)&gt;40,"Gift Message 4; ","")&amp;IF(LEN($S36)&gt;40,"Gift Message 5; ","")&amp;IF(LEN($T36)&gt;40,"Gift Message 6; ","")&amp;IF(LEN($U36)&gt;40,"Gift Message 7; ",""))</f>
        <v/>
      </c>
      <c r="X36" s="44" t="str">
        <f ca="1">IF(COUNTA($A36,$D36:$M36,$O36:$U36)=0,"",IF($A36="","Enter the Item Code (hamper) - type it, paste it, or choose it from the dropdown. ","")&amp;IF(AND($A36&lt;&gt;"",ISNA(MATCH($AC36,'PRODUCT DATA'!$D$2:$D$394,0))),"This Item Code is not recognised. Check the code (case does not matter, but spelling and digits must match exactly) or choose it from the dropdown. ","")&amp;IF($M36="","Enter the Country after the Item Code - type or paste the name or the 2-letter code, or choose it from the dropdown. ","")&amp;IF(AND($M36&lt;&gt;"",NOT(OR(NOT(ISNA(MATCH(IF(UPPER($M36)="UK","GB",$M36),'PRODUCT DATA'!$A$2:$A$58,0))),NOT(ISNA(MATCH(IF(UPPER($M36)="UK","GB",$M36),'PRODUCT DATA'!$B$2:$B$58,0)))))),"This Country is not recognised as either a full name or a 2-letter code. Check the spelling (case does not matter) or choose it from the dropdown. ","")&amp;IF(AND($A36&lt;&gt;"",$M36&lt;&gt;"",NOT(ISNA(MATCH($AC36,'PRODUCT DATA'!$D$2:$D$394,0))),OR(NOT(ISNA(MATCH(IF(UPPER($M36)="UK","GB",$M36),'PRODUCT DATA'!$A$2:$A$58,0))),NOT(ISNA(MATCH(IF(UPPER($M36)="UK","GB",$M36),'PRODUCT DATA'!$B$2:$B$58,0)))),NOT(IFERROR(COUNTIF(OFFSET('PRODUCT DATA'!$F$2,0,MATCH($AC36,'PRODUCT DATA'!$F$1:$NN$1,0)-1,114,1),$N36)&gt;0,FALSE()))),IF(UPPER(IFERROR(OFFSET('PRODUCT DATA'!$C$2,MATCH($N36,'PRODUCT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"),"")&amp;IF($C36="","Enter Quantity. ","")&amp;IF(AND($C36&lt;&gt;"",OR(NOT(ISNUMBER($C36)),$C36&lt;1,$C36&gt;999,MOD($C36,1)&lt;&gt;0)),"Quantity must be a whole number from 1 to 999 (use a quantity above 1 only for a genuine bulk order of identical items to ONE address — otherwise use a separate row per recipient). ","")&amp;IF($D36="","Enter Recipient Name. ","")&amp;IF(LEN($D36)&gt;35,"Recipient Name exceeds 35 characters. ","")&amp;IF($E36="","Enter Recipient Phone. ","")&amp;IF(AND($E36&lt;&gt;"",OR(LEN($E36)&lt;6,LEN($E36)&gt;20,NOT(IFERROR(ISNUMBER(1*$E36),FALSE())))),"Phone must be the LOCAL number for the destination country: digits only, no +, spaces, or country code, 6 to 20 digits. ","")&amp;IF(LEN($F36)&gt;35,"Recipient Company Name exceeds 35 characters. ","")&amp;IF($G36="","Enter Address Line 1. ","")&amp;IF(LEN($G36)&gt;35,"Address Line 1 exceeds the 35-character SAP limit. ","")&amp;IF(LEN($H36)&gt;35,"Address Line 2 exceeds the 35-character SAP limit. ","")&amp;IF(LEN($I36)&gt;35,"Address Line 3 exceeds the 35-character SAP limit. ","")&amp;IF($J36="","Enter Town. This must never be left blank, even if there is no conventional town name. ","")&amp;IF(LEN($J36)&gt;35,"Town exceeds 35 characters. ","")&amp;IF(AND($N36="IE",$K36=""),"County is required for deliveries within the Republic of Ireland. ","")&amp;IF(LEN($AB36)&gt;35,"County exceeds 35 characters. ","")&amp;IF(AND($L36="",AND($N36&lt;&gt;"AE",$N36&lt;&gt;"QA")),"Postcode is required for the selected country. If there is genuinely no postcode, enter the first 3 characters of the area (e.g. D15). ","")&amp;IF(LEN($L36)&gt;35,"Postcode exceeds 35 characters. ","")&amp;IF($AE36&lt;&gt;"",$AE36,"")&amp;IF(LEN($O36)&gt;40,"Gift Message Line 1 exceeds 40 characters. ","")&amp;IF(LEN($P36)&gt;40,"Gift Message Line 2 exceeds 40 characters. ","")&amp;IF(LEN($Q36)&gt;40,"Gift Message Line 3 exceeds 40 characters. ","")&amp;IF(LEN($R36)&gt;40,"Gift Message Line 4 exceeds 40 characters. ","")&amp;IF(LEN($S36)&gt;40,"Gift Message Line 5 exceeds 40 characters. ","")&amp;IF(LEN($T36)&gt;40,"Gift Message Line 6 exceeds 40 characters. ","")&amp;IF(LEN($U36)&gt;40,"Gift Message Line 7 exceeds 40 characters. ",""))</f>
        <v/>
      </c>
      <c r="Y36" s="44" t="str">
        <f t="shared" si="1"/>
        <v/>
      </c>
      <c r="Z36" s="44"/>
      <c r="AA36" s="44"/>
      <c r="AB36" s="32" t="str">
        <f t="shared" si="2"/>
        <v/>
      </c>
      <c r="AC36" s="32" t="str">
        <f>IF($A36="","",IFERROR(LEFT(INDEX('PRODUCT DATA'!$NO$2:$NO$25,MATCH($A36,'PRODUCT DATA'!$NP$2:$NP$25,0)),FIND("|",INDEX('PRODUCT DATA'!$NO$2:$NO$25,MATCH($A36,'PRODUCT DATA'!$NP$2:$NP$25,0)))-1),$A36))</f>
        <v/>
      </c>
      <c r="AD36" s="45"/>
      <c r="AE36" s="45" t="str">
        <f t="shared" si="3"/>
        <v/>
      </c>
    </row>
    <row r="37" spans="1:31" ht="15" customHeight="1" x14ac:dyDescent="0.25">
      <c r="A37" s="40"/>
      <c r="B37" s="43" t="str">
        <f>IF($A37="","",IFERROR(VLOOKUP($AC37,'PRODUCT DATA'!$NR$2:$NS$374,2,FALSE()),"UNKNOWN ITEM CODE - please check"))</f>
        <v/>
      </c>
      <c r="C37" s="39">
        <v>1</v>
      </c>
      <c r="D37" s="39"/>
      <c r="E37" s="40"/>
      <c r="F37" s="41"/>
      <c r="G37" s="39"/>
      <c r="H37" s="41"/>
      <c r="I37" s="41"/>
      <c r="J37" s="39"/>
      <c r="K37" s="41"/>
      <c r="L37" s="40"/>
      <c r="M37" s="40"/>
      <c r="N37" s="42" t="str">
        <f>IF($M37="","",IFERROR(INDEX('PRODUCT DATA'!$B$2:$B$58,MATCH(IF(UPPER($M37)="UK","GB",$M37),'PRODUCT DATA'!$B$2:$B$58,0)),IFERROR(INDEX('PRODUCT DATA'!$B$2:$B$58,MATCH(IF(UPPER($M37)="UK","GB",$M37),'PRODUCT DATA'!$A$2:$A$58,0)),"UNKNOWN COUNTRY - please check")))</f>
        <v/>
      </c>
      <c r="O37" s="41"/>
      <c r="P37" s="41"/>
      <c r="Q37" s="41"/>
      <c r="R37" s="41"/>
      <c r="S37" s="41"/>
      <c r="T37" s="41"/>
      <c r="U37" s="41"/>
      <c r="V37" s="43" t="str">
        <f t="shared" si="0"/>
        <v/>
      </c>
      <c r="W37" s="44" t="str">
        <f ca="1">IF(COUNTA($A37,$D37:$M37,$O37:$U37)=0,"",IF($A37="","Item Code; ","")&amp;IF(AND($A37&lt;&gt;"",ISNA(MATCH($AC37,'PRODUCT DATA'!$D$2:$D$394,0))),"Item Code; ","")&amp;IF($M37="","Country; ","")&amp;IF(AND($M37&lt;&gt;"",NOT(OR(NOT(ISNA(MATCH(IF(UPPER($M37)="UK","GB",$M37),'PRODUCT DATA'!$A$2:$A$58,0))),NOT(ISNA(MATCH(IF(UPPER($M37)="UK","GB",$M37),'PRODUCT DATA'!$B$2:$B$58,0)))))),"Country; ","")&amp;IF(AND($A37&lt;&gt;"",$M37&lt;&gt;"",NOT(ISNA(MATCH($AC37,'PRODUCT DATA'!$D$2:$D$394,0))),OR(NOT(ISNA(MATCH(IF(UPPER($M37)="UK","GB",$M37),'PRODUCT DATA'!$A$2:$A$58,0))),NOT(ISNA(MATCH(IF(UPPER($M37)="UK","GB",$M37),'PRODUCT DATA'!$B$2:$B$58,0)))),NOT(IFERROR(COUNTIF(OFFSET('PRODUCT DATA'!$F$2,0,MATCH($AC37,'PRODUCT DATA'!$F$1:$NN$1,0)-1,114,1),$N37)&gt;0,FALSE()))),IF(UPPER(IFERROR(OFFSET('PRODUCT DATA'!$C$2,MATCH($N37,'PRODUCT DATA'!$B$2:$B$58,0)-1,0),""))="NO","Alcohol Restriction; ","Item Code / Country combination; "),"")&amp;IF($C37="","Quantity; ","")&amp;IF(AND($C37&lt;&gt;"",OR(NOT(ISNUMBER($C37)),$C37&lt;1,$C37&gt;999,MOD($C37,1)&lt;&gt;0)),"Quantity; ","")&amp;IF($D37="","Recipient Name; ","")&amp;IF(LEN($D37)&gt;35,"Recipient Name; ","")&amp;IF($E37="","Recipient Phone; ","")&amp;IF(AND($E37&lt;&gt;"",OR(LEN($E37)&lt;6,LEN($E37)&gt;20,NOT(IFERROR(ISNUMBER(1*$E37),FALSE())))),"Recipient Phone; ","")&amp;IF(LEN($F37)&gt;35,"Recipient Company Name; ","")&amp;IF($G37="","Address Line 1; ","")&amp;IF(LEN($G37)&gt;35,"Address Line 1; ","")&amp;IF(LEN($H37)&gt;35,"Address Line 2; ","")&amp;IF(LEN($I37)&gt;35,"Address Line 3; ","")&amp;IF($J37="","Town; ","")&amp;IF(LEN($J37)&gt;35,"Town; ","")&amp;IF(AND($N37="IE",$K37=""),"County; ","")&amp;IF(LEN($AB37)&gt;35,"County; ","")&amp;IF(AND($L37="",AND($N37&lt;&gt;"AE",$N37&lt;&gt;"QA")),"Postcode; ","")&amp;IF(LEN($L37)&gt;35,"Postcode; ","")&amp;IF($AE37&lt;&gt;"","Postcode; ","")&amp;IF(LEN($O37)&gt;40,"Gift Message 1; ","")&amp;IF(LEN($P37)&gt;40,"Gift Message 2; ","")&amp;IF(LEN($Q37)&gt;40,"Gift Message 3; ","")&amp;IF(LEN($R37)&gt;40,"Gift Message 4; ","")&amp;IF(LEN($S37)&gt;40,"Gift Message 5; ","")&amp;IF(LEN($T37)&gt;40,"Gift Message 6; ","")&amp;IF(LEN($U37)&gt;40,"Gift Message 7; ",""))</f>
        <v/>
      </c>
      <c r="X37" s="44" t="str">
        <f ca="1">IF(COUNTA($A37,$D37:$M37,$O37:$U37)=0,"",IF($A37="","Enter the Item Code (hamper) - type it, paste it, or choose it from the dropdown. ","")&amp;IF(AND($A37&lt;&gt;"",ISNA(MATCH($AC37,'PRODUCT DATA'!$D$2:$D$394,0))),"This Item Code is not recognised. Check the code (case does not matter, but spelling and digits must match exactly) or choose it from the dropdown. ","")&amp;IF($M37="","Enter the Country after the Item Code - type or paste the name or the 2-letter code, or choose it from the dropdown. ","")&amp;IF(AND($M37&lt;&gt;"",NOT(OR(NOT(ISNA(MATCH(IF(UPPER($M37)="UK","GB",$M37),'PRODUCT DATA'!$A$2:$A$58,0))),NOT(ISNA(MATCH(IF(UPPER($M37)="UK","GB",$M37),'PRODUCT DATA'!$B$2:$B$58,0)))))),"This Country is not recognised as either a full name or a 2-letter code. Check the spelling (case does not matter) or choose it from the dropdown. ","")&amp;IF(AND($A37&lt;&gt;"",$M37&lt;&gt;"",NOT(ISNA(MATCH($AC37,'PRODUCT DATA'!$D$2:$D$394,0))),OR(NOT(ISNA(MATCH(IF(UPPER($M37)="UK","GB",$M37),'PRODUCT DATA'!$A$2:$A$58,0))),NOT(ISNA(MATCH(IF(UPPER($M37)="UK","GB",$M37),'PRODUCT DATA'!$B$2:$B$58,0)))),NOT(IFERROR(COUNTIF(OFFSET('PRODUCT DATA'!$F$2,0,MATCH($AC37,'PRODUCT DATA'!$F$1:$NN$1,0)-1,114,1),$N37)&gt;0,FALSE()))),IF(UPPER(IFERROR(OFFSET('PRODUCT DATA'!$C$2,MATCH($N37,'PRODUCT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"),"")&amp;IF($C37="","Enter Quantity. ","")&amp;IF(AND($C37&lt;&gt;"",OR(NOT(ISNUMBER($C37)),$C37&lt;1,$C37&gt;999,MOD($C37,1)&lt;&gt;0)),"Quantity must be a whole number from 1 to 999 (use a quantity above 1 only for a genuine bulk order of identical items to ONE address — otherwise use a separate row per recipient). ","")&amp;IF($D37="","Enter Recipient Name. ","")&amp;IF(LEN($D37)&gt;35,"Recipient Name exceeds 35 characters. ","")&amp;IF($E37="","Enter Recipient Phone. ","")&amp;IF(AND($E37&lt;&gt;"",OR(LEN($E37)&lt;6,LEN($E37)&gt;20,NOT(IFERROR(ISNUMBER(1*$E37),FALSE())))),"Phone must be the LOCAL number for the destination country: digits only, no +, spaces, or country code, 6 to 20 digits. ","")&amp;IF(LEN($F37)&gt;35,"Recipient Company Name exceeds 35 characters. ","")&amp;IF($G37="","Enter Address Line 1. ","")&amp;IF(LEN($G37)&gt;35,"Address Line 1 exceeds the 35-character SAP limit. ","")&amp;IF(LEN($H37)&gt;35,"Address Line 2 exceeds the 35-character SAP limit. ","")&amp;IF(LEN($I37)&gt;35,"Address Line 3 exceeds the 35-character SAP limit. ","")&amp;IF($J37="","Enter Town. This must never be left blank, even if there is no conventional town name. ","")&amp;IF(LEN($J37)&gt;35,"Town exceeds 35 characters. ","")&amp;IF(AND($N37="IE",$K37=""),"County is required for deliveries within the Republic of Ireland. ","")&amp;IF(LEN($AB37)&gt;35,"County exceeds 35 characters. ","")&amp;IF(AND($L37="",AND($N37&lt;&gt;"AE",$N37&lt;&gt;"QA")),"Postcode is required for the selected country. If there is genuinely no postcode, enter the first 3 characters of the area (e.g. D15). ","")&amp;IF(LEN($L37)&gt;35,"Postcode exceeds 35 characters. ","")&amp;IF($AE37&lt;&gt;"",$AE37,"")&amp;IF(LEN($O37)&gt;40,"Gift Message Line 1 exceeds 40 characters. ","")&amp;IF(LEN($P37)&gt;40,"Gift Message Line 2 exceeds 40 characters. ","")&amp;IF(LEN($Q37)&gt;40,"Gift Message Line 3 exceeds 40 characters. ","")&amp;IF(LEN($R37)&gt;40,"Gift Message Line 4 exceeds 40 characters. ","")&amp;IF(LEN($S37)&gt;40,"Gift Message Line 5 exceeds 40 characters. ","")&amp;IF(LEN($T37)&gt;40,"Gift Message Line 6 exceeds 40 characters. ","")&amp;IF(LEN($U37)&gt;40,"Gift Message Line 7 exceeds 40 characters. ",""))</f>
        <v/>
      </c>
      <c r="Y37" s="44" t="str">
        <f t="shared" si="1"/>
        <v/>
      </c>
      <c r="Z37" s="44"/>
      <c r="AA37" s="44"/>
      <c r="AB37" s="32" t="str">
        <f t="shared" si="2"/>
        <v/>
      </c>
      <c r="AC37" s="32" t="str">
        <f>IF($A37="","",IFERROR(LEFT(INDEX('PRODUCT DATA'!$NO$2:$NO$25,MATCH($A37,'PRODUCT DATA'!$NP$2:$NP$25,0)),FIND("|",INDEX('PRODUCT DATA'!$NO$2:$NO$25,MATCH($A37,'PRODUCT DATA'!$NP$2:$NP$25,0)))-1),$A37))</f>
        <v/>
      </c>
      <c r="AD37" s="45"/>
      <c r="AE37" s="45" t="str">
        <f t="shared" si="3"/>
        <v/>
      </c>
    </row>
    <row r="38" spans="1:31" ht="15" customHeight="1" x14ac:dyDescent="0.25">
      <c r="A38" s="40"/>
      <c r="B38" s="43" t="str">
        <f>IF($A38="","",IFERROR(VLOOKUP($AC38,'PRODUCT DATA'!$NR$2:$NS$374,2,FALSE()),"UNKNOWN ITEM CODE - please check"))</f>
        <v/>
      </c>
      <c r="C38" s="39">
        <v>1</v>
      </c>
      <c r="D38" s="39"/>
      <c r="E38" s="40"/>
      <c r="F38" s="41"/>
      <c r="G38" s="39"/>
      <c r="H38" s="41"/>
      <c r="I38" s="41"/>
      <c r="J38" s="39"/>
      <c r="K38" s="41"/>
      <c r="L38" s="40"/>
      <c r="M38" s="40"/>
      <c r="N38" s="42" t="str">
        <f>IF($M38="","",IFERROR(INDEX('PRODUCT DATA'!$B$2:$B$58,MATCH(IF(UPPER($M38)="UK","GB",$M38),'PRODUCT DATA'!$B$2:$B$58,0)),IFERROR(INDEX('PRODUCT DATA'!$B$2:$B$58,MATCH(IF(UPPER($M38)="UK","GB",$M38),'PRODUCT DATA'!$A$2:$A$58,0)),"UNKNOWN COUNTRY - please check")))</f>
        <v/>
      </c>
      <c r="O38" s="41"/>
      <c r="P38" s="41"/>
      <c r="Q38" s="41"/>
      <c r="R38" s="41"/>
      <c r="S38" s="41"/>
      <c r="T38" s="41"/>
      <c r="U38" s="41"/>
      <c r="V38" s="43" t="str">
        <f t="shared" si="0"/>
        <v/>
      </c>
      <c r="W38" s="44" t="str">
        <f ca="1">IF(COUNTA($A38,$D38:$M38,$O38:$U38)=0,"",IF($A38="","Item Code; ","")&amp;IF(AND($A38&lt;&gt;"",ISNA(MATCH($AC38,'PRODUCT DATA'!$D$2:$D$394,0))),"Item Code; ","")&amp;IF($M38="","Country; ","")&amp;IF(AND($M38&lt;&gt;"",NOT(OR(NOT(ISNA(MATCH(IF(UPPER($M38)="UK","GB",$M38),'PRODUCT DATA'!$A$2:$A$58,0))),NOT(ISNA(MATCH(IF(UPPER($M38)="UK","GB",$M38),'PRODUCT DATA'!$B$2:$B$58,0)))))),"Country; ","")&amp;IF(AND($A38&lt;&gt;"",$M38&lt;&gt;"",NOT(ISNA(MATCH($AC38,'PRODUCT DATA'!$D$2:$D$394,0))),OR(NOT(ISNA(MATCH(IF(UPPER($M38)="UK","GB",$M38),'PRODUCT DATA'!$A$2:$A$58,0))),NOT(ISNA(MATCH(IF(UPPER($M38)="UK","GB",$M38),'PRODUCT DATA'!$B$2:$B$58,0)))),NOT(IFERROR(COUNTIF(OFFSET('PRODUCT DATA'!$F$2,0,MATCH($AC38,'PRODUCT DATA'!$F$1:$NN$1,0)-1,114,1),$N38)&gt;0,FALSE()))),IF(UPPER(IFERROR(OFFSET('PRODUCT DATA'!$C$2,MATCH($N38,'PRODUCT DATA'!$B$2:$B$58,0)-1,0),""))="NO","Alcohol Restriction; ","Item Code / Country combination; "),"")&amp;IF($C38="","Quantity; ","")&amp;IF(AND($C38&lt;&gt;"",OR(NOT(ISNUMBER($C38)),$C38&lt;1,$C38&gt;999,MOD($C38,1)&lt;&gt;0)),"Quantity; ","")&amp;IF($D38="","Recipient Name; ","")&amp;IF(LEN($D38)&gt;35,"Recipient Name; ","")&amp;IF($E38="","Recipient Phone; ","")&amp;IF(AND($E38&lt;&gt;"",OR(LEN($E38)&lt;6,LEN($E38)&gt;20,NOT(IFERROR(ISNUMBER(1*$E38),FALSE())))),"Recipient Phone; ","")&amp;IF(LEN($F38)&gt;35,"Recipient Company Name; ","")&amp;IF($G38="","Address Line 1; ","")&amp;IF(LEN($G38)&gt;35,"Address Line 1; ","")&amp;IF(LEN($H38)&gt;35,"Address Line 2; ","")&amp;IF(LEN($I38)&gt;35,"Address Line 3; ","")&amp;IF($J38="","Town; ","")&amp;IF(LEN($J38)&gt;35,"Town; ","")&amp;IF(AND($N38="IE",$K38=""),"County; ","")&amp;IF(LEN($AB38)&gt;35,"County; ","")&amp;IF(AND($L38="",AND($N38&lt;&gt;"AE",$N38&lt;&gt;"QA")),"Postcode; ","")&amp;IF(LEN($L38)&gt;35,"Postcode; ","")&amp;IF($AE38&lt;&gt;"","Postcode; ","")&amp;IF(LEN($O38)&gt;40,"Gift Message 1; ","")&amp;IF(LEN($P38)&gt;40,"Gift Message 2; ","")&amp;IF(LEN($Q38)&gt;40,"Gift Message 3; ","")&amp;IF(LEN($R38)&gt;40,"Gift Message 4; ","")&amp;IF(LEN($S38)&gt;40,"Gift Message 5; ","")&amp;IF(LEN($T38)&gt;40,"Gift Message 6; ","")&amp;IF(LEN($U38)&gt;40,"Gift Message 7; ",""))</f>
        <v/>
      </c>
      <c r="X38" s="44" t="str">
        <f ca="1">IF(COUNTA($A38,$D38:$M38,$O38:$U38)=0,"",IF($A38="","Enter the Item Code (hamper) - type it, paste it, or choose it from the dropdown. ","")&amp;IF(AND($A38&lt;&gt;"",ISNA(MATCH($AC38,'PRODUCT DATA'!$D$2:$D$394,0))),"This Item Code is not recognised. Check the code (case does not matter, but spelling and digits must match exactly) or choose it from the dropdown. ","")&amp;IF($M38="","Enter the Country after the Item Code - type or paste the name or the 2-letter code, or choose it from the dropdown. ","")&amp;IF(AND($M38&lt;&gt;"",NOT(OR(NOT(ISNA(MATCH(IF(UPPER($M38)="UK","GB",$M38),'PRODUCT DATA'!$A$2:$A$58,0))),NOT(ISNA(MATCH(IF(UPPER($M38)="UK","GB",$M38),'PRODUCT DATA'!$B$2:$B$58,0)))))),"This Country is not recognised as either a full name or a 2-letter code. Check the spelling (case does not matter) or choose it from the dropdown. ","")&amp;IF(AND($A38&lt;&gt;"",$M38&lt;&gt;"",NOT(ISNA(MATCH($AC38,'PRODUCT DATA'!$D$2:$D$394,0))),OR(NOT(ISNA(MATCH(IF(UPPER($M38)="UK","GB",$M38),'PRODUCT DATA'!$A$2:$A$58,0))),NOT(ISNA(MATCH(IF(UPPER($M38)="UK","GB",$M38),'PRODUCT DATA'!$B$2:$B$58,0)))),NOT(IFERROR(COUNTIF(OFFSET('PRODUCT DATA'!$F$2,0,MATCH($AC38,'PRODUCT DATA'!$F$1:$NN$1,0)-1,114,1),$N38)&gt;0,FALSE()))),IF(UPPER(IFERROR(OFFSET('PRODUCT DATA'!$C$2,MATCH($N38,'PRODUCT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"),"")&amp;IF($C38="","Enter Quantity. ","")&amp;IF(AND($C38&lt;&gt;"",OR(NOT(ISNUMBER($C38)),$C38&lt;1,$C38&gt;999,MOD($C38,1)&lt;&gt;0)),"Quantity must be a whole number from 1 to 999 (use a quantity above 1 only for a genuine bulk order of identical items to ONE address — otherwise use a separate row per recipient). ","")&amp;IF($D38="","Enter Recipient Name. ","")&amp;IF(LEN($D38)&gt;35,"Recipient Name exceeds 35 characters. ","")&amp;IF($E38="","Enter Recipient Phone. ","")&amp;IF(AND($E38&lt;&gt;"",OR(LEN($E38)&lt;6,LEN($E38)&gt;20,NOT(IFERROR(ISNUMBER(1*$E38),FALSE())))),"Phone must be the LOCAL number for the destination country: digits only, no +, spaces, or country code, 6 to 20 digits. ","")&amp;IF(LEN($F38)&gt;35,"Recipient Company Name exceeds 35 characters. ","")&amp;IF($G38="","Enter Address Line 1. ","")&amp;IF(LEN($G38)&gt;35,"Address Line 1 exceeds the 35-character SAP limit. ","")&amp;IF(LEN($H38)&gt;35,"Address Line 2 exceeds the 35-character SAP limit. ","")&amp;IF(LEN($I38)&gt;35,"Address Line 3 exceeds the 35-character SAP limit. ","")&amp;IF($J38="","Enter Town. This must never be left blank, even if there is no conventional town name. ","")&amp;IF(LEN($J38)&gt;35,"Town exceeds 35 characters. ","")&amp;IF(AND($N38="IE",$K38=""),"County is required for deliveries within the Republic of Ireland. ","")&amp;IF(LEN($AB38)&gt;35,"County exceeds 35 characters. ","")&amp;IF(AND($L38="",AND($N38&lt;&gt;"AE",$N38&lt;&gt;"QA")),"Postcode is required for the selected country. If there is genuinely no postcode, enter the first 3 characters of the area (e.g. D15). ","")&amp;IF(LEN($L38)&gt;35,"Postcode exceeds 35 characters. ","")&amp;IF($AE38&lt;&gt;"",$AE38,"")&amp;IF(LEN($O38)&gt;40,"Gift Message Line 1 exceeds 40 characters. ","")&amp;IF(LEN($P38)&gt;40,"Gift Message Line 2 exceeds 40 characters. ","")&amp;IF(LEN($Q38)&gt;40,"Gift Message Line 3 exceeds 40 characters. ","")&amp;IF(LEN($R38)&gt;40,"Gift Message Line 4 exceeds 40 characters. ","")&amp;IF(LEN($S38)&gt;40,"Gift Message Line 5 exceeds 40 characters. ","")&amp;IF(LEN($T38)&gt;40,"Gift Message Line 6 exceeds 40 characters. ","")&amp;IF(LEN($U38)&gt;40,"Gift Message Line 7 exceeds 40 characters. ",""))</f>
        <v/>
      </c>
      <c r="Y38" s="44" t="str">
        <f t="shared" si="1"/>
        <v/>
      </c>
      <c r="Z38" s="44"/>
      <c r="AA38" s="44"/>
      <c r="AB38" s="32" t="str">
        <f t="shared" si="2"/>
        <v/>
      </c>
      <c r="AC38" s="32" t="str">
        <f>IF($A38="","",IFERROR(LEFT(INDEX('PRODUCT DATA'!$NO$2:$NO$25,MATCH($A38,'PRODUCT DATA'!$NP$2:$NP$25,0)),FIND("|",INDEX('PRODUCT DATA'!$NO$2:$NO$25,MATCH($A38,'PRODUCT DATA'!$NP$2:$NP$25,0)))-1),$A38))</f>
        <v/>
      </c>
      <c r="AD38" s="45"/>
      <c r="AE38" s="45" t="str">
        <f t="shared" si="3"/>
        <v/>
      </c>
    </row>
    <row r="39" spans="1:31" ht="15" customHeight="1" x14ac:dyDescent="0.25">
      <c r="A39" s="40"/>
      <c r="B39" s="43" t="str">
        <f>IF($A39="","",IFERROR(VLOOKUP($AC39,'PRODUCT DATA'!$NR$2:$NS$374,2,FALSE()),"UNKNOWN ITEM CODE - please check"))</f>
        <v/>
      </c>
      <c r="C39" s="39">
        <v>1</v>
      </c>
      <c r="D39" s="39"/>
      <c r="E39" s="40"/>
      <c r="F39" s="41"/>
      <c r="G39" s="39"/>
      <c r="H39" s="41"/>
      <c r="I39" s="41"/>
      <c r="J39" s="39"/>
      <c r="K39" s="41"/>
      <c r="L39" s="40"/>
      <c r="M39" s="40"/>
      <c r="N39" s="42" t="str">
        <f>IF($M39="","",IFERROR(INDEX('PRODUCT DATA'!$B$2:$B$58,MATCH(IF(UPPER($M39)="UK","GB",$M39),'PRODUCT DATA'!$B$2:$B$58,0)),IFERROR(INDEX('PRODUCT DATA'!$B$2:$B$58,MATCH(IF(UPPER($M39)="UK","GB",$M39),'PRODUCT DATA'!$A$2:$A$58,0)),"UNKNOWN COUNTRY - please check")))</f>
        <v/>
      </c>
      <c r="O39" s="41"/>
      <c r="P39" s="41"/>
      <c r="Q39" s="41"/>
      <c r="R39" s="41"/>
      <c r="S39" s="41"/>
      <c r="T39" s="41"/>
      <c r="U39" s="41"/>
      <c r="V39" s="43" t="str">
        <f t="shared" si="0"/>
        <v/>
      </c>
      <c r="W39" s="44" t="str">
        <f ca="1">IF(COUNTA($A39,$D39:$M39,$O39:$U39)=0,"",IF($A39="","Item Code; ","")&amp;IF(AND($A39&lt;&gt;"",ISNA(MATCH($AC39,'PRODUCT DATA'!$D$2:$D$394,0))),"Item Code; ","")&amp;IF($M39="","Country; ","")&amp;IF(AND($M39&lt;&gt;"",NOT(OR(NOT(ISNA(MATCH(IF(UPPER($M39)="UK","GB",$M39),'PRODUCT DATA'!$A$2:$A$58,0))),NOT(ISNA(MATCH(IF(UPPER($M39)="UK","GB",$M39),'PRODUCT DATA'!$B$2:$B$58,0)))))),"Country; ","")&amp;IF(AND($A39&lt;&gt;"",$M39&lt;&gt;"",NOT(ISNA(MATCH($AC39,'PRODUCT DATA'!$D$2:$D$394,0))),OR(NOT(ISNA(MATCH(IF(UPPER($M39)="UK","GB",$M39),'PRODUCT DATA'!$A$2:$A$58,0))),NOT(ISNA(MATCH(IF(UPPER($M39)="UK","GB",$M39),'PRODUCT DATA'!$B$2:$B$58,0)))),NOT(IFERROR(COUNTIF(OFFSET('PRODUCT DATA'!$F$2,0,MATCH($AC39,'PRODUCT DATA'!$F$1:$NN$1,0)-1,114,1),$N39)&gt;0,FALSE()))),IF(UPPER(IFERROR(OFFSET('PRODUCT DATA'!$C$2,MATCH($N39,'PRODUCT DATA'!$B$2:$B$58,0)-1,0),""))="NO","Alcohol Restriction; ","Item Code / Country combination; "),"")&amp;IF($C39="","Quantity; ","")&amp;IF(AND($C39&lt;&gt;"",OR(NOT(ISNUMBER($C39)),$C39&lt;1,$C39&gt;999,MOD($C39,1)&lt;&gt;0)),"Quantity; ","")&amp;IF($D39="","Recipient Name; ","")&amp;IF(LEN($D39)&gt;35,"Recipient Name; ","")&amp;IF($E39="","Recipient Phone; ","")&amp;IF(AND($E39&lt;&gt;"",OR(LEN($E39)&lt;6,LEN($E39)&gt;20,NOT(IFERROR(ISNUMBER(1*$E39),FALSE())))),"Recipient Phone; ","")&amp;IF(LEN($F39)&gt;35,"Recipient Company Name; ","")&amp;IF($G39="","Address Line 1; ","")&amp;IF(LEN($G39)&gt;35,"Address Line 1; ","")&amp;IF(LEN($H39)&gt;35,"Address Line 2; ","")&amp;IF(LEN($I39)&gt;35,"Address Line 3; ","")&amp;IF($J39="","Town; ","")&amp;IF(LEN($J39)&gt;35,"Town; ","")&amp;IF(AND($N39="IE",$K39=""),"County; ","")&amp;IF(LEN($AB39)&gt;35,"County; ","")&amp;IF(AND($L39="",AND($N39&lt;&gt;"AE",$N39&lt;&gt;"QA")),"Postcode; ","")&amp;IF(LEN($L39)&gt;35,"Postcode; ","")&amp;IF($AE39&lt;&gt;"","Postcode; ","")&amp;IF(LEN($O39)&gt;40,"Gift Message 1; ","")&amp;IF(LEN($P39)&gt;40,"Gift Message 2; ","")&amp;IF(LEN($Q39)&gt;40,"Gift Message 3; ","")&amp;IF(LEN($R39)&gt;40,"Gift Message 4; ","")&amp;IF(LEN($S39)&gt;40,"Gift Message 5; ","")&amp;IF(LEN($T39)&gt;40,"Gift Message 6; ","")&amp;IF(LEN($U39)&gt;40,"Gift Message 7; ",""))</f>
        <v/>
      </c>
      <c r="X39" s="44" t="str">
        <f ca="1">IF(COUNTA($A39,$D39:$M39,$O39:$U39)=0,"",IF($A39="","Enter the Item Code (hamper) - type it, paste it, or choose it from the dropdown. ","")&amp;IF(AND($A39&lt;&gt;"",ISNA(MATCH($AC39,'PRODUCT DATA'!$D$2:$D$394,0))),"This Item Code is not recognised. Check the code (case does not matter, but spelling and digits must match exactly) or choose it from the dropdown. ","")&amp;IF($M39="","Enter the Country after the Item Code - type or paste the name or the 2-letter code, or choose it from the dropdown. ","")&amp;IF(AND($M39&lt;&gt;"",NOT(OR(NOT(ISNA(MATCH(IF(UPPER($M39)="UK","GB",$M39),'PRODUCT DATA'!$A$2:$A$58,0))),NOT(ISNA(MATCH(IF(UPPER($M39)="UK","GB",$M39),'PRODUCT DATA'!$B$2:$B$58,0)))))),"This Country is not recognised as either a full name or a 2-letter code. Check the spelling (case does not matter) or choose it from the dropdown. ","")&amp;IF(AND($A39&lt;&gt;"",$M39&lt;&gt;"",NOT(ISNA(MATCH($AC39,'PRODUCT DATA'!$D$2:$D$394,0))),OR(NOT(ISNA(MATCH(IF(UPPER($M39)="UK","GB",$M39),'PRODUCT DATA'!$A$2:$A$58,0))),NOT(ISNA(MATCH(IF(UPPER($M39)="UK","GB",$M39),'PRODUCT DATA'!$B$2:$B$58,0)))),NOT(IFERROR(COUNTIF(OFFSET('PRODUCT DATA'!$F$2,0,MATCH($AC39,'PRODUCT DATA'!$F$1:$NN$1,0)-1,114,1),$N39)&gt;0,FALSE()))),IF(UPPER(IFERROR(OFFSET('PRODUCT DATA'!$C$2,MATCH($N39,'PRODUCT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"),"")&amp;IF($C39="","Enter Quantity. ","")&amp;IF(AND($C39&lt;&gt;"",OR(NOT(ISNUMBER($C39)),$C39&lt;1,$C39&gt;999,MOD($C39,1)&lt;&gt;0)),"Quantity must be a whole number from 1 to 999 (use a quantity above 1 only for a genuine bulk order of identical items to ONE address — otherwise use a separate row per recipient). ","")&amp;IF($D39="","Enter Recipient Name. ","")&amp;IF(LEN($D39)&gt;35,"Recipient Name exceeds 35 characters. ","")&amp;IF($E39="","Enter Recipient Phone. ","")&amp;IF(AND($E39&lt;&gt;"",OR(LEN($E39)&lt;6,LEN($E39)&gt;20,NOT(IFERROR(ISNUMBER(1*$E39),FALSE())))),"Phone must be the LOCAL number for the destination country: digits only, no +, spaces, or country code, 6 to 20 digits. ","")&amp;IF(LEN($F39)&gt;35,"Recipient Company Name exceeds 35 characters. ","")&amp;IF($G39="","Enter Address Line 1. ","")&amp;IF(LEN($G39)&gt;35,"Address Line 1 exceeds the 35-character SAP limit. ","")&amp;IF(LEN($H39)&gt;35,"Address Line 2 exceeds the 35-character SAP limit. ","")&amp;IF(LEN($I39)&gt;35,"Address Line 3 exceeds the 35-character SAP limit. ","")&amp;IF($J39="","Enter Town. This must never be left blank, even if there is no conventional town name. ","")&amp;IF(LEN($J39)&gt;35,"Town exceeds 35 characters. ","")&amp;IF(AND($N39="IE",$K39=""),"County is required for deliveries within the Republic of Ireland. ","")&amp;IF(LEN($AB39)&gt;35,"County exceeds 35 characters. ","")&amp;IF(AND($L39="",AND($N39&lt;&gt;"AE",$N39&lt;&gt;"QA")),"Postcode is required for the selected country. If there is genuinely no postcode, enter the first 3 characters of the area (e.g. D15). ","")&amp;IF(LEN($L39)&gt;35,"Postcode exceeds 35 characters. ","")&amp;IF($AE39&lt;&gt;"",$AE39,"")&amp;IF(LEN($O39)&gt;40,"Gift Message Line 1 exceeds 40 characters. ","")&amp;IF(LEN($P39)&gt;40,"Gift Message Line 2 exceeds 40 characters. ","")&amp;IF(LEN($Q39)&gt;40,"Gift Message Line 3 exceeds 40 characters. ","")&amp;IF(LEN($R39)&gt;40,"Gift Message Line 4 exceeds 40 characters. ","")&amp;IF(LEN($S39)&gt;40,"Gift Message Line 5 exceeds 40 characters. ","")&amp;IF(LEN($T39)&gt;40,"Gift Message Line 6 exceeds 40 characters. ","")&amp;IF(LEN($U39)&gt;40,"Gift Message Line 7 exceeds 40 characters. ",""))</f>
        <v/>
      </c>
      <c r="Y39" s="44" t="str">
        <f t="shared" si="1"/>
        <v/>
      </c>
      <c r="Z39" s="44"/>
      <c r="AA39" s="44"/>
      <c r="AB39" s="32" t="str">
        <f t="shared" si="2"/>
        <v/>
      </c>
      <c r="AC39" s="32" t="str">
        <f>IF($A39="","",IFERROR(LEFT(INDEX('PRODUCT DATA'!$NO$2:$NO$25,MATCH($A39,'PRODUCT DATA'!$NP$2:$NP$25,0)),FIND("|",INDEX('PRODUCT DATA'!$NO$2:$NO$25,MATCH($A39,'PRODUCT DATA'!$NP$2:$NP$25,0)))-1),$A39))</f>
        <v/>
      </c>
      <c r="AD39" s="45"/>
      <c r="AE39" s="45" t="str">
        <f t="shared" si="3"/>
        <v/>
      </c>
    </row>
    <row r="40" spans="1:31" ht="15" customHeight="1" x14ac:dyDescent="0.25">
      <c r="A40" s="40"/>
      <c r="B40" s="43" t="str">
        <f>IF($A40="","",IFERROR(VLOOKUP($AC40,'PRODUCT DATA'!$NR$2:$NS$374,2,FALSE()),"UNKNOWN ITEM CODE - please check"))</f>
        <v/>
      </c>
      <c r="C40" s="39">
        <v>1</v>
      </c>
      <c r="D40" s="39"/>
      <c r="E40" s="40"/>
      <c r="F40" s="41"/>
      <c r="G40" s="39"/>
      <c r="H40" s="41"/>
      <c r="I40" s="41"/>
      <c r="J40" s="39"/>
      <c r="K40" s="41"/>
      <c r="L40" s="40"/>
      <c r="M40" s="40"/>
      <c r="N40" s="42" t="str">
        <f>IF($M40="","",IFERROR(INDEX('PRODUCT DATA'!$B$2:$B$58,MATCH(IF(UPPER($M40)="UK","GB",$M40),'PRODUCT DATA'!$B$2:$B$58,0)),IFERROR(INDEX('PRODUCT DATA'!$B$2:$B$58,MATCH(IF(UPPER($M40)="UK","GB",$M40),'PRODUCT DATA'!$A$2:$A$58,0)),"UNKNOWN COUNTRY - please check")))</f>
        <v/>
      </c>
      <c r="O40" s="41"/>
      <c r="P40" s="41"/>
      <c r="Q40" s="41"/>
      <c r="R40" s="41"/>
      <c r="S40" s="41"/>
      <c r="T40" s="41"/>
      <c r="U40" s="41"/>
      <c r="V40" s="43" t="str">
        <f t="shared" si="0"/>
        <v/>
      </c>
      <c r="W40" s="44" t="str">
        <f ca="1">IF(COUNTA($A40,$D40:$M40,$O40:$U40)=0,"",IF($A40="","Item Code; ","")&amp;IF(AND($A40&lt;&gt;"",ISNA(MATCH($AC40,'PRODUCT DATA'!$D$2:$D$394,0))),"Item Code; ","")&amp;IF($M40="","Country; ","")&amp;IF(AND($M40&lt;&gt;"",NOT(OR(NOT(ISNA(MATCH(IF(UPPER($M40)="UK","GB",$M40),'PRODUCT DATA'!$A$2:$A$58,0))),NOT(ISNA(MATCH(IF(UPPER($M40)="UK","GB",$M40),'PRODUCT DATA'!$B$2:$B$58,0)))))),"Country; ","")&amp;IF(AND($A40&lt;&gt;"",$M40&lt;&gt;"",NOT(ISNA(MATCH($AC40,'PRODUCT DATA'!$D$2:$D$394,0))),OR(NOT(ISNA(MATCH(IF(UPPER($M40)="UK","GB",$M40),'PRODUCT DATA'!$A$2:$A$58,0))),NOT(ISNA(MATCH(IF(UPPER($M40)="UK","GB",$M40),'PRODUCT DATA'!$B$2:$B$58,0)))),NOT(IFERROR(COUNTIF(OFFSET('PRODUCT DATA'!$F$2,0,MATCH($AC40,'PRODUCT DATA'!$F$1:$NN$1,0)-1,114,1),$N40)&gt;0,FALSE()))),IF(UPPER(IFERROR(OFFSET('PRODUCT DATA'!$C$2,MATCH($N40,'PRODUCT DATA'!$B$2:$B$58,0)-1,0),""))="NO","Alcohol Restriction; ","Item Code / Country combination; "),"")&amp;IF($C40="","Quantity; ","")&amp;IF(AND($C40&lt;&gt;"",OR(NOT(ISNUMBER($C40)),$C40&lt;1,$C40&gt;999,MOD($C40,1)&lt;&gt;0)),"Quantity; ","")&amp;IF($D40="","Recipient Name; ","")&amp;IF(LEN($D40)&gt;35,"Recipient Name; ","")&amp;IF($E40="","Recipient Phone; ","")&amp;IF(AND($E40&lt;&gt;"",OR(LEN($E40)&lt;6,LEN($E40)&gt;20,NOT(IFERROR(ISNUMBER(1*$E40),FALSE())))),"Recipient Phone; ","")&amp;IF(LEN($F40)&gt;35,"Recipient Company Name; ","")&amp;IF($G40="","Address Line 1; ","")&amp;IF(LEN($G40)&gt;35,"Address Line 1; ","")&amp;IF(LEN($H40)&gt;35,"Address Line 2; ","")&amp;IF(LEN($I40)&gt;35,"Address Line 3; ","")&amp;IF($J40="","Town; ","")&amp;IF(LEN($J40)&gt;35,"Town; ","")&amp;IF(AND($N40="IE",$K40=""),"County; ","")&amp;IF(LEN($AB40)&gt;35,"County; ","")&amp;IF(AND($L40="",AND($N40&lt;&gt;"AE",$N40&lt;&gt;"QA")),"Postcode; ","")&amp;IF(LEN($L40)&gt;35,"Postcode; ","")&amp;IF($AE40&lt;&gt;"","Postcode; ","")&amp;IF(LEN($O40)&gt;40,"Gift Message 1; ","")&amp;IF(LEN($P40)&gt;40,"Gift Message 2; ","")&amp;IF(LEN($Q40)&gt;40,"Gift Message 3; ","")&amp;IF(LEN($R40)&gt;40,"Gift Message 4; ","")&amp;IF(LEN($S40)&gt;40,"Gift Message 5; ","")&amp;IF(LEN($T40)&gt;40,"Gift Message 6; ","")&amp;IF(LEN($U40)&gt;40,"Gift Message 7; ",""))</f>
        <v/>
      </c>
      <c r="X40" s="44" t="str">
        <f ca="1">IF(COUNTA($A40,$D40:$M40,$O40:$U40)=0,"",IF($A40="","Enter the Item Code (hamper) - type it, paste it, or choose it from the dropdown. ","")&amp;IF(AND($A40&lt;&gt;"",ISNA(MATCH($AC40,'PRODUCT DATA'!$D$2:$D$394,0))),"This Item Code is not recognised. Check the code (case does not matter, but spelling and digits must match exactly) or choose it from the dropdown. ","")&amp;IF($M40="","Enter the Country after the Item Code - type or paste the name or the 2-letter code, or choose it from the dropdown. ","")&amp;IF(AND($M40&lt;&gt;"",NOT(OR(NOT(ISNA(MATCH(IF(UPPER($M40)="UK","GB",$M40),'PRODUCT DATA'!$A$2:$A$58,0))),NOT(ISNA(MATCH(IF(UPPER($M40)="UK","GB",$M40),'PRODUCT DATA'!$B$2:$B$58,0)))))),"This Country is not recognised as either a full name or a 2-letter code. Check the spelling (case does not matter) or choose it from the dropdown. ","")&amp;IF(AND($A40&lt;&gt;"",$M40&lt;&gt;"",NOT(ISNA(MATCH($AC40,'PRODUCT DATA'!$D$2:$D$394,0))),OR(NOT(ISNA(MATCH(IF(UPPER($M40)="UK","GB",$M40),'PRODUCT DATA'!$A$2:$A$58,0))),NOT(ISNA(MATCH(IF(UPPER($M40)="UK","GB",$M40),'PRODUCT DATA'!$B$2:$B$58,0)))),NOT(IFERROR(COUNTIF(OFFSET('PRODUCT DATA'!$F$2,0,MATCH($AC40,'PRODUCT DATA'!$F$1:$NN$1,0)-1,114,1),$N40)&gt;0,FALSE()))),IF(UPPER(IFERROR(OFFSET('PRODUCT DATA'!$C$2,MATCH($N40,'PRODUCT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"),"")&amp;IF($C40="","Enter Quantity. ","")&amp;IF(AND($C40&lt;&gt;"",OR(NOT(ISNUMBER($C40)),$C40&lt;1,$C40&gt;999,MOD($C40,1)&lt;&gt;0)),"Quantity must be a whole number from 1 to 999 (use a quantity above 1 only for a genuine bulk order of identical items to ONE address — otherwise use a separate row per recipient). ","")&amp;IF($D40="","Enter Recipient Name. ","")&amp;IF(LEN($D40)&gt;35,"Recipient Name exceeds 35 characters. ","")&amp;IF($E40="","Enter Recipient Phone. ","")&amp;IF(AND($E40&lt;&gt;"",OR(LEN($E40)&lt;6,LEN($E40)&gt;20,NOT(IFERROR(ISNUMBER(1*$E40),FALSE())))),"Phone must be the LOCAL number for the destination country: digits only, no +, spaces, or country code, 6 to 20 digits. ","")&amp;IF(LEN($F40)&gt;35,"Recipient Company Name exceeds 35 characters. ","")&amp;IF($G40="","Enter Address Line 1. ","")&amp;IF(LEN($G40)&gt;35,"Address Line 1 exceeds the 35-character SAP limit. ","")&amp;IF(LEN($H40)&gt;35,"Address Line 2 exceeds the 35-character SAP limit. ","")&amp;IF(LEN($I40)&gt;35,"Address Line 3 exceeds the 35-character SAP limit. ","")&amp;IF($J40="","Enter Town. This must never be left blank, even if there is no conventional town name. ","")&amp;IF(LEN($J40)&gt;35,"Town exceeds 35 characters. ","")&amp;IF(AND($N40="IE",$K40=""),"County is required for deliveries within the Republic of Ireland. ","")&amp;IF(LEN($AB40)&gt;35,"County exceeds 35 characters. ","")&amp;IF(AND($L40="",AND($N40&lt;&gt;"AE",$N40&lt;&gt;"QA")),"Postcode is required for the selected country. If there is genuinely no postcode, enter the first 3 characters of the area (e.g. D15). ","")&amp;IF(LEN($L40)&gt;35,"Postcode exceeds 35 characters. ","")&amp;IF($AE40&lt;&gt;"",$AE40,"")&amp;IF(LEN($O40)&gt;40,"Gift Message Line 1 exceeds 40 characters. ","")&amp;IF(LEN($P40)&gt;40,"Gift Message Line 2 exceeds 40 characters. ","")&amp;IF(LEN($Q40)&gt;40,"Gift Message Line 3 exceeds 40 characters. ","")&amp;IF(LEN($R40)&gt;40,"Gift Message Line 4 exceeds 40 characters. ","")&amp;IF(LEN($S40)&gt;40,"Gift Message Line 5 exceeds 40 characters. ","")&amp;IF(LEN($T40)&gt;40,"Gift Message Line 6 exceeds 40 characters. ","")&amp;IF(LEN($U40)&gt;40,"Gift Message Line 7 exceeds 40 characters. ",""))</f>
        <v/>
      </c>
      <c r="Y40" s="44" t="str">
        <f t="shared" si="1"/>
        <v/>
      </c>
      <c r="Z40" s="44"/>
      <c r="AA40" s="44"/>
      <c r="AB40" s="32" t="str">
        <f t="shared" si="2"/>
        <v/>
      </c>
      <c r="AC40" s="32" t="str">
        <f>IF($A40="","",IFERROR(LEFT(INDEX('PRODUCT DATA'!$NO$2:$NO$25,MATCH($A40,'PRODUCT DATA'!$NP$2:$NP$25,0)),FIND("|",INDEX('PRODUCT DATA'!$NO$2:$NO$25,MATCH($A40,'PRODUCT DATA'!$NP$2:$NP$25,0)))-1),$A40))</f>
        <v/>
      </c>
      <c r="AD40" s="45"/>
      <c r="AE40" s="45" t="str">
        <f t="shared" si="3"/>
        <v/>
      </c>
    </row>
    <row r="41" spans="1:31" ht="15" customHeight="1" x14ac:dyDescent="0.25">
      <c r="A41" s="40"/>
      <c r="B41" s="43" t="str">
        <f>IF($A41="","",IFERROR(VLOOKUP($AC41,'PRODUCT DATA'!$NR$2:$NS$374,2,FALSE()),"UNKNOWN ITEM CODE - please check"))</f>
        <v/>
      </c>
      <c r="C41" s="39">
        <v>1</v>
      </c>
      <c r="D41" s="39"/>
      <c r="E41" s="40"/>
      <c r="F41" s="41"/>
      <c r="G41" s="39"/>
      <c r="H41" s="41"/>
      <c r="I41" s="41"/>
      <c r="J41" s="39"/>
      <c r="K41" s="41"/>
      <c r="L41" s="40"/>
      <c r="M41" s="40"/>
      <c r="N41" s="42" t="str">
        <f>IF($M41="","",IFERROR(INDEX('PRODUCT DATA'!$B$2:$B$58,MATCH(IF(UPPER($M41)="UK","GB",$M41),'PRODUCT DATA'!$B$2:$B$58,0)),IFERROR(INDEX('PRODUCT DATA'!$B$2:$B$58,MATCH(IF(UPPER($M41)="UK","GB",$M41),'PRODUCT DATA'!$A$2:$A$58,0)),"UNKNOWN COUNTRY - please check")))</f>
        <v/>
      </c>
      <c r="O41" s="41"/>
      <c r="P41" s="41"/>
      <c r="Q41" s="41"/>
      <c r="R41" s="41"/>
      <c r="S41" s="41"/>
      <c r="T41" s="41"/>
      <c r="U41" s="41"/>
      <c r="V41" s="43" t="str">
        <f t="shared" si="0"/>
        <v/>
      </c>
      <c r="W41" s="44" t="str">
        <f ca="1">IF(COUNTA($A41,$D41:$M41,$O41:$U41)=0,"",IF($A41="","Item Code; ","")&amp;IF(AND($A41&lt;&gt;"",ISNA(MATCH($AC41,'PRODUCT DATA'!$D$2:$D$394,0))),"Item Code; ","")&amp;IF($M41="","Country; ","")&amp;IF(AND($M41&lt;&gt;"",NOT(OR(NOT(ISNA(MATCH(IF(UPPER($M41)="UK","GB",$M41),'PRODUCT DATA'!$A$2:$A$58,0))),NOT(ISNA(MATCH(IF(UPPER($M41)="UK","GB",$M41),'PRODUCT DATA'!$B$2:$B$58,0)))))),"Country; ","")&amp;IF(AND($A41&lt;&gt;"",$M41&lt;&gt;"",NOT(ISNA(MATCH($AC41,'PRODUCT DATA'!$D$2:$D$394,0))),OR(NOT(ISNA(MATCH(IF(UPPER($M41)="UK","GB",$M41),'PRODUCT DATA'!$A$2:$A$58,0))),NOT(ISNA(MATCH(IF(UPPER($M41)="UK","GB",$M41),'PRODUCT DATA'!$B$2:$B$58,0)))),NOT(IFERROR(COUNTIF(OFFSET('PRODUCT DATA'!$F$2,0,MATCH($AC41,'PRODUCT DATA'!$F$1:$NN$1,0)-1,114,1),$N41)&gt;0,FALSE()))),IF(UPPER(IFERROR(OFFSET('PRODUCT DATA'!$C$2,MATCH($N41,'PRODUCT DATA'!$B$2:$B$58,0)-1,0),""))="NO","Alcohol Restriction; ","Item Code / Country combination; "),"")&amp;IF($C41="","Quantity; ","")&amp;IF(AND($C41&lt;&gt;"",OR(NOT(ISNUMBER($C41)),$C41&lt;1,$C41&gt;999,MOD($C41,1)&lt;&gt;0)),"Quantity; ","")&amp;IF($D41="","Recipient Name; ","")&amp;IF(LEN($D41)&gt;35,"Recipient Name; ","")&amp;IF($E41="","Recipient Phone; ","")&amp;IF(AND($E41&lt;&gt;"",OR(LEN($E41)&lt;6,LEN($E41)&gt;20,NOT(IFERROR(ISNUMBER(1*$E41),FALSE())))),"Recipient Phone; ","")&amp;IF(LEN($F41)&gt;35,"Recipient Company Name; ","")&amp;IF($G41="","Address Line 1; ","")&amp;IF(LEN($G41)&gt;35,"Address Line 1; ","")&amp;IF(LEN($H41)&gt;35,"Address Line 2; ","")&amp;IF(LEN($I41)&gt;35,"Address Line 3; ","")&amp;IF($J41="","Town; ","")&amp;IF(LEN($J41)&gt;35,"Town; ","")&amp;IF(AND($N41="IE",$K41=""),"County; ","")&amp;IF(LEN($AB41)&gt;35,"County; ","")&amp;IF(AND($L41="",AND($N41&lt;&gt;"AE",$N41&lt;&gt;"QA")),"Postcode; ","")&amp;IF(LEN($L41)&gt;35,"Postcode; ","")&amp;IF($AE41&lt;&gt;"","Postcode; ","")&amp;IF(LEN($O41)&gt;40,"Gift Message 1; ","")&amp;IF(LEN($P41)&gt;40,"Gift Message 2; ","")&amp;IF(LEN($Q41)&gt;40,"Gift Message 3; ","")&amp;IF(LEN($R41)&gt;40,"Gift Message 4; ","")&amp;IF(LEN($S41)&gt;40,"Gift Message 5; ","")&amp;IF(LEN($T41)&gt;40,"Gift Message 6; ","")&amp;IF(LEN($U41)&gt;40,"Gift Message 7; ",""))</f>
        <v/>
      </c>
      <c r="X41" s="44" t="str">
        <f ca="1">IF(COUNTA($A41,$D41:$M41,$O41:$U41)=0,"",IF($A41="","Enter the Item Code (hamper) - type it, paste it, or choose it from the dropdown. ","")&amp;IF(AND($A41&lt;&gt;"",ISNA(MATCH($AC41,'PRODUCT DATA'!$D$2:$D$394,0))),"This Item Code is not recognised. Check the code (case does not matter, but spelling and digits must match exactly) or choose it from the dropdown. ","")&amp;IF($M41="","Enter the Country after the Item Code - type or paste the name or the 2-letter code, or choose it from the dropdown. ","")&amp;IF(AND($M41&lt;&gt;"",NOT(OR(NOT(ISNA(MATCH(IF(UPPER($M41)="UK","GB",$M41),'PRODUCT DATA'!$A$2:$A$58,0))),NOT(ISNA(MATCH(IF(UPPER($M41)="UK","GB",$M41),'PRODUCT DATA'!$B$2:$B$58,0)))))),"This Country is not recognised as either a full name or a 2-letter code. Check the spelling (case does not matter) or choose it from the dropdown. ","")&amp;IF(AND($A41&lt;&gt;"",$M41&lt;&gt;"",NOT(ISNA(MATCH($AC41,'PRODUCT DATA'!$D$2:$D$394,0))),OR(NOT(ISNA(MATCH(IF(UPPER($M41)="UK","GB",$M41),'PRODUCT DATA'!$A$2:$A$58,0))),NOT(ISNA(MATCH(IF(UPPER($M41)="UK","GB",$M41),'PRODUCT DATA'!$B$2:$B$58,0)))),NOT(IFERROR(COUNTIF(OFFSET('PRODUCT DATA'!$F$2,0,MATCH($AC41,'PRODUCT DATA'!$F$1:$NN$1,0)-1,114,1),$N41)&gt;0,FALSE()))),IF(UPPER(IFERROR(OFFSET('PRODUCT DATA'!$C$2,MATCH($N41,'PRODUCT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"),"")&amp;IF($C41="","Enter Quantity. ","")&amp;IF(AND($C41&lt;&gt;"",OR(NOT(ISNUMBER($C41)),$C41&lt;1,$C41&gt;999,MOD($C41,1)&lt;&gt;0)),"Quantity must be a whole number from 1 to 999 (use a quantity above 1 only for a genuine bulk order of identical items to ONE address — otherwise use a separate row per recipient). ","")&amp;IF($D41="","Enter Recipient Name. ","")&amp;IF(LEN($D41)&gt;35,"Recipient Name exceeds 35 characters. ","")&amp;IF($E41="","Enter Recipient Phone. ","")&amp;IF(AND($E41&lt;&gt;"",OR(LEN($E41)&lt;6,LEN($E41)&gt;20,NOT(IFERROR(ISNUMBER(1*$E41),FALSE())))),"Phone must be the LOCAL number for the destination country: digits only, no +, spaces, or country code, 6 to 20 digits. ","")&amp;IF(LEN($F41)&gt;35,"Recipient Company Name exceeds 35 characters. ","")&amp;IF($G41="","Enter Address Line 1. ","")&amp;IF(LEN($G41)&gt;35,"Address Line 1 exceeds the 35-character SAP limit. ","")&amp;IF(LEN($H41)&gt;35,"Address Line 2 exceeds the 35-character SAP limit. ","")&amp;IF(LEN($I41)&gt;35,"Address Line 3 exceeds the 35-character SAP limit. ","")&amp;IF($J41="","Enter Town. This must never be left blank, even if there is no conventional town name. ","")&amp;IF(LEN($J41)&gt;35,"Town exceeds 35 characters. ","")&amp;IF(AND($N41="IE",$K41=""),"County is required for deliveries within the Republic of Ireland. ","")&amp;IF(LEN($AB41)&gt;35,"County exceeds 35 characters. ","")&amp;IF(AND($L41="",AND($N41&lt;&gt;"AE",$N41&lt;&gt;"QA")),"Postcode is required for the selected country. If there is genuinely no postcode, enter the first 3 characters of the area (e.g. D15). ","")&amp;IF(LEN($L41)&gt;35,"Postcode exceeds 35 characters. ","")&amp;IF($AE41&lt;&gt;"",$AE41,"")&amp;IF(LEN($O41)&gt;40,"Gift Message Line 1 exceeds 40 characters. ","")&amp;IF(LEN($P41)&gt;40,"Gift Message Line 2 exceeds 40 characters. ","")&amp;IF(LEN($Q41)&gt;40,"Gift Message Line 3 exceeds 40 characters. ","")&amp;IF(LEN($R41)&gt;40,"Gift Message Line 4 exceeds 40 characters. ","")&amp;IF(LEN($S41)&gt;40,"Gift Message Line 5 exceeds 40 characters. ","")&amp;IF(LEN($T41)&gt;40,"Gift Message Line 6 exceeds 40 characters. ","")&amp;IF(LEN($U41)&gt;40,"Gift Message Line 7 exceeds 40 characters. ",""))</f>
        <v/>
      </c>
      <c r="Y41" s="44" t="str">
        <f t="shared" si="1"/>
        <v/>
      </c>
      <c r="Z41" s="44"/>
      <c r="AA41" s="44"/>
      <c r="AB41" s="32" t="str">
        <f t="shared" si="2"/>
        <v/>
      </c>
      <c r="AC41" s="32" t="str">
        <f>IF($A41="","",IFERROR(LEFT(INDEX('PRODUCT DATA'!$NO$2:$NO$25,MATCH($A41,'PRODUCT DATA'!$NP$2:$NP$25,0)),FIND("|",INDEX('PRODUCT DATA'!$NO$2:$NO$25,MATCH($A41,'PRODUCT DATA'!$NP$2:$NP$25,0)))-1),$A41))</f>
        <v/>
      </c>
      <c r="AD41" s="45"/>
      <c r="AE41" s="45" t="str">
        <f t="shared" si="3"/>
        <v/>
      </c>
    </row>
    <row r="42" spans="1:31" ht="15" customHeight="1" x14ac:dyDescent="0.25">
      <c r="A42" s="40"/>
      <c r="B42" s="43" t="str">
        <f>IF($A42="","",IFERROR(VLOOKUP($AC42,'PRODUCT DATA'!$NR$2:$NS$374,2,FALSE()),"UNKNOWN ITEM CODE - please check"))</f>
        <v/>
      </c>
      <c r="C42" s="39">
        <v>1</v>
      </c>
      <c r="D42" s="39"/>
      <c r="E42" s="40"/>
      <c r="F42" s="41"/>
      <c r="G42" s="39"/>
      <c r="H42" s="41"/>
      <c r="I42" s="41"/>
      <c r="J42" s="39"/>
      <c r="K42" s="41"/>
      <c r="L42" s="40"/>
      <c r="M42" s="40"/>
      <c r="N42" s="42" t="str">
        <f>IF($M42="","",IFERROR(INDEX('PRODUCT DATA'!$B$2:$B$58,MATCH(IF(UPPER($M42)="UK","GB",$M42),'PRODUCT DATA'!$B$2:$B$58,0)),IFERROR(INDEX('PRODUCT DATA'!$B$2:$B$58,MATCH(IF(UPPER($M42)="UK","GB",$M42),'PRODUCT DATA'!$A$2:$A$58,0)),"UNKNOWN COUNTRY - please check")))</f>
        <v/>
      </c>
      <c r="O42" s="41"/>
      <c r="P42" s="41"/>
      <c r="Q42" s="41"/>
      <c r="R42" s="41"/>
      <c r="S42" s="41"/>
      <c r="T42" s="41"/>
      <c r="U42" s="41"/>
      <c r="V42" s="43" t="str">
        <f t="shared" si="0"/>
        <v/>
      </c>
      <c r="W42" s="44" t="str">
        <f ca="1">IF(COUNTA($A42,$D42:$M42,$O42:$U42)=0,"",IF($A42="","Item Code; ","")&amp;IF(AND($A42&lt;&gt;"",ISNA(MATCH($AC42,'PRODUCT DATA'!$D$2:$D$394,0))),"Item Code; ","")&amp;IF($M42="","Country; ","")&amp;IF(AND($M42&lt;&gt;"",NOT(OR(NOT(ISNA(MATCH(IF(UPPER($M42)="UK","GB",$M42),'PRODUCT DATA'!$A$2:$A$58,0))),NOT(ISNA(MATCH(IF(UPPER($M42)="UK","GB",$M42),'PRODUCT DATA'!$B$2:$B$58,0)))))),"Country; ","")&amp;IF(AND($A42&lt;&gt;"",$M42&lt;&gt;"",NOT(ISNA(MATCH($AC42,'PRODUCT DATA'!$D$2:$D$394,0))),OR(NOT(ISNA(MATCH(IF(UPPER($M42)="UK","GB",$M42),'PRODUCT DATA'!$A$2:$A$58,0))),NOT(ISNA(MATCH(IF(UPPER($M42)="UK","GB",$M42),'PRODUCT DATA'!$B$2:$B$58,0)))),NOT(IFERROR(COUNTIF(OFFSET('PRODUCT DATA'!$F$2,0,MATCH($AC42,'PRODUCT DATA'!$F$1:$NN$1,0)-1,114,1),$N42)&gt;0,FALSE()))),IF(UPPER(IFERROR(OFFSET('PRODUCT DATA'!$C$2,MATCH($N42,'PRODUCT DATA'!$B$2:$B$58,0)-1,0),""))="NO","Alcohol Restriction; ","Item Code / Country combination; "),"")&amp;IF($C42="","Quantity; ","")&amp;IF(AND($C42&lt;&gt;"",OR(NOT(ISNUMBER($C42)),$C42&lt;1,$C42&gt;999,MOD($C42,1)&lt;&gt;0)),"Quantity; ","")&amp;IF($D42="","Recipient Name; ","")&amp;IF(LEN($D42)&gt;35,"Recipient Name; ","")&amp;IF($E42="","Recipient Phone; ","")&amp;IF(AND($E42&lt;&gt;"",OR(LEN($E42)&lt;6,LEN($E42)&gt;20,NOT(IFERROR(ISNUMBER(1*$E42),FALSE())))),"Recipient Phone; ","")&amp;IF(LEN($F42)&gt;35,"Recipient Company Name; ","")&amp;IF($G42="","Address Line 1; ","")&amp;IF(LEN($G42)&gt;35,"Address Line 1; ","")&amp;IF(LEN($H42)&gt;35,"Address Line 2; ","")&amp;IF(LEN($I42)&gt;35,"Address Line 3; ","")&amp;IF($J42="","Town; ","")&amp;IF(LEN($J42)&gt;35,"Town; ","")&amp;IF(AND($N42="IE",$K42=""),"County; ","")&amp;IF(LEN($AB42)&gt;35,"County; ","")&amp;IF(AND($L42="",AND($N42&lt;&gt;"AE",$N42&lt;&gt;"QA")),"Postcode; ","")&amp;IF(LEN($L42)&gt;35,"Postcode; ","")&amp;IF($AE42&lt;&gt;"","Postcode; ","")&amp;IF(LEN($O42)&gt;40,"Gift Message 1; ","")&amp;IF(LEN($P42)&gt;40,"Gift Message 2; ","")&amp;IF(LEN($Q42)&gt;40,"Gift Message 3; ","")&amp;IF(LEN($R42)&gt;40,"Gift Message 4; ","")&amp;IF(LEN($S42)&gt;40,"Gift Message 5; ","")&amp;IF(LEN($T42)&gt;40,"Gift Message 6; ","")&amp;IF(LEN($U42)&gt;40,"Gift Message 7; ",""))</f>
        <v/>
      </c>
      <c r="X42" s="44" t="str">
        <f ca="1">IF(COUNTA($A42,$D42:$M42,$O42:$U42)=0,"",IF($A42="","Enter the Item Code (hamper) - type it, paste it, or choose it from the dropdown. ","")&amp;IF(AND($A42&lt;&gt;"",ISNA(MATCH($AC42,'PRODUCT DATA'!$D$2:$D$394,0))),"This Item Code is not recognised. Check the code (case does not matter, but spelling and digits must match exactly) or choose it from the dropdown. ","")&amp;IF($M42="","Enter the Country after the Item Code - type or paste the name or the 2-letter code, or choose it from the dropdown. ","")&amp;IF(AND($M42&lt;&gt;"",NOT(OR(NOT(ISNA(MATCH(IF(UPPER($M42)="UK","GB",$M42),'PRODUCT DATA'!$A$2:$A$58,0))),NOT(ISNA(MATCH(IF(UPPER($M42)="UK","GB",$M42),'PRODUCT DATA'!$B$2:$B$58,0)))))),"This Country is not recognised as either a full name or a 2-letter code. Check the spelling (case does not matter) or choose it from the dropdown. ","")&amp;IF(AND($A42&lt;&gt;"",$M42&lt;&gt;"",NOT(ISNA(MATCH($AC42,'PRODUCT DATA'!$D$2:$D$394,0))),OR(NOT(ISNA(MATCH(IF(UPPER($M42)="UK","GB",$M42),'PRODUCT DATA'!$A$2:$A$58,0))),NOT(ISNA(MATCH(IF(UPPER($M42)="UK","GB",$M42),'PRODUCT DATA'!$B$2:$B$58,0)))),NOT(IFERROR(COUNTIF(OFFSET('PRODUCT DATA'!$F$2,0,MATCH($AC42,'PRODUCT DATA'!$F$1:$NN$1,0)-1,114,1),$N42)&gt;0,FALSE()))),IF(UPPER(IFERROR(OFFSET('PRODUCT DATA'!$C$2,MATCH($N42,'PRODUCT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"),"")&amp;IF($C42="","Enter Quantity. ","")&amp;IF(AND($C42&lt;&gt;"",OR(NOT(ISNUMBER($C42)),$C42&lt;1,$C42&gt;999,MOD($C42,1)&lt;&gt;0)),"Quantity must be a whole number from 1 to 999 (use a quantity above 1 only for a genuine bulk order of identical items to ONE address — otherwise use a separate row per recipient). ","")&amp;IF($D42="","Enter Recipient Name. ","")&amp;IF(LEN($D42)&gt;35,"Recipient Name exceeds 35 characters. ","")&amp;IF($E42="","Enter Recipient Phone. ","")&amp;IF(AND($E42&lt;&gt;"",OR(LEN($E42)&lt;6,LEN($E42)&gt;20,NOT(IFERROR(ISNUMBER(1*$E42),FALSE())))),"Phone must be the LOCAL number for the destination country: digits only, no +, spaces, or country code, 6 to 20 digits. ","")&amp;IF(LEN($F42)&gt;35,"Recipient Company Name exceeds 35 characters. ","")&amp;IF($G42="","Enter Address Line 1. ","")&amp;IF(LEN($G42)&gt;35,"Address Line 1 exceeds the 35-character SAP limit. ","")&amp;IF(LEN($H42)&gt;35,"Address Line 2 exceeds the 35-character SAP limit. ","")&amp;IF(LEN($I42)&gt;35,"Address Line 3 exceeds the 35-character SAP limit. ","")&amp;IF($J42="","Enter Town. This must never be left blank, even if there is no conventional town name. ","")&amp;IF(LEN($J42)&gt;35,"Town exceeds 35 characters. ","")&amp;IF(AND($N42="IE",$K42=""),"County is required for deliveries within the Republic of Ireland. ","")&amp;IF(LEN($AB42)&gt;35,"County exceeds 35 characters. ","")&amp;IF(AND($L42="",AND($N42&lt;&gt;"AE",$N42&lt;&gt;"QA")),"Postcode is required for the selected country. If there is genuinely no postcode, enter the first 3 characters of the area (e.g. D15). ","")&amp;IF(LEN($L42)&gt;35,"Postcode exceeds 35 characters. ","")&amp;IF($AE42&lt;&gt;"",$AE42,"")&amp;IF(LEN($O42)&gt;40,"Gift Message Line 1 exceeds 40 characters. ","")&amp;IF(LEN($P42)&gt;40,"Gift Message Line 2 exceeds 40 characters. ","")&amp;IF(LEN($Q42)&gt;40,"Gift Message Line 3 exceeds 40 characters. ","")&amp;IF(LEN($R42)&gt;40,"Gift Message Line 4 exceeds 40 characters. ","")&amp;IF(LEN($S42)&gt;40,"Gift Message Line 5 exceeds 40 characters. ","")&amp;IF(LEN($T42)&gt;40,"Gift Message Line 6 exceeds 40 characters. ","")&amp;IF(LEN($U42)&gt;40,"Gift Message Line 7 exceeds 40 characters. ",""))</f>
        <v/>
      </c>
      <c r="Y42" s="44" t="str">
        <f t="shared" si="1"/>
        <v/>
      </c>
      <c r="Z42" s="44"/>
      <c r="AA42" s="44"/>
      <c r="AB42" s="32" t="str">
        <f t="shared" si="2"/>
        <v/>
      </c>
      <c r="AC42" s="32" t="str">
        <f>IF($A42="","",IFERROR(LEFT(INDEX('PRODUCT DATA'!$NO$2:$NO$25,MATCH($A42,'PRODUCT DATA'!$NP$2:$NP$25,0)),FIND("|",INDEX('PRODUCT DATA'!$NO$2:$NO$25,MATCH($A42,'PRODUCT DATA'!$NP$2:$NP$25,0)))-1),$A42))</f>
        <v/>
      </c>
      <c r="AD42" s="45"/>
      <c r="AE42" s="45" t="str">
        <f t="shared" si="3"/>
        <v/>
      </c>
    </row>
    <row r="43" spans="1:31" ht="15" customHeight="1" x14ac:dyDescent="0.25">
      <c r="A43" s="40"/>
      <c r="B43" s="43" t="str">
        <f>IF($A43="","",IFERROR(VLOOKUP($AC43,'PRODUCT DATA'!$NR$2:$NS$374,2,FALSE()),"UNKNOWN ITEM CODE - please check"))</f>
        <v/>
      </c>
      <c r="C43" s="39">
        <v>1</v>
      </c>
      <c r="D43" s="39"/>
      <c r="E43" s="40"/>
      <c r="F43" s="41"/>
      <c r="G43" s="39"/>
      <c r="H43" s="41"/>
      <c r="I43" s="41"/>
      <c r="J43" s="39"/>
      <c r="K43" s="41"/>
      <c r="L43" s="40"/>
      <c r="M43" s="40"/>
      <c r="N43" s="42" t="str">
        <f>IF($M43="","",IFERROR(INDEX('PRODUCT DATA'!$B$2:$B$58,MATCH(IF(UPPER($M43)="UK","GB",$M43),'PRODUCT DATA'!$B$2:$B$58,0)),IFERROR(INDEX('PRODUCT DATA'!$B$2:$B$58,MATCH(IF(UPPER($M43)="UK","GB",$M43),'PRODUCT DATA'!$A$2:$A$58,0)),"UNKNOWN COUNTRY - please check")))</f>
        <v/>
      </c>
      <c r="O43" s="41"/>
      <c r="P43" s="41"/>
      <c r="Q43" s="41"/>
      <c r="R43" s="41"/>
      <c r="S43" s="41"/>
      <c r="T43" s="41"/>
      <c r="U43" s="41"/>
      <c r="V43" s="43" t="str">
        <f t="shared" si="0"/>
        <v/>
      </c>
      <c r="W43" s="44" t="str">
        <f ca="1">IF(COUNTA($A43,$D43:$M43,$O43:$U43)=0,"",IF($A43="","Item Code; ","")&amp;IF(AND($A43&lt;&gt;"",ISNA(MATCH($AC43,'PRODUCT DATA'!$D$2:$D$394,0))),"Item Code; ","")&amp;IF($M43="","Country; ","")&amp;IF(AND($M43&lt;&gt;"",NOT(OR(NOT(ISNA(MATCH(IF(UPPER($M43)="UK","GB",$M43),'PRODUCT DATA'!$A$2:$A$58,0))),NOT(ISNA(MATCH(IF(UPPER($M43)="UK","GB",$M43),'PRODUCT DATA'!$B$2:$B$58,0)))))),"Country; ","")&amp;IF(AND($A43&lt;&gt;"",$M43&lt;&gt;"",NOT(ISNA(MATCH($AC43,'PRODUCT DATA'!$D$2:$D$394,0))),OR(NOT(ISNA(MATCH(IF(UPPER($M43)="UK","GB",$M43),'PRODUCT DATA'!$A$2:$A$58,0))),NOT(ISNA(MATCH(IF(UPPER($M43)="UK","GB",$M43),'PRODUCT DATA'!$B$2:$B$58,0)))),NOT(IFERROR(COUNTIF(OFFSET('PRODUCT DATA'!$F$2,0,MATCH($AC43,'PRODUCT DATA'!$F$1:$NN$1,0)-1,114,1),$N43)&gt;0,FALSE()))),IF(UPPER(IFERROR(OFFSET('PRODUCT DATA'!$C$2,MATCH($N43,'PRODUCT DATA'!$B$2:$B$58,0)-1,0),""))="NO","Alcohol Restriction; ","Item Code / Country combination; "),"")&amp;IF($C43="","Quantity; ","")&amp;IF(AND($C43&lt;&gt;"",OR(NOT(ISNUMBER($C43)),$C43&lt;1,$C43&gt;999,MOD($C43,1)&lt;&gt;0)),"Quantity; ","")&amp;IF($D43="","Recipient Name; ","")&amp;IF(LEN($D43)&gt;35,"Recipient Name; ","")&amp;IF($E43="","Recipient Phone; ","")&amp;IF(AND($E43&lt;&gt;"",OR(LEN($E43)&lt;6,LEN($E43)&gt;20,NOT(IFERROR(ISNUMBER(1*$E43),FALSE())))),"Recipient Phone; ","")&amp;IF(LEN($F43)&gt;35,"Recipient Company Name; ","")&amp;IF($G43="","Address Line 1; ","")&amp;IF(LEN($G43)&gt;35,"Address Line 1; ","")&amp;IF(LEN($H43)&gt;35,"Address Line 2; ","")&amp;IF(LEN($I43)&gt;35,"Address Line 3; ","")&amp;IF($J43="","Town; ","")&amp;IF(LEN($J43)&gt;35,"Town; ","")&amp;IF(AND($N43="IE",$K43=""),"County; ","")&amp;IF(LEN($AB43)&gt;35,"County; ","")&amp;IF(AND($L43="",AND($N43&lt;&gt;"AE",$N43&lt;&gt;"QA")),"Postcode; ","")&amp;IF(LEN($L43)&gt;35,"Postcode; ","")&amp;IF($AE43&lt;&gt;"","Postcode; ","")&amp;IF(LEN($O43)&gt;40,"Gift Message 1; ","")&amp;IF(LEN($P43)&gt;40,"Gift Message 2; ","")&amp;IF(LEN($Q43)&gt;40,"Gift Message 3; ","")&amp;IF(LEN($R43)&gt;40,"Gift Message 4; ","")&amp;IF(LEN($S43)&gt;40,"Gift Message 5; ","")&amp;IF(LEN($T43)&gt;40,"Gift Message 6; ","")&amp;IF(LEN($U43)&gt;40,"Gift Message 7; ",""))</f>
        <v/>
      </c>
      <c r="X43" s="44" t="str">
        <f ca="1">IF(COUNTA($A43,$D43:$M43,$O43:$U43)=0,"",IF($A43="","Enter the Item Code (hamper) - type it, paste it, or choose it from the dropdown. ","")&amp;IF(AND($A43&lt;&gt;"",ISNA(MATCH($AC43,'PRODUCT DATA'!$D$2:$D$394,0))),"This Item Code is not recognised. Check the code (case does not matter, but spelling and digits must match exactly) or choose it from the dropdown. ","")&amp;IF($M43="","Enter the Country after the Item Code - type or paste the name or the 2-letter code, or choose it from the dropdown. ","")&amp;IF(AND($M43&lt;&gt;"",NOT(OR(NOT(ISNA(MATCH(IF(UPPER($M43)="UK","GB",$M43),'PRODUCT DATA'!$A$2:$A$58,0))),NOT(ISNA(MATCH(IF(UPPER($M43)="UK","GB",$M43),'PRODUCT DATA'!$B$2:$B$58,0)))))),"This Country is not recognised as either a full name or a 2-letter code. Check the spelling (case does not matter) or choose it from the dropdown. ","")&amp;IF(AND($A43&lt;&gt;"",$M43&lt;&gt;"",NOT(ISNA(MATCH($AC43,'PRODUCT DATA'!$D$2:$D$394,0))),OR(NOT(ISNA(MATCH(IF(UPPER($M43)="UK","GB",$M43),'PRODUCT DATA'!$A$2:$A$58,0))),NOT(ISNA(MATCH(IF(UPPER($M43)="UK","GB",$M43),'PRODUCT DATA'!$B$2:$B$58,0)))),NOT(IFERROR(COUNTIF(OFFSET('PRODUCT DATA'!$F$2,0,MATCH($AC43,'PRODUCT DATA'!$F$1:$NN$1,0)-1,114,1),$N43)&gt;0,FALSE()))),IF(UPPER(IFERROR(OFFSET('PRODUCT DATA'!$C$2,MATCH($N43,'PRODUCT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"),"")&amp;IF($C43="","Enter Quantity. ","")&amp;IF(AND($C43&lt;&gt;"",OR(NOT(ISNUMBER($C43)),$C43&lt;1,$C43&gt;999,MOD($C43,1)&lt;&gt;0)),"Quantity must be a whole number from 1 to 999 (use a quantity above 1 only for a genuine bulk order of identical items to ONE address — otherwise use a separate row per recipient). ","")&amp;IF($D43="","Enter Recipient Name. ","")&amp;IF(LEN($D43)&gt;35,"Recipient Name exceeds 35 characters. ","")&amp;IF($E43="","Enter Recipient Phone. ","")&amp;IF(AND($E43&lt;&gt;"",OR(LEN($E43)&lt;6,LEN($E43)&gt;20,NOT(IFERROR(ISNUMBER(1*$E43),FALSE())))),"Phone must be the LOCAL number for the destination country: digits only, no +, spaces, or country code, 6 to 20 digits. ","")&amp;IF(LEN($F43)&gt;35,"Recipient Company Name exceeds 35 characters. ","")&amp;IF($G43="","Enter Address Line 1. ","")&amp;IF(LEN($G43)&gt;35,"Address Line 1 exceeds the 35-character SAP limit. ","")&amp;IF(LEN($H43)&gt;35,"Address Line 2 exceeds the 35-character SAP limit. ","")&amp;IF(LEN($I43)&gt;35,"Address Line 3 exceeds the 35-character SAP limit. ","")&amp;IF($J43="","Enter Town. This must never be left blank, even if there is no conventional town name. ","")&amp;IF(LEN($J43)&gt;35,"Town exceeds 35 characters. ","")&amp;IF(AND($N43="IE",$K43=""),"County is required for deliveries within the Republic of Ireland. ","")&amp;IF(LEN($AB43)&gt;35,"County exceeds 35 characters. ","")&amp;IF(AND($L43="",AND($N43&lt;&gt;"AE",$N43&lt;&gt;"QA")),"Postcode is required for the selected country. If there is genuinely no postcode, enter the first 3 characters of the area (e.g. D15). ","")&amp;IF(LEN($L43)&gt;35,"Postcode exceeds 35 characters. ","")&amp;IF($AE43&lt;&gt;"",$AE43,"")&amp;IF(LEN($O43)&gt;40,"Gift Message Line 1 exceeds 40 characters. ","")&amp;IF(LEN($P43)&gt;40,"Gift Message Line 2 exceeds 40 characters. ","")&amp;IF(LEN($Q43)&gt;40,"Gift Message Line 3 exceeds 40 characters. ","")&amp;IF(LEN($R43)&gt;40,"Gift Message Line 4 exceeds 40 characters. ","")&amp;IF(LEN($S43)&gt;40,"Gift Message Line 5 exceeds 40 characters. ","")&amp;IF(LEN($T43)&gt;40,"Gift Message Line 6 exceeds 40 characters. ","")&amp;IF(LEN($U43)&gt;40,"Gift Message Line 7 exceeds 40 characters. ",""))</f>
        <v/>
      </c>
      <c r="Y43" s="44" t="str">
        <f t="shared" si="1"/>
        <v/>
      </c>
      <c r="Z43" s="44"/>
      <c r="AA43" s="44"/>
      <c r="AB43" s="32" t="str">
        <f t="shared" si="2"/>
        <v/>
      </c>
      <c r="AC43" s="32" t="str">
        <f>IF($A43="","",IFERROR(LEFT(INDEX('PRODUCT DATA'!$NO$2:$NO$25,MATCH($A43,'PRODUCT DATA'!$NP$2:$NP$25,0)),FIND("|",INDEX('PRODUCT DATA'!$NO$2:$NO$25,MATCH($A43,'PRODUCT DATA'!$NP$2:$NP$25,0)))-1),$A43))</f>
        <v/>
      </c>
      <c r="AD43" s="45"/>
      <c r="AE43" s="45" t="str">
        <f t="shared" si="3"/>
        <v/>
      </c>
    </row>
    <row r="44" spans="1:31" ht="15" customHeight="1" x14ac:dyDescent="0.25">
      <c r="A44" s="40"/>
      <c r="B44" s="43" t="str">
        <f>IF($A44="","",IFERROR(VLOOKUP($AC44,'PRODUCT DATA'!$NR$2:$NS$374,2,FALSE()),"UNKNOWN ITEM CODE - please check"))</f>
        <v/>
      </c>
      <c r="C44" s="39">
        <v>1</v>
      </c>
      <c r="D44" s="39"/>
      <c r="E44" s="40"/>
      <c r="F44" s="41"/>
      <c r="G44" s="39"/>
      <c r="H44" s="41"/>
      <c r="I44" s="41"/>
      <c r="J44" s="39"/>
      <c r="K44" s="41"/>
      <c r="L44" s="40"/>
      <c r="M44" s="40"/>
      <c r="N44" s="42" t="str">
        <f>IF($M44="","",IFERROR(INDEX('PRODUCT DATA'!$B$2:$B$58,MATCH(IF(UPPER($M44)="UK","GB",$M44),'PRODUCT DATA'!$B$2:$B$58,0)),IFERROR(INDEX('PRODUCT DATA'!$B$2:$B$58,MATCH(IF(UPPER($M44)="UK","GB",$M44),'PRODUCT DATA'!$A$2:$A$58,0)),"UNKNOWN COUNTRY - please check")))</f>
        <v/>
      </c>
      <c r="O44" s="41"/>
      <c r="P44" s="41"/>
      <c r="Q44" s="41"/>
      <c r="R44" s="41"/>
      <c r="S44" s="41"/>
      <c r="T44" s="41"/>
      <c r="U44" s="41"/>
      <c r="V44" s="43" t="str">
        <f t="shared" si="0"/>
        <v/>
      </c>
      <c r="W44" s="44" t="str">
        <f ca="1">IF(COUNTA($A44,$D44:$M44,$O44:$U44)=0,"",IF($A44="","Item Code; ","")&amp;IF(AND($A44&lt;&gt;"",ISNA(MATCH($AC44,'PRODUCT DATA'!$D$2:$D$394,0))),"Item Code; ","")&amp;IF($M44="","Country; ","")&amp;IF(AND($M44&lt;&gt;"",NOT(OR(NOT(ISNA(MATCH(IF(UPPER($M44)="UK","GB",$M44),'PRODUCT DATA'!$A$2:$A$58,0))),NOT(ISNA(MATCH(IF(UPPER($M44)="UK","GB",$M44),'PRODUCT DATA'!$B$2:$B$58,0)))))),"Country; ","")&amp;IF(AND($A44&lt;&gt;"",$M44&lt;&gt;"",NOT(ISNA(MATCH($AC44,'PRODUCT DATA'!$D$2:$D$394,0))),OR(NOT(ISNA(MATCH(IF(UPPER($M44)="UK","GB",$M44),'PRODUCT DATA'!$A$2:$A$58,0))),NOT(ISNA(MATCH(IF(UPPER($M44)="UK","GB",$M44),'PRODUCT DATA'!$B$2:$B$58,0)))),NOT(IFERROR(COUNTIF(OFFSET('PRODUCT DATA'!$F$2,0,MATCH($AC44,'PRODUCT DATA'!$F$1:$NN$1,0)-1,114,1),$N44)&gt;0,FALSE()))),IF(UPPER(IFERROR(OFFSET('PRODUCT DATA'!$C$2,MATCH($N44,'PRODUCT DATA'!$B$2:$B$58,0)-1,0),""))="NO","Alcohol Restriction; ","Item Code / Country combination; "),"")&amp;IF($C44="","Quantity; ","")&amp;IF(AND($C44&lt;&gt;"",OR(NOT(ISNUMBER($C44)),$C44&lt;1,$C44&gt;999,MOD($C44,1)&lt;&gt;0)),"Quantity; ","")&amp;IF($D44="","Recipient Name; ","")&amp;IF(LEN($D44)&gt;35,"Recipient Name; ","")&amp;IF($E44="","Recipient Phone; ","")&amp;IF(AND($E44&lt;&gt;"",OR(LEN($E44)&lt;6,LEN($E44)&gt;20,NOT(IFERROR(ISNUMBER(1*$E44),FALSE())))),"Recipient Phone; ","")&amp;IF(LEN($F44)&gt;35,"Recipient Company Name; ","")&amp;IF($G44="","Address Line 1; ","")&amp;IF(LEN($G44)&gt;35,"Address Line 1; ","")&amp;IF(LEN($H44)&gt;35,"Address Line 2; ","")&amp;IF(LEN($I44)&gt;35,"Address Line 3; ","")&amp;IF($J44="","Town; ","")&amp;IF(LEN($J44)&gt;35,"Town; ","")&amp;IF(AND($N44="IE",$K44=""),"County; ","")&amp;IF(LEN($AB44)&gt;35,"County; ","")&amp;IF(AND($L44="",AND($N44&lt;&gt;"AE",$N44&lt;&gt;"QA")),"Postcode; ","")&amp;IF(LEN($L44)&gt;35,"Postcode; ","")&amp;IF($AE44&lt;&gt;"","Postcode; ","")&amp;IF(LEN($O44)&gt;40,"Gift Message 1; ","")&amp;IF(LEN($P44)&gt;40,"Gift Message 2; ","")&amp;IF(LEN($Q44)&gt;40,"Gift Message 3; ","")&amp;IF(LEN($R44)&gt;40,"Gift Message 4; ","")&amp;IF(LEN($S44)&gt;40,"Gift Message 5; ","")&amp;IF(LEN($T44)&gt;40,"Gift Message 6; ","")&amp;IF(LEN($U44)&gt;40,"Gift Message 7; ",""))</f>
        <v/>
      </c>
      <c r="X44" s="44" t="str">
        <f ca="1">IF(COUNTA($A44,$D44:$M44,$O44:$U44)=0,"",IF($A44="","Enter the Item Code (hamper) - type it, paste it, or choose it from the dropdown. ","")&amp;IF(AND($A44&lt;&gt;"",ISNA(MATCH($AC44,'PRODUCT DATA'!$D$2:$D$394,0))),"This Item Code is not recognised. Check the code (case does not matter, but spelling and digits must match exactly) or choose it from the dropdown. ","")&amp;IF($M44="","Enter the Country after the Item Code - type or paste the name or the 2-letter code, or choose it from the dropdown. ","")&amp;IF(AND($M44&lt;&gt;"",NOT(OR(NOT(ISNA(MATCH(IF(UPPER($M44)="UK","GB",$M44),'PRODUCT DATA'!$A$2:$A$58,0))),NOT(ISNA(MATCH(IF(UPPER($M44)="UK","GB",$M44),'PRODUCT DATA'!$B$2:$B$58,0)))))),"This Country is not recognised as either a full name or a 2-letter code. Check the spelling (case does not matter) or choose it from the dropdown. ","")&amp;IF(AND($A44&lt;&gt;"",$M44&lt;&gt;"",NOT(ISNA(MATCH($AC44,'PRODUCT DATA'!$D$2:$D$394,0))),OR(NOT(ISNA(MATCH(IF(UPPER($M44)="UK","GB",$M44),'PRODUCT DATA'!$A$2:$A$58,0))),NOT(ISNA(MATCH(IF(UPPER($M44)="UK","GB",$M44),'PRODUCT DATA'!$B$2:$B$58,0)))),NOT(IFERROR(COUNTIF(OFFSET('PRODUCT DATA'!$F$2,0,MATCH($AC44,'PRODUCT DATA'!$F$1:$NN$1,0)-1,114,1),$N44)&gt;0,FALSE()))),IF(UPPER(IFERROR(OFFSET('PRODUCT DATA'!$C$2,MATCH($N44,'PRODUCT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"),"")&amp;IF($C44="","Enter Quantity. ","")&amp;IF(AND($C44&lt;&gt;"",OR(NOT(ISNUMBER($C44)),$C44&lt;1,$C44&gt;999,MOD($C44,1)&lt;&gt;0)),"Quantity must be a whole number from 1 to 999 (use a quantity above 1 only for a genuine bulk order of identical items to ONE address — otherwise use a separate row per recipient). ","")&amp;IF($D44="","Enter Recipient Name. ","")&amp;IF(LEN($D44)&gt;35,"Recipient Name exceeds 35 characters. ","")&amp;IF($E44="","Enter Recipient Phone. ","")&amp;IF(AND($E44&lt;&gt;"",OR(LEN($E44)&lt;6,LEN($E44)&gt;20,NOT(IFERROR(ISNUMBER(1*$E44),FALSE())))),"Phone must be the LOCAL number for the destination country: digits only, no +, spaces, or country code, 6 to 20 digits. ","")&amp;IF(LEN($F44)&gt;35,"Recipient Company Name exceeds 35 characters. ","")&amp;IF($G44="","Enter Address Line 1. ","")&amp;IF(LEN($G44)&gt;35,"Address Line 1 exceeds the 35-character SAP limit. ","")&amp;IF(LEN($H44)&gt;35,"Address Line 2 exceeds the 35-character SAP limit. ","")&amp;IF(LEN($I44)&gt;35,"Address Line 3 exceeds the 35-character SAP limit. ","")&amp;IF($J44="","Enter Town. This must never be left blank, even if there is no conventional town name. ","")&amp;IF(LEN($J44)&gt;35,"Town exceeds 35 characters. ","")&amp;IF(AND($N44="IE",$K44=""),"County is required for deliveries within the Republic of Ireland. ","")&amp;IF(LEN($AB44)&gt;35,"County exceeds 35 characters. ","")&amp;IF(AND($L44="",AND($N44&lt;&gt;"AE",$N44&lt;&gt;"QA")),"Postcode is required for the selected country. If there is genuinely no postcode, enter the first 3 characters of the area (e.g. D15). ","")&amp;IF(LEN($L44)&gt;35,"Postcode exceeds 35 characters. ","")&amp;IF($AE44&lt;&gt;"",$AE44,"")&amp;IF(LEN($O44)&gt;40,"Gift Message Line 1 exceeds 40 characters. ","")&amp;IF(LEN($P44)&gt;40,"Gift Message Line 2 exceeds 40 characters. ","")&amp;IF(LEN($Q44)&gt;40,"Gift Message Line 3 exceeds 40 characters. ","")&amp;IF(LEN($R44)&gt;40,"Gift Message Line 4 exceeds 40 characters. ","")&amp;IF(LEN($S44)&gt;40,"Gift Message Line 5 exceeds 40 characters. ","")&amp;IF(LEN($T44)&gt;40,"Gift Message Line 6 exceeds 40 characters. ","")&amp;IF(LEN($U44)&gt;40,"Gift Message Line 7 exceeds 40 characters. ",""))</f>
        <v/>
      </c>
      <c r="Y44" s="44" t="str">
        <f t="shared" si="1"/>
        <v/>
      </c>
      <c r="Z44" s="44"/>
      <c r="AA44" s="44"/>
      <c r="AB44" s="32" t="str">
        <f t="shared" si="2"/>
        <v/>
      </c>
      <c r="AC44" s="32" t="str">
        <f>IF($A44="","",IFERROR(LEFT(INDEX('PRODUCT DATA'!$NO$2:$NO$25,MATCH($A44,'PRODUCT DATA'!$NP$2:$NP$25,0)),FIND("|",INDEX('PRODUCT DATA'!$NO$2:$NO$25,MATCH($A44,'PRODUCT DATA'!$NP$2:$NP$25,0)))-1),$A44))</f>
        <v/>
      </c>
      <c r="AD44" s="45"/>
      <c r="AE44" s="45" t="str">
        <f t="shared" si="3"/>
        <v/>
      </c>
    </row>
    <row r="45" spans="1:31" ht="15" customHeight="1" x14ac:dyDescent="0.25">
      <c r="A45" s="40"/>
      <c r="B45" s="43" t="str">
        <f>IF($A45="","",IFERROR(VLOOKUP($AC45,'PRODUCT DATA'!$NR$2:$NS$374,2,FALSE()),"UNKNOWN ITEM CODE - please check"))</f>
        <v/>
      </c>
      <c r="C45" s="39">
        <v>1</v>
      </c>
      <c r="D45" s="39"/>
      <c r="E45" s="40"/>
      <c r="F45" s="41"/>
      <c r="G45" s="39"/>
      <c r="H45" s="41"/>
      <c r="I45" s="41"/>
      <c r="J45" s="39"/>
      <c r="K45" s="41"/>
      <c r="L45" s="40"/>
      <c r="M45" s="40"/>
      <c r="N45" s="42" t="str">
        <f>IF($M45="","",IFERROR(INDEX('PRODUCT DATA'!$B$2:$B$58,MATCH(IF(UPPER($M45)="UK","GB",$M45),'PRODUCT DATA'!$B$2:$B$58,0)),IFERROR(INDEX('PRODUCT DATA'!$B$2:$B$58,MATCH(IF(UPPER($M45)="UK","GB",$M45),'PRODUCT DATA'!$A$2:$A$58,0)),"UNKNOWN COUNTRY - please check")))</f>
        <v/>
      </c>
      <c r="O45" s="41"/>
      <c r="P45" s="41"/>
      <c r="Q45" s="41"/>
      <c r="R45" s="41"/>
      <c r="S45" s="41"/>
      <c r="T45" s="41"/>
      <c r="U45" s="41"/>
      <c r="V45" s="43" t="str">
        <f t="shared" si="0"/>
        <v/>
      </c>
      <c r="W45" s="44" t="str">
        <f ca="1">IF(COUNTA($A45,$D45:$M45,$O45:$U45)=0,"",IF($A45="","Item Code; ","")&amp;IF(AND($A45&lt;&gt;"",ISNA(MATCH($AC45,'PRODUCT DATA'!$D$2:$D$394,0))),"Item Code; ","")&amp;IF($M45="","Country; ","")&amp;IF(AND($M45&lt;&gt;"",NOT(OR(NOT(ISNA(MATCH(IF(UPPER($M45)="UK","GB",$M45),'PRODUCT DATA'!$A$2:$A$58,0))),NOT(ISNA(MATCH(IF(UPPER($M45)="UK","GB",$M45),'PRODUCT DATA'!$B$2:$B$58,0)))))),"Country; ","")&amp;IF(AND($A45&lt;&gt;"",$M45&lt;&gt;"",NOT(ISNA(MATCH($AC45,'PRODUCT DATA'!$D$2:$D$394,0))),OR(NOT(ISNA(MATCH(IF(UPPER($M45)="UK","GB",$M45),'PRODUCT DATA'!$A$2:$A$58,0))),NOT(ISNA(MATCH(IF(UPPER($M45)="UK","GB",$M45),'PRODUCT DATA'!$B$2:$B$58,0)))),NOT(IFERROR(COUNTIF(OFFSET('PRODUCT DATA'!$F$2,0,MATCH($AC45,'PRODUCT DATA'!$F$1:$NN$1,0)-1,114,1),$N45)&gt;0,FALSE()))),IF(UPPER(IFERROR(OFFSET('PRODUCT DATA'!$C$2,MATCH($N45,'PRODUCT DATA'!$B$2:$B$58,0)-1,0),""))="NO","Alcohol Restriction; ","Item Code / Country combination; "),"")&amp;IF($C45="","Quantity; ","")&amp;IF(AND($C45&lt;&gt;"",OR(NOT(ISNUMBER($C45)),$C45&lt;1,$C45&gt;999,MOD($C45,1)&lt;&gt;0)),"Quantity; ","")&amp;IF($D45="","Recipient Name; ","")&amp;IF(LEN($D45)&gt;35,"Recipient Name; ","")&amp;IF($E45="","Recipient Phone; ","")&amp;IF(AND($E45&lt;&gt;"",OR(LEN($E45)&lt;6,LEN($E45)&gt;20,NOT(IFERROR(ISNUMBER(1*$E45),FALSE())))),"Recipient Phone; ","")&amp;IF(LEN($F45)&gt;35,"Recipient Company Name; ","")&amp;IF($G45="","Address Line 1; ","")&amp;IF(LEN($G45)&gt;35,"Address Line 1; ","")&amp;IF(LEN($H45)&gt;35,"Address Line 2; ","")&amp;IF(LEN($I45)&gt;35,"Address Line 3; ","")&amp;IF($J45="","Town; ","")&amp;IF(LEN($J45)&gt;35,"Town; ","")&amp;IF(AND($N45="IE",$K45=""),"County; ","")&amp;IF(LEN($AB45)&gt;35,"County; ","")&amp;IF(AND($L45="",AND($N45&lt;&gt;"AE",$N45&lt;&gt;"QA")),"Postcode; ","")&amp;IF(LEN($L45)&gt;35,"Postcode; ","")&amp;IF($AE45&lt;&gt;"","Postcode; ","")&amp;IF(LEN($O45)&gt;40,"Gift Message 1; ","")&amp;IF(LEN($P45)&gt;40,"Gift Message 2; ","")&amp;IF(LEN($Q45)&gt;40,"Gift Message 3; ","")&amp;IF(LEN($R45)&gt;40,"Gift Message 4; ","")&amp;IF(LEN($S45)&gt;40,"Gift Message 5; ","")&amp;IF(LEN($T45)&gt;40,"Gift Message 6; ","")&amp;IF(LEN($U45)&gt;40,"Gift Message 7; ",""))</f>
        <v/>
      </c>
      <c r="X45" s="44" t="str">
        <f ca="1">IF(COUNTA($A45,$D45:$M45,$O45:$U45)=0,"",IF($A45="","Enter the Item Code (hamper) - type it, paste it, or choose it from the dropdown. ","")&amp;IF(AND($A45&lt;&gt;"",ISNA(MATCH($AC45,'PRODUCT DATA'!$D$2:$D$394,0))),"This Item Code is not recognised. Check the code (case does not matter, but spelling and digits must match exactly) or choose it from the dropdown. ","")&amp;IF($M45="","Enter the Country after the Item Code - type or paste the name or the 2-letter code, or choose it from the dropdown. ","")&amp;IF(AND($M45&lt;&gt;"",NOT(OR(NOT(ISNA(MATCH(IF(UPPER($M45)="UK","GB",$M45),'PRODUCT DATA'!$A$2:$A$58,0))),NOT(ISNA(MATCH(IF(UPPER($M45)="UK","GB",$M45),'PRODUCT DATA'!$B$2:$B$58,0)))))),"This Country is not recognised as either a full name or a 2-letter code. Check the spelling (case does not matter) or choose it from the dropdown. ","")&amp;IF(AND($A45&lt;&gt;"",$M45&lt;&gt;"",NOT(ISNA(MATCH($AC45,'PRODUCT DATA'!$D$2:$D$394,0))),OR(NOT(ISNA(MATCH(IF(UPPER($M45)="UK","GB",$M45),'PRODUCT DATA'!$A$2:$A$58,0))),NOT(ISNA(MATCH(IF(UPPER($M45)="UK","GB",$M45),'PRODUCT DATA'!$B$2:$B$58,0)))),NOT(IFERROR(COUNTIF(OFFSET('PRODUCT DATA'!$F$2,0,MATCH($AC45,'PRODUCT DATA'!$F$1:$NN$1,0)-1,114,1),$N45)&gt;0,FALSE()))),IF(UPPER(IFERROR(OFFSET('PRODUCT DATA'!$C$2,MATCH($N45,'PRODUCT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"),"")&amp;IF($C45="","Enter Quantity. ","")&amp;IF(AND($C45&lt;&gt;"",OR(NOT(ISNUMBER($C45)),$C45&lt;1,$C45&gt;999,MOD($C45,1)&lt;&gt;0)),"Quantity must be a whole number from 1 to 999 (use a quantity above 1 only for a genuine bulk order of identical items to ONE address — otherwise use a separate row per recipient). ","")&amp;IF($D45="","Enter Recipient Name. ","")&amp;IF(LEN($D45)&gt;35,"Recipient Name exceeds 35 characters. ","")&amp;IF($E45="","Enter Recipient Phone. ","")&amp;IF(AND($E45&lt;&gt;"",OR(LEN($E45)&lt;6,LEN($E45)&gt;20,NOT(IFERROR(ISNUMBER(1*$E45),FALSE())))),"Phone must be the LOCAL number for the destination country: digits only, no +, spaces, or country code, 6 to 20 digits. ","")&amp;IF(LEN($F45)&gt;35,"Recipient Company Name exceeds 35 characters. ","")&amp;IF($G45="","Enter Address Line 1. ","")&amp;IF(LEN($G45)&gt;35,"Address Line 1 exceeds the 35-character SAP limit. ","")&amp;IF(LEN($H45)&gt;35,"Address Line 2 exceeds the 35-character SAP limit. ","")&amp;IF(LEN($I45)&gt;35,"Address Line 3 exceeds the 35-character SAP limit. ","")&amp;IF($J45="","Enter Town. This must never be left blank, even if there is no conventional town name. ","")&amp;IF(LEN($J45)&gt;35,"Town exceeds 35 characters. ","")&amp;IF(AND($N45="IE",$K45=""),"County is required for deliveries within the Republic of Ireland. ","")&amp;IF(LEN($AB45)&gt;35,"County exceeds 35 characters. ","")&amp;IF(AND($L45="",AND($N45&lt;&gt;"AE",$N45&lt;&gt;"QA")),"Postcode is required for the selected country. If there is genuinely no postcode, enter the first 3 characters of the area (e.g. D15). ","")&amp;IF(LEN($L45)&gt;35,"Postcode exceeds 35 characters. ","")&amp;IF($AE45&lt;&gt;"",$AE45,"")&amp;IF(LEN($O45)&gt;40,"Gift Message Line 1 exceeds 40 characters. ","")&amp;IF(LEN($P45)&gt;40,"Gift Message Line 2 exceeds 40 characters. ","")&amp;IF(LEN($Q45)&gt;40,"Gift Message Line 3 exceeds 40 characters. ","")&amp;IF(LEN($R45)&gt;40,"Gift Message Line 4 exceeds 40 characters. ","")&amp;IF(LEN($S45)&gt;40,"Gift Message Line 5 exceeds 40 characters. ","")&amp;IF(LEN($T45)&gt;40,"Gift Message Line 6 exceeds 40 characters. ","")&amp;IF(LEN($U45)&gt;40,"Gift Message Line 7 exceeds 40 characters. ",""))</f>
        <v/>
      </c>
      <c r="Y45" s="44" t="str">
        <f t="shared" si="1"/>
        <v/>
      </c>
      <c r="Z45" s="44"/>
      <c r="AA45" s="44"/>
      <c r="AB45" s="32" t="str">
        <f t="shared" si="2"/>
        <v/>
      </c>
      <c r="AC45" s="32" t="str">
        <f>IF($A45="","",IFERROR(LEFT(INDEX('PRODUCT DATA'!$NO$2:$NO$25,MATCH($A45,'PRODUCT DATA'!$NP$2:$NP$25,0)),FIND("|",INDEX('PRODUCT DATA'!$NO$2:$NO$25,MATCH($A45,'PRODUCT DATA'!$NP$2:$NP$25,0)))-1),$A45))</f>
        <v/>
      </c>
      <c r="AD45" s="45"/>
      <c r="AE45" s="45" t="str">
        <f t="shared" si="3"/>
        <v/>
      </c>
    </row>
    <row r="46" spans="1:31" ht="15" customHeight="1" x14ac:dyDescent="0.25">
      <c r="A46" s="40"/>
      <c r="B46" s="43" t="str">
        <f>IF($A46="","",IFERROR(VLOOKUP($AC46,'PRODUCT DATA'!$NR$2:$NS$374,2,FALSE()),"UNKNOWN ITEM CODE - please check"))</f>
        <v/>
      </c>
      <c r="C46" s="39">
        <v>1</v>
      </c>
      <c r="D46" s="39"/>
      <c r="E46" s="40"/>
      <c r="F46" s="41"/>
      <c r="G46" s="39"/>
      <c r="H46" s="41"/>
      <c r="I46" s="41"/>
      <c r="J46" s="39"/>
      <c r="K46" s="41"/>
      <c r="L46" s="40"/>
      <c r="M46" s="40"/>
      <c r="N46" s="42" t="str">
        <f>IF($M46="","",IFERROR(INDEX('PRODUCT DATA'!$B$2:$B$58,MATCH(IF(UPPER($M46)="UK","GB",$M46),'PRODUCT DATA'!$B$2:$B$58,0)),IFERROR(INDEX('PRODUCT DATA'!$B$2:$B$58,MATCH(IF(UPPER($M46)="UK","GB",$M46),'PRODUCT DATA'!$A$2:$A$58,0)),"UNKNOWN COUNTRY - please check")))</f>
        <v/>
      </c>
      <c r="O46" s="41"/>
      <c r="P46" s="41"/>
      <c r="Q46" s="41"/>
      <c r="R46" s="41"/>
      <c r="S46" s="41"/>
      <c r="T46" s="41"/>
      <c r="U46" s="41"/>
      <c r="V46" s="43" t="str">
        <f t="shared" si="0"/>
        <v/>
      </c>
      <c r="W46" s="44" t="str">
        <f ca="1">IF(COUNTA($A46,$D46:$M46,$O46:$U46)=0,"",IF($A46="","Item Code; ","")&amp;IF(AND($A46&lt;&gt;"",ISNA(MATCH($AC46,'PRODUCT DATA'!$D$2:$D$394,0))),"Item Code; ","")&amp;IF($M46="","Country; ","")&amp;IF(AND($M46&lt;&gt;"",NOT(OR(NOT(ISNA(MATCH(IF(UPPER($M46)="UK","GB",$M46),'PRODUCT DATA'!$A$2:$A$58,0))),NOT(ISNA(MATCH(IF(UPPER($M46)="UK","GB",$M46),'PRODUCT DATA'!$B$2:$B$58,0)))))),"Country; ","")&amp;IF(AND($A46&lt;&gt;"",$M46&lt;&gt;"",NOT(ISNA(MATCH($AC46,'PRODUCT DATA'!$D$2:$D$394,0))),OR(NOT(ISNA(MATCH(IF(UPPER($M46)="UK","GB",$M46),'PRODUCT DATA'!$A$2:$A$58,0))),NOT(ISNA(MATCH(IF(UPPER($M46)="UK","GB",$M46),'PRODUCT DATA'!$B$2:$B$58,0)))),NOT(IFERROR(COUNTIF(OFFSET('PRODUCT DATA'!$F$2,0,MATCH($AC46,'PRODUCT DATA'!$F$1:$NN$1,0)-1,114,1),$N46)&gt;0,FALSE()))),IF(UPPER(IFERROR(OFFSET('PRODUCT DATA'!$C$2,MATCH($N46,'PRODUCT DATA'!$B$2:$B$58,0)-1,0),""))="NO","Alcohol Restriction; ","Item Code / Country combination; "),"")&amp;IF($C46="","Quantity; ","")&amp;IF(AND($C46&lt;&gt;"",OR(NOT(ISNUMBER($C46)),$C46&lt;1,$C46&gt;999,MOD($C46,1)&lt;&gt;0)),"Quantity; ","")&amp;IF($D46="","Recipient Name; ","")&amp;IF(LEN($D46)&gt;35,"Recipient Name; ","")&amp;IF($E46="","Recipient Phone; ","")&amp;IF(AND($E46&lt;&gt;"",OR(LEN($E46)&lt;6,LEN($E46)&gt;20,NOT(IFERROR(ISNUMBER(1*$E46),FALSE())))),"Recipient Phone; ","")&amp;IF(LEN($F46)&gt;35,"Recipient Company Name; ","")&amp;IF($G46="","Address Line 1; ","")&amp;IF(LEN($G46)&gt;35,"Address Line 1; ","")&amp;IF(LEN($H46)&gt;35,"Address Line 2; ","")&amp;IF(LEN($I46)&gt;35,"Address Line 3; ","")&amp;IF($J46="","Town; ","")&amp;IF(LEN($J46)&gt;35,"Town; ","")&amp;IF(AND($N46="IE",$K46=""),"County; ","")&amp;IF(LEN($AB46)&gt;35,"County; ","")&amp;IF(AND($L46="",AND($N46&lt;&gt;"AE",$N46&lt;&gt;"QA")),"Postcode; ","")&amp;IF(LEN($L46)&gt;35,"Postcode; ","")&amp;IF($AE46&lt;&gt;"","Postcode; ","")&amp;IF(LEN($O46)&gt;40,"Gift Message 1; ","")&amp;IF(LEN($P46)&gt;40,"Gift Message 2; ","")&amp;IF(LEN($Q46)&gt;40,"Gift Message 3; ","")&amp;IF(LEN($R46)&gt;40,"Gift Message 4; ","")&amp;IF(LEN($S46)&gt;40,"Gift Message 5; ","")&amp;IF(LEN($T46)&gt;40,"Gift Message 6; ","")&amp;IF(LEN($U46)&gt;40,"Gift Message 7; ",""))</f>
        <v/>
      </c>
      <c r="X46" s="44" t="str">
        <f ca="1">IF(COUNTA($A46,$D46:$M46,$O46:$U46)=0,"",IF($A46="","Enter the Item Code (hamper) - type it, paste it, or choose it from the dropdown. ","")&amp;IF(AND($A46&lt;&gt;"",ISNA(MATCH($AC46,'PRODUCT DATA'!$D$2:$D$394,0))),"This Item Code is not recognised. Check the code (case does not matter, but spelling and digits must match exactly) or choose it from the dropdown. ","")&amp;IF($M46="","Enter the Country after the Item Code - type or paste the name or the 2-letter code, or choose it from the dropdown. ","")&amp;IF(AND($M46&lt;&gt;"",NOT(OR(NOT(ISNA(MATCH(IF(UPPER($M46)="UK","GB",$M46),'PRODUCT DATA'!$A$2:$A$58,0))),NOT(ISNA(MATCH(IF(UPPER($M46)="UK","GB",$M46),'PRODUCT DATA'!$B$2:$B$58,0)))))),"This Country is not recognised as either a full name or a 2-letter code. Check the spelling (case does not matter) or choose it from the dropdown. ","")&amp;IF(AND($A46&lt;&gt;"",$M46&lt;&gt;"",NOT(ISNA(MATCH($AC46,'PRODUCT DATA'!$D$2:$D$394,0))),OR(NOT(ISNA(MATCH(IF(UPPER($M46)="UK","GB",$M46),'PRODUCT DATA'!$A$2:$A$58,0))),NOT(ISNA(MATCH(IF(UPPER($M46)="UK","GB",$M46),'PRODUCT DATA'!$B$2:$B$58,0)))),NOT(IFERROR(COUNTIF(OFFSET('PRODUCT DATA'!$F$2,0,MATCH($AC46,'PRODUCT DATA'!$F$1:$NN$1,0)-1,114,1),$N46)&gt;0,FALSE()))),IF(UPPER(IFERROR(OFFSET('PRODUCT DATA'!$C$2,MATCH($N46,'PRODUCT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"),"")&amp;IF($C46="","Enter Quantity. ","")&amp;IF(AND($C46&lt;&gt;"",OR(NOT(ISNUMBER($C46)),$C46&lt;1,$C46&gt;999,MOD($C46,1)&lt;&gt;0)),"Quantity must be a whole number from 1 to 999 (use a quantity above 1 only for a genuine bulk order of identical items to ONE address — otherwise use a separate row per recipient). ","")&amp;IF($D46="","Enter Recipient Name. ","")&amp;IF(LEN($D46)&gt;35,"Recipient Name exceeds 35 characters. ","")&amp;IF($E46="","Enter Recipient Phone. ","")&amp;IF(AND($E46&lt;&gt;"",OR(LEN($E46)&lt;6,LEN($E46)&gt;20,NOT(IFERROR(ISNUMBER(1*$E46),FALSE())))),"Phone must be the LOCAL number for the destination country: digits only, no +, spaces, or country code, 6 to 20 digits. ","")&amp;IF(LEN($F46)&gt;35,"Recipient Company Name exceeds 35 characters. ","")&amp;IF($G46="","Enter Address Line 1. ","")&amp;IF(LEN($G46)&gt;35,"Address Line 1 exceeds the 35-character SAP limit. ","")&amp;IF(LEN($H46)&gt;35,"Address Line 2 exceeds the 35-character SAP limit. ","")&amp;IF(LEN($I46)&gt;35,"Address Line 3 exceeds the 35-character SAP limit. ","")&amp;IF($J46="","Enter Town. This must never be left blank, even if there is no conventional town name. ","")&amp;IF(LEN($J46)&gt;35,"Town exceeds 35 characters. ","")&amp;IF(AND($N46="IE",$K46=""),"County is required for deliveries within the Republic of Ireland. ","")&amp;IF(LEN($AB46)&gt;35,"County exceeds 35 characters. ","")&amp;IF(AND($L46="",AND($N46&lt;&gt;"AE",$N46&lt;&gt;"QA")),"Postcode is required for the selected country. If there is genuinely no postcode, enter the first 3 characters of the area (e.g. D15). ","")&amp;IF(LEN($L46)&gt;35,"Postcode exceeds 35 characters. ","")&amp;IF($AE46&lt;&gt;"",$AE46,"")&amp;IF(LEN($O46)&gt;40,"Gift Message Line 1 exceeds 40 characters. ","")&amp;IF(LEN($P46)&gt;40,"Gift Message Line 2 exceeds 40 characters. ","")&amp;IF(LEN($Q46)&gt;40,"Gift Message Line 3 exceeds 40 characters. ","")&amp;IF(LEN($R46)&gt;40,"Gift Message Line 4 exceeds 40 characters. ","")&amp;IF(LEN($S46)&gt;40,"Gift Message Line 5 exceeds 40 characters. ","")&amp;IF(LEN($T46)&gt;40,"Gift Message Line 6 exceeds 40 characters. ","")&amp;IF(LEN($U46)&gt;40,"Gift Message Line 7 exceeds 40 characters. ",""))</f>
        <v/>
      </c>
      <c r="Y46" s="44" t="str">
        <f t="shared" si="1"/>
        <v/>
      </c>
      <c r="Z46" s="44"/>
      <c r="AA46" s="44"/>
      <c r="AB46" s="32" t="str">
        <f t="shared" si="2"/>
        <v/>
      </c>
      <c r="AC46" s="32" t="str">
        <f>IF($A46="","",IFERROR(LEFT(INDEX('PRODUCT DATA'!$NO$2:$NO$25,MATCH($A46,'PRODUCT DATA'!$NP$2:$NP$25,0)),FIND("|",INDEX('PRODUCT DATA'!$NO$2:$NO$25,MATCH($A46,'PRODUCT DATA'!$NP$2:$NP$25,0)))-1),$A46))</f>
        <v/>
      </c>
      <c r="AD46" s="45"/>
      <c r="AE46" s="45" t="str">
        <f t="shared" si="3"/>
        <v/>
      </c>
    </row>
    <row r="47" spans="1:31" ht="15" customHeight="1" x14ac:dyDescent="0.25">
      <c r="A47" s="40"/>
      <c r="B47" s="43" t="str">
        <f>IF($A47="","",IFERROR(VLOOKUP($AC47,'PRODUCT DATA'!$NR$2:$NS$374,2,FALSE()),"UNKNOWN ITEM CODE - please check"))</f>
        <v/>
      </c>
      <c r="C47" s="39">
        <v>1</v>
      </c>
      <c r="D47" s="39"/>
      <c r="E47" s="40"/>
      <c r="F47" s="41"/>
      <c r="G47" s="39"/>
      <c r="H47" s="41"/>
      <c r="I47" s="41"/>
      <c r="J47" s="39"/>
      <c r="K47" s="41"/>
      <c r="L47" s="40"/>
      <c r="M47" s="40"/>
      <c r="N47" s="42" t="str">
        <f>IF($M47="","",IFERROR(INDEX('PRODUCT DATA'!$B$2:$B$58,MATCH(IF(UPPER($M47)="UK","GB",$M47),'PRODUCT DATA'!$B$2:$B$58,0)),IFERROR(INDEX('PRODUCT DATA'!$B$2:$B$58,MATCH(IF(UPPER($M47)="UK","GB",$M47),'PRODUCT DATA'!$A$2:$A$58,0)),"UNKNOWN COUNTRY - please check")))</f>
        <v/>
      </c>
      <c r="O47" s="41"/>
      <c r="P47" s="41"/>
      <c r="Q47" s="41"/>
      <c r="R47" s="41"/>
      <c r="S47" s="41"/>
      <c r="T47" s="41"/>
      <c r="U47" s="41"/>
      <c r="V47" s="43" t="str">
        <f t="shared" si="0"/>
        <v/>
      </c>
      <c r="W47" s="44" t="str">
        <f ca="1">IF(COUNTA($A47,$D47:$M47,$O47:$U47)=0,"",IF($A47="","Item Code; ","")&amp;IF(AND($A47&lt;&gt;"",ISNA(MATCH($AC47,'PRODUCT DATA'!$D$2:$D$394,0))),"Item Code; ","")&amp;IF($M47="","Country; ","")&amp;IF(AND($M47&lt;&gt;"",NOT(OR(NOT(ISNA(MATCH(IF(UPPER($M47)="UK","GB",$M47),'PRODUCT DATA'!$A$2:$A$58,0))),NOT(ISNA(MATCH(IF(UPPER($M47)="UK","GB",$M47),'PRODUCT DATA'!$B$2:$B$58,0)))))),"Country; ","")&amp;IF(AND($A47&lt;&gt;"",$M47&lt;&gt;"",NOT(ISNA(MATCH($AC47,'PRODUCT DATA'!$D$2:$D$394,0))),OR(NOT(ISNA(MATCH(IF(UPPER($M47)="UK","GB",$M47),'PRODUCT DATA'!$A$2:$A$58,0))),NOT(ISNA(MATCH(IF(UPPER($M47)="UK","GB",$M47),'PRODUCT DATA'!$B$2:$B$58,0)))),NOT(IFERROR(COUNTIF(OFFSET('PRODUCT DATA'!$F$2,0,MATCH($AC47,'PRODUCT DATA'!$F$1:$NN$1,0)-1,114,1),$N47)&gt;0,FALSE()))),IF(UPPER(IFERROR(OFFSET('PRODUCT DATA'!$C$2,MATCH($N47,'PRODUCT DATA'!$B$2:$B$58,0)-1,0),""))="NO","Alcohol Restriction; ","Item Code / Country combination; "),"")&amp;IF($C47="","Quantity; ","")&amp;IF(AND($C47&lt;&gt;"",OR(NOT(ISNUMBER($C47)),$C47&lt;1,$C47&gt;999,MOD($C47,1)&lt;&gt;0)),"Quantity; ","")&amp;IF($D47="","Recipient Name; ","")&amp;IF(LEN($D47)&gt;35,"Recipient Name; ","")&amp;IF($E47="","Recipient Phone; ","")&amp;IF(AND($E47&lt;&gt;"",OR(LEN($E47)&lt;6,LEN($E47)&gt;20,NOT(IFERROR(ISNUMBER(1*$E47),FALSE())))),"Recipient Phone; ","")&amp;IF(LEN($F47)&gt;35,"Recipient Company Name; ","")&amp;IF($G47="","Address Line 1; ","")&amp;IF(LEN($G47)&gt;35,"Address Line 1; ","")&amp;IF(LEN($H47)&gt;35,"Address Line 2; ","")&amp;IF(LEN($I47)&gt;35,"Address Line 3; ","")&amp;IF($J47="","Town; ","")&amp;IF(LEN($J47)&gt;35,"Town; ","")&amp;IF(AND($N47="IE",$K47=""),"County; ","")&amp;IF(LEN($AB47)&gt;35,"County; ","")&amp;IF(AND($L47="",AND($N47&lt;&gt;"AE",$N47&lt;&gt;"QA")),"Postcode; ","")&amp;IF(LEN($L47)&gt;35,"Postcode; ","")&amp;IF($AE47&lt;&gt;"","Postcode; ","")&amp;IF(LEN($O47)&gt;40,"Gift Message 1; ","")&amp;IF(LEN($P47)&gt;40,"Gift Message 2; ","")&amp;IF(LEN($Q47)&gt;40,"Gift Message 3; ","")&amp;IF(LEN($R47)&gt;40,"Gift Message 4; ","")&amp;IF(LEN($S47)&gt;40,"Gift Message 5; ","")&amp;IF(LEN($T47)&gt;40,"Gift Message 6; ","")&amp;IF(LEN($U47)&gt;40,"Gift Message 7; ",""))</f>
        <v/>
      </c>
      <c r="X47" s="44" t="str">
        <f ca="1">IF(COUNTA($A47,$D47:$M47,$O47:$U47)=0,"",IF($A47="","Enter the Item Code (hamper) - type it, paste it, or choose it from the dropdown. ","")&amp;IF(AND($A47&lt;&gt;"",ISNA(MATCH($AC47,'PRODUCT DATA'!$D$2:$D$394,0))),"This Item Code is not recognised. Check the code (case does not matter, but spelling and digits must match exactly) or choose it from the dropdown. ","")&amp;IF($M47="","Enter the Country after the Item Code - type or paste the name or the 2-letter code, or choose it from the dropdown. ","")&amp;IF(AND($M47&lt;&gt;"",NOT(OR(NOT(ISNA(MATCH(IF(UPPER($M47)="UK","GB",$M47),'PRODUCT DATA'!$A$2:$A$58,0))),NOT(ISNA(MATCH(IF(UPPER($M47)="UK","GB",$M47),'PRODUCT DATA'!$B$2:$B$58,0)))))),"This Country is not recognised as either a full name or a 2-letter code. Check the spelling (case does not matter) or choose it from the dropdown. ","")&amp;IF(AND($A47&lt;&gt;"",$M47&lt;&gt;"",NOT(ISNA(MATCH($AC47,'PRODUCT DATA'!$D$2:$D$394,0))),OR(NOT(ISNA(MATCH(IF(UPPER($M47)="UK","GB",$M47),'PRODUCT DATA'!$A$2:$A$58,0))),NOT(ISNA(MATCH(IF(UPPER($M47)="UK","GB",$M47),'PRODUCT DATA'!$B$2:$B$58,0)))),NOT(IFERROR(COUNTIF(OFFSET('PRODUCT DATA'!$F$2,0,MATCH($AC47,'PRODUCT DATA'!$F$1:$NN$1,0)-1,114,1),$N47)&gt;0,FALSE()))),IF(UPPER(IFERROR(OFFSET('PRODUCT DATA'!$C$2,MATCH($N47,'PRODUCT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"),"")&amp;IF($C47="","Enter Quantity. ","")&amp;IF(AND($C47&lt;&gt;"",OR(NOT(ISNUMBER($C47)),$C47&lt;1,$C47&gt;999,MOD($C47,1)&lt;&gt;0)),"Quantity must be a whole number from 1 to 999 (use a quantity above 1 only for a genuine bulk order of identical items to ONE address — otherwise use a separate row per recipient). ","")&amp;IF($D47="","Enter Recipient Name. ","")&amp;IF(LEN($D47)&gt;35,"Recipient Name exceeds 35 characters. ","")&amp;IF($E47="","Enter Recipient Phone. ","")&amp;IF(AND($E47&lt;&gt;"",OR(LEN($E47)&lt;6,LEN($E47)&gt;20,NOT(IFERROR(ISNUMBER(1*$E47),FALSE())))),"Phone must be the LOCAL number for the destination country: digits only, no +, spaces, or country code, 6 to 20 digits. ","")&amp;IF(LEN($F47)&gt;35,"Recipient Company Name exceeds 35 characters. ","")&amp;IF($G47="","Enter Address Line 1. ","")&amp;IF(LEN($G47)&gt;35,"Address Line 1 exceeds the 35-character SAP limit. ","")&amp;IF(LEN($H47)&gt;35,"Address Line 2 exceeds the 35-character SAP limit. ","")&amp;IF(LEN($I47)&gt;35,"Address Line 3 exceeds the 35-character SAP limit. ","")&amp;IF($J47="","Enter Town. This must never be left blank, even if there is no conventional town name. ","")&amp;IF(LEN($J47)&gt;35,"Town exceeds 35 characters. ","")&amp;IF(AND($N47="IE",$K47=""),"County is required for deliveries within the Republic of Ireland. ","")&amp;IF(LEN($AB47)&gt;35,"County exceeds 35 characters. ","")&amp;IF(AND($L47="",AND($N47&lt;&gt;"AE",$N47&lt;&gt;"QA")),"Postcode is required for the selected country. If there is genuinely no postcode, enter the first 3 characters of the area (e.g. D15). ","")&amp;IF(LEN($L47)&gt;35,"Postcode exceeds 35 characters. ","")&amp;IF($AE47&lt;&gt;"",$AE47,"")&amp;IF(LEN($O47)&gt;40,"Gift Message Line 1 exceeds 40 characters. ","")&amp;IF(LEN($P47)&gt;40,"Gift Message Line 2 exceeds 40 characters. ","")&amp;IF(LEN($Q47)&gt;40,"Gift Message Line 3 exceeds 40 characters. ","")&amp;IF(LEN($R47)&gt;40,"Gift Message Line 4 exceeds 40 characters. ","")&amp;IF(LEN($S47)&gt;40,"Gift Message Line 5 exceeds 40 characters. ","")&amp;IF(LEN($T47)&gt;40,"Gift Message Line 6 exceeds 40 characters. ","")&amp;IF(LEN($U47)&gt;40,"Gift Message Line 7 exceeds 40 characters. ",""))</f>
        <v/>
      </c>
      <c r="Y47" s="44" t="str">
        <f t="shared" si="1"/>
        <v/>
      </c>
      <c r="Z47" s="44"/>
      <c r="AA47" s="44"/>
      <c r="AB47" s="32" t="str">
        <f t="shared" si="2"/>
        <v/>
      </c>
      <c r="AC47" s="32" t="str">
        <f>IF($A47="","",IFERROR(LEFT(INDEX('PRODUCT DATA'!$NO$2:$NO$25,MATCH($A47,'PRODUCT DATA'!$NP$2:$NP$25,0)),FIND("|",INDEX('PRODUCT DATA'!$NO$2:$NO$25,MATCH($A47,'PRODUCT DATA'!$NP$2:$NP$25,0)))-1),$A47))</f>
        <v/>
      </c>
      <c r="AD47" s="45"/>
      <c r="AE47" s="45" t="str">
        <f t="shared" si="3"/>
        <v/>
      </c>
    </row>
    <row r="48" spans="1:31" ht="15" customHeight="1" x14ac:dyDescent="0.25">
      <c r="A48" s="40"/>
      <c r="B48" s="43" t="str">
        <f>IF($A48="","",IFERROR(VLOOKUP($AC48,'PRODUCT DATA'!$NR$2:$NS$374,2,FALSE()),"UNKNOWN ITEM CODE - please check"))</f>
        <v/>
      </c>
      <c r="C48" s="39">
        <v>1</v>
      </c>
      <c r="D48" s="39"/>
      <c r="E48" s="40"/>
      <c r="F48" s="41"/>
      <c r="G48" s="39"/>
      <c r="H48" s="41"/>
      <c r="I48" s="41"/>
      <c r="J48" s="39"/>
      <c r="K48" s="41"/>
      <c r="L48" s="40"/>
      <c r="M48" s="40"/>
      <c r="N48" s="42" t="str">
        <f>IF($M48="","",IFERROR(INDEX('PRODUCT DATA'!$B$2:$B$58,MATCH(IF(UPPER($M48)="UK","GB",$M48),'PRODUCT DATA'!$B$2:$B$58,0)),IFERROR(INDEX('PRODUCT DATA'!$B$2:$B$58,MATCH(IF(UPPER($M48)="UK","GB",$M48),'PRODUCT DATA'!$A$2:$A$58,0)),"UNKNOWN COUNTRY - please check")))</f>
        <v/>
      </c>
      <c r="O48" s="41"/>
      <c r="P48" s="41"/>
      <c r="Q48" s="41"/>
      <c r="R48" s="41"/>
      <c r="S48" s="41"/>
      <c r="T48" s="41"/>
      <c r="U48" s="41"/>
      <c r="V48" s="43" t="str">
        <f t="shared" si="0"/>
        <v/>
      </c>
      <c r="W48" s="44" t="str">
        <f ca="1">IF(COUNTA($A48,$D48:$M48,$O48:$U48)=0,"",IF($A48="","Item Code; ","")&amp;IF(AND($A48&lt;&gt;"",ISNA(MATCH($AC48,'PRODUCT DATA'!$D$2:$D$394,0))),"Item Code; ","")&amp;IF($M48="","Country; ","")&amp;IF(AND($M48&lt;&gt;"",NOT(OR(NOT(ISNA(MATCH(IF(UPPER($M48)="UK","GB",$M48),'PRODUCT DATA'!$A$2:$A$58,0))),NOT(ISNA(MATCH(IF(UPPER($M48)="UK","GB",$M48),'PRODUCT DATA'!$B$2:$B$58,0)))))),"Country; ","")&amp;IF(AND($A48&lt;&gt;"",$M48&lt;&gt;"",NOT(ISNA(MATCH($AC48,'PRODUCT DATA'!$D$2:$D$394,0))),OR(NOT(ISNA(MATCH(IF(UPPER($M48)="UK","GB",$M48),'PRODUCT DATA'!$A$2:$A$58,0))),NOT(ISNA(MATCH(IF(UPPER($M48)="UK","GB",$M48),'PRODUCT DATA'!$B$2:$B$58,0)))),NOT(IFERROR(COUNTIF(OFFSET('PRODUCT DATA'!$F$2,0,MATCH($AC48,'PRODUCT DATA'!$F$1:$NN$1,0)-1,114,1),$N48)&gt;0,FALSE()))),IF(UPPER(IFERROR(OFFSET('PRODUCT DATA'!$C$2,MATCH($N48,'PRODUCT DATA'!$B$2:$B$58,0)-1,0),""))="NO","Alcohol Restriction; ","Item Code / Country combination; "),"")&amp;IF($C48="","Quantity; ","")&amp;IF(AND($C48&lt;&gt;"",OR(NOT(ISNUMBER($C48)),$C48&lt;1,$C48&gt;999,MOD($C48,1)&lt;&gt;0)),"Quantity; ","")&amp;IF($D48="","Recipient Name; ","")&amp;IF(LEN($D48)&gt;35,"Recipient Name; ","")&amp;IF($E48="","Recipient Phone; ","")&amp;IF(AND($E48&lt;&gt;"",OR(LEN($E48)&lt;6,LEN($E48)&gt;20,NOT(IFERROR(ISNUMBER(1*$E48),FALSE())))),"Recipient Phone; ","")&amp;IF(LEN($F48)&gt;35,"Recipient Company Name; ","")&amp;IF($G48="","Address Line 1; ","")&amp;IF(LEN($G48)&gt;35,"Address Line 1; ","")&amp;IF(LEN($H48)&gt;35,"Address Line 2; ","")&amp;IF(LEN($I48)&gt;35,"Address Line 3; ","")&amp;IF($J48="","Town; ","")&amp;IF(LEN($J48)&gt;35,"Town; ","")&amp;IF(AND($N48="IE",$K48=""),"County; ","")&amp;IF(LEN($AB48)&gt;35,"County; ","")&amp;IF(AND($L48="",AND($N48&lt;&gt;"AE",$N48&lt;&gt;"QA")),"Postcode; ","")&amp;IF(LEN($L48)&gt;35,"Postcode; ","")&amp;IF($AE48&lt;&gt;"","Postcode; ","")&amp;IF(LEN($O48)&gt;40,"Gift Message 1; ","")&amp;IF(LEN($P48)&gt;40,"Gift Message 2; ","")&amp;IF(LEN($Q48)&gt;40,"Gift Message 3; ","")&amp;IF(LEN($R48)&gt;40,"Gift Message 4; ","")&amp;IF(LEN($S48)&gt;40,"Gift Message 5; ","")&amp;IF(LEN($T48)&gt;40,"Gift Message 6; ","")&amp;IF(LEN($U48)&gt;40,"Gift Message 7; ",""))</f>
        <v/>
      </c>
      <c r="X48" s="44" t="str">
        <f ca="1">IF(COUNTA($A48,$D48:$M48,$O48:$U48)=0,"",IF($A48="","Enter the Item Code (hamper) - type it, paste it, or choose it from the dropdown. ","")&amp;IF(AND($A48&lt;&gt;"",ISNA(MATCH($AC48,'PRODUCT DATA'!$D$2:$D$394,0))),"This Item Code is not recognised. Check the code (case does not matter, but spelling and digits must match exactly) or choose it from the dropdown. ","")&amp;IF($M48="","Enter the Country after the Item Code - type or paste the name or the 2-letter code, or choose it from the dropdown. ","")&amp;IF(AND($M48&lt;&gt;"",NOT(OR(NOT(ISNA(MATCH(IF(UPPER($M48)="UK","GB",$M48),'PRODUCT DATA'!$A$2:$A$58,0))),NOT(ISNA(MATCH(IF(UPPER($M48)="UK","GB",$M48),'PRODUCT DATA'!$B$2:$B$58,0)))))),"This Country is not recognised as either a full name or a 2-letter code. Check the spelling (case does not matter) or choose it from the dropdown. ","")&amp;IF(AND($A48&lt;&gt;"",$M48&lt;&gt;"",NOT(ISNA(MATCH($AC48,'PRODUCT DATA'!$D$2:$D$394,0))),OR(NOT(ISNA(MATCH(IF(UPPER($M48)="UK","GB",$M48),'PRODUCT DATA'!$A$2:$A$58,0))),NOT(ISNA(MATCH(IF(UPPER($M48)="UK","GB",$M48),'PRODUCT DATA'!$B$2:$B$58,0)))),NOT(IFERROR(COUNTIF(OFFSET('PRODUCT DATA'!$F$2,0,MATCH($AC48,'PRODUCT DATA'!$F$1:$NN$1,0)-1,114,1),$N48)&gt;0,FALSE()))),IF(UPPER(IFERROR(OFFSET('PRODUCT DATA'!$C$2,MATCH($N48,'PRODUCT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"),"")&amp;IF($C48="","Enter Quantity. ","")&amp;IF(AND($C48&lt;&gt;"",OR(NOT(ISNUMBER($C48)),$C48&lt;1,$C48&gt;999,MOD($C48,1)&lt;&gt;0)),"Quantity must be a whole number from 1 to 999 (use a quantity above 1 only for a genuine bulk order of identical items to ONE address — otherwise use a separate row per recipient). ","")&amp;IF($D48="","Enter Recipient Name. ","")&amp;IF(LEN($D48)&gt;35,"Recipient Name exceeds 35 characters. ","")&amp;IF($E48="","Enter Recipient Phone. ","")&amp;IF(AND($E48&lt;&gt;"",OR(LEN($E48)&lt;6,LEN($E48)&gt;20,NOT(IFERROR(ISNUMBER(1*$E48),FALSE())))),"Phone must be the LOCAL number for the destination country: digits only, no +, spaces, or country code, 6 to 20 digits. ","")&amp;IF(LEN($F48)&gt;35,"Recipient Company Name exceeds 35 characters. ","")&amp;IF($G48="","Enter Address Line 1. ","")&amp;IF(LEN($G48)&gt;35,"Address Line 1 exceeds the 35-character SAP limit. ","")&amp;IF(LEN($H48)&gt;35,"Address Line 2 exceeds the 35-character SAP limit. ","")&amp;IF(LEN($I48)&gt;35,"Address Line 3 exceeds the 35-character SAP limit. ","")&amp;IF($J48="","Enter Town. This must never be left blank, even if there is no conventional town name. ","")&amp;IF(LEN($J48)&gt;35,"Town exceeds 35 characters. ","")&amp;IF(AND($N48="IE",$K48=""),"County is required for deliveries within the Republic of Ireland. ","")&amp;IF(LEN($AB48)&gt;35,"County exceeds 35 characters. ","")&amp;IF(AND($L48="",AND($N48&lt;&gt;"AE",$N48&lt;&gt;"QA")),"Postcode is required for the selected country. If there is genuinely no postcode, enter the first 3 characters of the area (e.g. D15). ","")&amp;IF(LEN($L48)&gt;35,"Postcode exceeds 35 characters. ","")&amp;IF($AE48&lt;&gt;"",$AE48,"")&amp;IF(LEN($O48)&gt;40,"Gift Message Line 1 exceeds 40 characters. ","")&amp;IF(LEN($P48)&gt;40,"Gift Message Line 2 exceeds 40 characters. ","")&amp;IF(LEN($Q48)&gt;40,"Gift Message Line 3 exceeds 40 characters. ","")&amp;IF(LEN($R48)&gt;40,"Gift Message Line 4 exceeds 40 characters. ","")&amp;IF(LEN($S48)&gt;40,"Gift Message Line 5 exceeds 40 characters. ","")&amp;IF(LEN($T48)&gt;40,"Gift Message Line 6 exceeds 40 characters. ","")&amp;IF(LEN($U48)&gt;40,"Gift Message Line 7 exceeds 40 characters. ",""))</f>
        <v/>
      </c>
      <c r="Y48" s="44" t="str">
        <f t="shared" si="1"/>
        <v/>
      </c>
      <c r="Z48" s="44"/>
      <c r="AA48" s="44"/>
      <c r="AB48" s="32" t="str">
        <f t="shared" si="2"/>
        <v/>
      </c>
      <c r="AC48" s="32" t="str">
        <f>IF($A48="","",IFERROR(LEFT(INDEX('PRODUCT DATA'!$NO$2:$NO$25,MATCH($A48,'PRODUCT DATA'!$NP$2:$NP$25,0)),FIND("|",INDEX('PRODUCT DATA'!$NO$2:$NO$25,MATCH($A48,'PRODUCT DATA'!$NP$2:$NP$25,0)))-1),$A48))</f>
        <v/>
      </c>
      <c r="AD48" s="45"/>
      <c r="AE48" s="45" t="str">
        <f t="shared" si="3"/>
        <v/>
      </c>
    </row>
    <row r="49" spans="1:31" ht="15" customHeight="1" x14ac:dyDescent="0.25">
      <c r="A49" s="40"/>
      <c r="B49" s="43" t="str">
        <f>IF($A49="","",IFERROR(VLOOKUP($AC49,'PRODUCT DATA'!$NR$2:$NS$374,2,FALSE()),"UNKNOWN ITEM CODE - please check"))</f>
        <v/>
      </c>
      <c r="C49" s="39">
        <v>1</v>
      </c>
      <c r="D49" s="39"/>
      <c r="E49" s="40"/>
      <c r="F49" s="41"/>
      <c r="G49" s="39"/>
      <c r="H49" s="41"/>
      <c r="I49" s="41"/>
      <c r="J49" s="39"/>
      <c r="K49" s="41"/>
      <c r="L49" s="40"/>
      <c r="M49" s="40"/>
      <c r="N49" s="42" t="str">
        <f>IF($M49="","",IFERROR(INDEX('PRODUCT DATA'!$B$2:$B$58,MATCH(IF(UPPER($M49)="UK","GB",$M49),'PRODUCT DATA'!$B$2:$B$58,0)),IFERROR(INDEX('PRODUCT DATA'!$B$2:$B$58,MATCH(IF(UPPER($M49)="UK","GB",$M49),'PRODUCT DATA'!$A$2:$A$58,0)),"UNKNOWN COUNTRY - please check")))</f>
        <v/>
      </c>
      <c r="O49" s="41"/>
      <c r="P49" s="41"/>
      <c r="Q49" s="41"/>
      <c r="R49" s="41"/>
      <c r="S49" s="41"/>
      <c r="T49" s="41"/>
      <c r="U49" s="41"/>
      <c r="V49" s="43" t="str">
        <f t="shared" si="0"/>
        <v/>
      </c>
      <c r="W49" s="44" t="str">
        <f ca="1">IF(COUNTA($A49,$D49:$M49,$O49:$U49)=0,"",IF($A49="","Item Code; ","")&amp;IF(AND($A49&lt;&gt;"",ISNA(MATCH($AC49,'PRODUCT DATA'!$D$2:$D$394,0))),"Item Code; ","")&amp;IF($M49="","Country; ","")&amp;IF(AND($M49&lt;&gt;"",NOT(OR(NOT(ISNA(MATCH(IF(UPPER($M49)="UK","GB",$M49),'PRODUCT DATA'!$A$2:$A$58,0))),NOT(ISNA(MATCH(IF(UPPER($M49)="UK","GB",$M49),'PRODUCT DATA'!$B$2:$B$58,0)))))),"Country; ","")&amp;IF(AND($A49&lt;&gt;"",$M49&lt;&gt;"",NOT(ISNA(MATCH($AC49,'PRODUCT DATA'!$D$2:$D$394,0))),OR(NOT(ISNA(MATCH(IF(UPPER($M49)="UK","GB",$M49),'PRODUCT DATA'!$A$2:$A$58,0))),NOT(ISNA(MATCH(IF(UPPER($M49)="UK","GB",$M49),'PRODUCT DATA'!$B$2:$B$58,0)))),NOT(IFERROR(COUNTIF(OFFSET('PRODUCT DATA'!$F$2,0,MATCH($AC49,'PRODUCT DATA'!$F$1:$NN$1,0)-1,114,1),$N49)&gt;0,FALSE()))),IF(UPPER(IFERROR(OFFSET('PRODUCT DATA'!$C$2,MATCH($N49,'PRODUCT DATA'!$B$2:$B$58,0)-1,0),""))="NO","Alcohol Restriction; ","Item Code / Country combination; "),"")&amp;IF($C49="","Quantity; ","")&amp;IF(AND($C49&lt;&gt;"",OR(NOT(ISNUMBER($C49)),$C49&lt;1,$C49&gt;999,MOD($C49,1)&lt;&gt;0)),"Quantity; ","")&amp;IF($D49="","Recipient Name; ","")&amp;IF(LEN($D49)&gt;35,"Recipient Name; ","")&amp;IF($E49="","Recipient Phone; ","")&amp;IF(AND($E49&lt;&gt;"",OR(LEN($E49)&lt;6,LEN($E49)&gt;20,NOT(IFERROR(ISNUMBER(1*$E49),FALSE())))),"Recipient Phone; ","")&amp;IF(LEN($F49)&gt;35,"Recipient Company Name; ","")&amp;IF($G49="","Address Line 1; ","")&amp;IF(LEN($G49)&gt;35,"Address Line 1; ","")&amp;IF(LEN($H49)&gt;35,"Address Line 2; ","")&amp;IF(LEN($I49)&gt;35,"Address Line 3; ","")&amp;IF($J49="","Town; ","")&amp;IF(LEN($J49)&gt;35,"Town; ","")&amp;IF(AND($N49="IE",$K49=""),"County; ","")&amp;IF(LEN($AB49)&gt;35,"County; ","")&amp;IF(AND($L49="",AND($N49&lt;&gt;"AE",$N49&lt;&gt;"QA")),"Postcode; ","")&amp;IF(LEN($L49)&gt;35,"Postcode; ","")&amp;IF($AE49&lt;&gt;"","Postcode; ","")&amp;IF(LEN($O49)&gt;40,"Gift Message 1; ","")&amp;IF(LEN($P49)&gt;40,"Gift Message 2; ","")&amp;IF(LEN($Q49)&gt;40,"Gift Message 3; ","")&amp;IF(LEN($R49)&gt;40,"Gift Message 4; ","")&amp;IF(LEN($S49)&gt;40,"Gift Message 5; ","")&amp;IF(LEN($T49)&gt;40,"Gift Message 6; ","")&amp;IF(LEN($U49)&gt;40,"Gift Message 7; ",""))</f>
        <v/>
      </c>
      <c r="X49" s="44" t="str">
        <f ca="1">IF(COUNTA($A49,$D49:$M49,$O49:$U49)=0,"",IF($A49="","Enter the Item Code (hamper) - type it, paste it, or choose it from the dropdown. ","")&amp;IF(AND($A49&lt;&gt;"",ISNA(MATCH($AC49,'PRODUCT DATA'!$D$2:$D$394,0))),"This Item Code is not recognised. Check the code (case does not matter, but spelling and digits must match exactly) or choose it from the dropdown. ","")&amp;IF($M49="","Enter the Country after the Item Code - type or paste the name or the 2-letter code, or choose it from the dropdown. ","")&amp;IF(AND($M49&lt;&gt;"",NOT(OR(NOT(ISNA(MATCH(IF(UPPER($M49)="UK","GB",$M49),'PRODUCT DATA'!$A$2:$A$58,0))),NOT(ISNA(MATCH(IF(UPPER($M49)="UK","GB",$M49),'PRODUCT DATA'!$B$2:$B$58,0)))))),"This Country is not recognised as either a full name or a 2-letter code. Check the spelling (case does not matter) or choose it from the dropdown. ","")&amp;IF(AND($A49&lt;&gt;"",$M49&lt;&gt;"",NOT(ISNA(MATCH($AC49,'PRODUCT DATA'!$D$2:$D$394,0))),OR(NOT(ISNA(MATCH(IF(UPPER($M49)="UK","GB",$M49),'PRODUCT DATA'!$A$2:$A$58,0))),NOT(ISNA(MATCH(IF(UPPER($M49)="UK","GB",$M49),'PRODUCT DATA'!$B$2:$B$58,0)))),NOT(IFERROR(COUNTIF(OFFSET('PRODUCT DATA'!$F$2,0,MATCH($AC49,'PRODUCT DATA'!$F$1:$NN$1,0)-1,114,1),$N49)&gt;0,FALSE()))),IF(UPPER(IFERROR(OFFSET('PRODUCT DATA'!$C$2,MATCH($N49,'PRODUCT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"),"")&amp;IF($C49="","Enter Quantity. ","")&amp;IF(AND($C49&lt;&gt;"",OR(NOT(ISNUMBER($C49)),$C49&lt;1,$C49&gt;999,MOD($C49,1)&lt;&gt;0)),"Quantity must be a whole number from 1 to 999 (use a quantity above 1 only for a genuine bulk order of identical items to ONE address — otherwise use a separate row per recipient). ","")&amp;IF($D49="","Enter Recipient Name. ","")&amp;IF(LEN($D49)&gt;35,"Recipient Name exceeds 35 characters. ","")&amp;IF($E49="","Enter Recipient Phone. ","")&amp;IF(AND($E49&lt;&gt;"",OR(LEN($E49)&lt;6,LEN($E49)&gt;20,NOT(IFERROR(ISNUMBER(1*$E49),FALSE())))),"Phone must be the LOCAL number for the destination country: digits only, no +, spaces, or country code, 6 to 20 digits. ","")&amp;IF(LEN($F49)&gt;35,"Recipient Company Name exceeds 35 characters. ","")&amp;IF($G49="","Enter Address Line 1. ","")&amp;IF(LEN($G49)&gt;35,"Address Line 1 exceeds the 35-character SAP limit. ","")&amp;IF(LEN($H49)&gt;35,"Address Line 2 exceeds the 35-character SAP limit. ","")&amp;IF(LEN($I49)&gt;35,"Address Line 3 exceeds the 35-character SAP limit. ","")&amp;IF($J49="","Enter Town. This must never be left blank, even if there is no conventional town name. ","")&amp;IF(LEN($J49)&gt;35,"Town exceeds 35 characters. ","")&amp;IF(AND($N49="IE",$K49=""),"County is required for deliveries within the Republic of Ireland. ","")&amp;IF(LEN($AB49)&gt;35,"County exceeds 35 characters. ","")&amp;IF(AND($L49="",AND($N49&lt;&gt;"AE",$N49&lt;&gt;"QA")),"Postcode is required for the selected country. If there is genuinely no postcode, enter the first 3 characters of the area (e.g. D15). ","")&amp;IF(LEN($L49)&gt;35,"Postcode exceeds 35 characters. ","")&amp;IF($AE49&lt;&gt;"",$AE49,"")&amp;IF(LEN($O49)&gt;40,"Gift Message Line 1 exceeds 40 characters. ","")&amp;IF(LEN($P49)&gt;40,"Gift Message Line 2 exceeds 40 characters. ","")&amp;IF(LEN($Q49)&gt;40,"Gift Message Line 3 exceeds 40 characters. ","")&amp;IF(LEN($R49)&gt;40,"Gift Message Line 4 exceeds 40 characters. ","")&amp;IF(LEN($S49)&gt;40,"Gift Message Line 5 exceeds 40 characters. ","")&amp;IF(LEN($T49)&gt;40,"Gift Message Line 6 exceeds 40 characters. ","")&amp;IF(LEN($U49)&gt;40,"Gift Message Line 7 exceeds 40 characters. ",""))</f>
        <v/>
      </c>
      <c r="Y49" s="44" t="str">
        <f t="shared" si="1"/>
        <v/>
      </c>
      <c r="Z49" s="44"/>
      <c r="AA49" s="44"/>
      <c r="AB49" s="32" t="str">
        <f t="shared" si="2"/>
        <v/>
      </c>
      <c r="AC49" s="32" t="str">
        <f>IF($A49="","",IFERROR(LEFT(INDEX('PRODUCT DATA'!$NO$2:$NO$25,MATCH($A49,'PRODUCT DATA'!$NP$2:$NP$25,0)),FIND("|",INDEX('PRODUCT DATA'!$NO$2:$NO$25,MATCH($A49,'PRODUCT DATA'!$NP$2:$NP$25,0)))-1),$A49))</f>
        <v/>
      </c>
      <c r="AD49" s="45"/>
      <c r="AE49" s="45" t="str">
        <f t="shared" si="3"/>
        <v/>
      </c>
    </row>
    <row r="50" spans="1:31" ht="15" customHeight="1" x14ac:dyDescent="0.25">
      <c r="A50" s="40"/>
      <c r="B50" s="43" t="str">
        <f>IF($A50="","",IFERROR(VLOOKUP($AC50,'PRODUCT DATA'!$NR$2:$NS$374,2,FALSE()),"UNKNOWN ITEM CODE - please check"))</f>
        <v/>
      </c>
      <c r="C50" s="39">
        <v>1</v>
      </c>
      <c r="D50" s="39"/>
      <c r="E50" s="40"/>
      <c r="F50" s="41"/>
      <c r="G50" s="39"/>
      <c r="H50" s="41"/>
      <c r="I50" s="41"/>
      <c r="J50" s="39"/>
      <c r="K50" s="41"/>
      <c r="L50" s="40"/>
      <c r="M50" s="40"/>
      <c r="N50" s="42" t="str">
        <f>IF($M50="","",IFERROR(INDEX('PRODUCT DATA'!$B$2:$B$58,MATCH(IF(UPPER($M50)="UK","GB",$M50),'PRODUCT DATA'!$B$2:$B$58,0)),IFERROR(INDEX('PRODUCT DATA'!$B$2:$B$58,MATCH(IF(UPPER($M50)="UK","GB",$M50),'PRODUCT DATA'!$A$2:$A$58,0)),"UNKNOWN COUNTRY - please check")))</f>
        <v/>
      </c>
      <c r="O50" s="41"/>
      <c r="P50" s="41"/>
      <c r="Q50" s="41"/>
      <c r="R50" s="41"/>
      <c r="S50" s="41"/>
      <c r="T50" s="41"/>
      <c r="U50" s="41"/>
      <c r="V50" s="43" t="str">
        <f t="shared" si="0"/>
        <v/>
      </c>
      <c r="W50" s="44" t="str">
        <f ca="1">IF(COUNTA($A50,$D50:$M50,$O50:$U50)=0,"",IF($A50="","Item Code; ","")&amp;IF(AND($A50&lt;&gt;"",ISNA(MATCH($AC50,'PRODUCT DATA'!$D$2:$D$394,0))),"Item Code; ","")&amp;IF($M50="","Country; ","")&amp;IF(AND($M50&lt;&gt;"",NOT(OR(NOT(ISNA(MATCH(IF(UPPER($M50)="UK","GB",$M50),'PRODUCT DATA'!$A$2:$A$58,0))),NOT(ISNA(MATCH(IF(UPPER($M50)="UK","GB",$M50),'PRODUCT DATA'!$B$2:$B$58,0)))))),"Country; ","")&amp;IF(AND($A50&lt;&gt;"",$M50&lt;&gt;"",NOT(ISNA(MATCH($AC50,'PRODUCT DATA'!$D$2:$D$394,0))),OR(NOT(ISNA(MATCH(IF(UPPER($M50)="UK","GB",$M50),'PRODUCT DATA'!$A$2:$A$58,0))),NOT(ISNA(MATCH(IF(UPPER($M50)="UK","GB",$M50),'PRODUCT DATA'!$B$2:$B$58,0)))),NOT(IFERROR(COUNTIF(OFFSET('PRODUCT DATA'!$F$2,0,MATCH($AC50,'PRODUCT DATA'!$F$1:$NN$1,0)-1,114,1),$N50)&gt;0,FALSE()))),IF(UPPER(IFERROR(OFFSET('PRODUCT DATA'!$C$2,MATCH($N50,'PRODUCT DATA'!$B$2:$B$58,0)-1,0),""))="NO","Alcohol Restriction; ","Item Code / Country combination; "),"")&amp;IF($C50="","Quantity; ","")&amp;IF(AND($C50&lt;&gt;"",OR(NOT(ISNUMBER($C50)),$C50&lt;1,$C50&gt;999,MOD($C50,1)&lt;&gt;0)),"Quantity; ","")&amp;IF($D50="","Recipient Name; ","")&amp;IF(LEN($D50)&gt;35,"Recipient Name; ","")&amp;IF($E50="","Recipient Phone; ","")&amp;IF(AND($E50&lt;&gt;"",OR(LEN($E50)&lt;6,LEN($E50)&gt;20,NOT(IFERROR(ISNUMBER(1*$E50),FALSE())))),"Recipient Phone; ","")&amp;IF(LEN($F50)&gt;35,"Recipient Company Name; ","")&amp;IF($G50="","Address Line 1; ","")&amp;IF(LEN($G50)&gt;35,"Address Line 1; ","")&amp;IF(LEN($H50)&gt;35,"Address Line 2; ","")&amp;IF(LEN($I50)&gt;35,"Address Line 3; ","")&amp;IF($J50="","Town; ","")&amp;IF(LEN($J50)&gt;35,"Town; ","")&amp;IF(AND($N50="IE",$K50=""),"County; ","")&amp;IF(LEN($AB50)&gt;35,"County; ","")&amp;IF(AND($L50="",AND($N50&lt;&gt;"AE",$N50&lt;&gt;"QA")),"Postcode; ","")&amp;IF(LEN($L50)&gt;35,"Postcode; ","")&amp;IF($AE50&lt;&gt;"","Postcode; ","")&amp;IF(LEN($O50)&gt;40,"Gift Message 1; ","")&amp;IF(LEN($P50)&gt;40,"Gift Message 2; ","")&amp;IF(LEN($Q50)&gt;40,"Gift Message 3; ","")&amp;IF(LEN($R50)&gt;40,"Gift Message 4; ","")&amp;IF(LEN($S50)&gt;40,"Gift Message 5; ","")&amp;IF(LEN($T50)&gt;40,"Gift Message 6; ","")&amp;IF(LEN($U50)&gt;40,"Gift Message 7; ",""))</f>
        <v/>
      </c>
      <c r="X50" s="44" t="str">
        <f ca="1">IF(COUNTA($A50,$D50:$M50,$O50:$U50)=0,"",IF($A50="","Enter the Item Code (hamper) - type it, paste it, or choose it from the dropdown. ","")&amp;IF(AND($A50&lt;&gt;"",ISNA(MATCH($AC50,'PRODUCT DATA'!$D$2:$D$394,0))),"This Item Code is not recognised. Check the code (case does not matter, but spelling and digits must match exactly) or choose it from the dropdown. ","")&amp;IF($M50="","Enter the Country after the Item Code - type or paste the name or the 2-letter code, or choose it from the dropdown. ","")&amp;IF(AND($M50&lt;&gt;"",NOT(OR(NOT(ISNA(MATCH(IF(UPPER($M50)="UK","GB",$M50),'PRODUCT DATA'!$A$2:$A$58,0))),NOT(ISNA(MATCH(IF(UPPER($M50)="UK","GB",$M50),'PRODUCT DATA'!$B$2:$B$58,0)))))),"This Country is not recognised as either a full name or a 2-letter code. Check the spelling (case does not matter) or choose it from the dropdown. ","")&amp;IF(AND($A50&lt;&gt;"",$M50&lt;&gt;"",NOT(ISNA(MATCH($AC50,'PRODUCT DATA'!$D$2:$D$394,0))),OR(NOT(ISNA(MATCH(IF(UPPER($M50)="UK","GB",$M50),'PRODUCT DATA'!$A$2:$A$58,0))),NOT(ISNA(MATCH(IF(UPPER($M50)="UK","GB",$M50),'PRODUCT DATA'!$B$2:$B$58,0)))),NOT(IFERROR(COUNTIF(OFFSET('PRODUCT DATA'!$F$2,0,MATCH($AC50,'PRODUCT DATA'!$F$1:$NN$1,0)-1,114,1),$N50)&gt;0,FALSE()))),IF(UPPER(IFERROR(OFFSET('PRODUCT DATA'!$C$2,MATCH($N50,'PRODUCT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"),"")&amp;IF($C50="","Enter Quantity. ","")&amp;IF(AND($C50&lt;&gt;"",OR(NOT(ISNUMBER($C50)),$C50&lt;1,$C50&gt;999,MOD($C50,1)&lt;&gt;0)),"Quantity must be a whole number from 1 to 999 (use a quantity above 1 only for a genuine bulk order of identical items to ONE address — otherwise use a separate row per recipient). ","")&amp;IF($D50="","Enter Recipient Name. ","")&amp;IF(LEN($D50)&gt;35,"Recipient Name exceeds 35 characters. ","")&amp;IF($E50="","Enter Recipient Phone. ","")&amp;IF(AND($E50&lt;&gt;"",OR(LEN($E50)&lt;6,LEN($E50)&gt;20,NOT(IFERROR(ISNUMBER(1*$E50),FALSE())))),"Phone must be the LOCAL number for the destination country: digits only, no +, spaces, or country code, 6 to 20 digits. ","")&amp;IF(LEN($F50)&gt;35,"Recipient Company Name exceeds 35 characters. ","")&amp;IF($G50="","Enter Address Line 1. ","")&amp;IF(LEN($G50)&gt;35,"Address Line 1 exceeds the 35-character SAP limit. ","")&amp;IF(LEN($H50)&gt;35,"Address Line 2 exceeds the 35-character SAP limit. ","")&amp;IF(LEN($I50)&gt;35,"Address Line 3 exceeds the 35-character SAP limit. ","")&amp;IF($J50="","Enter Town. This must never be left blank, even if there is no conventional town name. ","")&amp;IF(LEN($J50)&gt;35,"Town exceeds 35 characters. ","")&amp;IF(AND($N50="IE",$K50=""),"County is required for deliveries within the Republic of Ireland. ","")&amp;IF(LEN($AB50)&gt;35,"County exceeds 35 characters. ","")&amp;IF(AND($L50="",AND($N50&lt;&gt;"AE",$N50&lt;&gt;"QA")),"Postcode is required for the selected country. If there is genuinely no postcode, enter the first 3 characters of the area (e.g. D15). ","")&amp;IF(LEN($L50)&gt;35,"Postcode exceeds 35 characters. ","")&amp;IF($AE50&lt;&gt;"",$AE50,"")&amp;IF(LEN($O50)&gt;40,"Gift Message Line 1 exceeds 40 characters. ","")&amp;IF(LEN($P50)&gt;40,"Gift Message Line 2 exceeds 40 characters. ","")&amp;IF(LEN($Q50)&gt;40,"Gift Message Line 3 exceeds 40 characters. ","")&amp;IF(LEN($R50)&gt;40,"Gift Message Line 4 exceeds 40 characters. ","")&amp;IF(LEN($S50)&gt;40,"Gift Message Line 5 exceeds 40 characters. ","")&amp;IF(LEN($T50)&gt;40,"Gift Message Line 6 exceeds 40 characters. ","")&amp;IF(LEN($U50)&gt;40,"Gift Message Line 7 exceeds 40 characters. ",""))</f>
        <v/>
      </c>
      <c r="Y50" s="44" t="str">
        <f t="shared" si="1"/>
        <v/>
      </c>
      <c r="Z50" s="44"/>
      <c r="AA50" s="44"/>
      <c r="AB50" s="32" t="str">
        <f t="shared" si="2"/>
        <v/>
      </c>
      <c r="AC50" s="32" t="str">
        <f>IF($A50="","",IFERROR(LEFT(INDEX('PRODUCT DATA'!$NO$2:$NO$25,MATCH($A50,'PRODUCT DATA'!$NP$2:$NP$25,0)),FIND("|",INDEX('PRODUCT DATA'!$NO$2:$NO$25,MATCH($A50,'PRODUCT DATA'!$NP$2:$NP$25,0)))-1),$A50))</f>
        <v/>
      </c>
      <c r="AD50" s="45"/>
      <c r="AE50" s="45" t="str">
        <f t="shared" si="3"/>
        <v/>
      </c>
    </row>
    <row r="51" spans="1:31" ht="15" customHeight="1" x14ac:dyDescent="0.25">
      <c r="A51" s="40"/>
      <c r="B51" s="43" t="str">
        <f>IF($A51="","",IFERROR(VLOOKUP($AC51,'PRODUCT DATA'!$NR$2:$NS$374,2,FALSE()),"UNKNOWN ITEM CODE - please check"))</f>
        <v/>
      </c>
      <c r="C51" s="39">
        <v>1</v>
      </c>
      <c r="D51" s="39"/>
      <c r="E51" s="40"/>
      <c r="F51" s="41"/>
      <c r="G51" s="39"/>
      <c r="H51" s="41"/>
      <c r="I51" s="41"/>
      <c r="J51" s="39"/>
      <c r="K51" s="41"/>
      <c r="L51" s="40"/>
      <c r="M51" s="40"/>
      <c r="N51" s="42" t="str">
        <f>IF($M51="","",IFERROR(INDEX('PRODUCT DATA'!$B$2:$B$58,MATCH(IF(UPPER($M51)="UK","GB",$M51),'PRODUCT DATA'!$B$2:$B$58,0)),IFERROR(INDEX('PRODUCT DATA'!$B$2:$B$58,MATCH(IF(UPPER($M51)="UK","GB",$M51),'PRODUCT DATA'!$A$2:$A$58,0)),"UNKNOWN COUNTRY - please check")))</f>
        <v/>
      </c>
      <c r="O51" s="41"/>
      <c r="P51" s="41"/>
      <c r="Q51" s="41"/>
      <c r="R51" s="41"/>
      <c r="S51" s="41"/>
      <c r="T51" s="41"/>
      <c r="U51" s="41"/>
      <c r="V51" s="43" t="str">
        <f t="shared" si="0"/>
        <v/>
      </c>
      <c r="W51" s="44" t="str">
        <f ca="1">IF(COUNTA($A51,$D51:$M51,$O51:$U51)=0,"",IF($A51="","Item Code; ","")&amp;IF(AND($A51&lt;&gt;"",ISNA(MATCH($AC51,'PRODUCT DATA'!$D$2:$D$394,0))),"Item Code; ","")&amp;IF($M51="","Country; ","")&amp;IF(AND($M51&lt;&gt;"",NOT(OR(NOT(ISNA(MATCH(IF(UPPER($M51)="UK","GB",$M51),'PRODUCT DATA'!$A$2:$A$58,0))),NOT(ISNA(MATCH(IF(UPPER($M51)="UK","GB",$M51),'PRODUCT DATA'!$B$2:$B$58,0)))))),"Country; ","")&amp;IF(AND($A51&lt;&gt;"",$M51&lt;&gt;"",NOT(ISNA(MATCH($AC51,'PRODUCT DATA'!$D$2:$D$394,0))),OR(NOT(ISNA(MATCH(IF(UPPER($M51)="UK","GB",$M51),'PRODUCT DATA'!$A$2:$A$58,0))),NOT(ISNA(MATCH(IF(UPPER($M51)="UK","GB",$M51),'PRODUCT DATA'!$B$2:$B$58,0)))),NOT(IFERROR(COUNTIF(OFFSET('PRODUCT DATA'!$F$2,0,MATCH($AC51,'PRODUCT DATA'!$F$1:$NN$1,0)-1,114,1),$N51)&gt;0,FALSE()))),IF(UPPER(IFERROR(OFFSET('PRODUCT DATA'!$C$2,MATCH($N51,'PRODUCT DATA'!$B$2:$B$58,0)-1,0),""))="NO","Alcohol Restriction; ","Item Code / Country combination; "),"")&amp;IF($C51="","Quantity; ","")&amp;IF(AND($C51&lt;&gt;"",OR(NOT(ISNUMBER($C51)),$C51&lt;1,$C51&gt;999,MOD($C51,1)&lt;&gt;0)),"Quantity; ","")&amp;IF($D51="","Recipient Name; ","")&amp;IF(LEN($D51)&gt;35,"Recipient Name; ","")&amp;IF($E51="","Recipient Phone; ","")&amp;IF(AND($E51&lt;&gt;"",OR(LEN($E51)&lt;6,LEN($E51)&gt;20,NOT(IFERROR(ISNUMBER(1*$E51),FALSE())))),"Recipient Phone; ","")&amp;IF(LEN($F51)&gt;35,"Recipient Company Name; ","")&amp;IF($G51="","Address Line 1; ","")&amp;IF(LEN($G51)&gt;35,"Address Line 1; ","")&amp;IF(LEN($H51)&gt;35,"Address Line 2; ","")&amp;IF(LEN($I51)&gt;35,"Address Line 3; ","")&amp;IF($J51="","Town; ","")&amp;IF(LEN($J51)&gt;35,"Town; ","")&amp;IF(AND($N51="IE",$K51=""),"County; ","")&amp;IF(LEN($AB51)&gt;35,"County; ","")&amp;IF(AND($L51="",AND($N51&lt;&gt;"AE",$N51&lt;&gt;"QA")),"Postcode; ","")&amp;IF(LEN($L51)&gt;35,"Postcode; ","")&amp;IF($AE51&lt;&gt;"","Postcode; ","")&amp;IF(LEN($O51)&gt;40,"Gift Message 1; ","")&amp;IF(LEN($P51)&gt;40,"Gift Message 2; ","")&amp;IF(LEN($Q51)&gt;40,"Gift Message 3; ","")&amp;IF(LEN($R51)&gt;40,"Gift Message 4; ","")&amp;IF(LEN($S51)&gt;40,"Gift Message 5; ","")&amp;IF(LEN($T51)&gt;40,"Gift Message 6; ","")&amp;IF(LEN($U51)&gt;40,"Gift Message 7; ",""))</f>
        <v/>
      </c>
      <c r="X51" s="44" t="str">
        <f ca="1">IF(COUNTA($A51,$D51:$M51,$O51:$U51)=0,"",IF($A51="","Enter the Item Code (hamper) - type it, paste it, or choose it from the dropdown. ","")&amp;IF(AND($A51&lt;&gt;"",ISNA(MATCH($AC51,'PRODUCT DATA'!$D$2:$D$394,0))),"This Item Code is not recognised. Check the code (case does not matter, but spelling and digits must match exactly) or choose it from the dropdown. ","")&amp;IF($M51="","Enter the Country after the Item Code - type or paste the name or the 2-letter code, or choose it from the dropdown. ","")&amp;IF(AND($M51&lt;&gt;"",NOT(OR(NOT(ISNA(MATCH(IF(UPPER($M51)="UK","GB",$M51),'PRODUCT DATA'!$A$2:$A$58,0))),NOT(ISNA(MATCH(IF(UPPER($M51)="UK","GB",$M51),'PRODUCT DATA'!$B$2:$B$58,0)))))),"This Country is not recognised as either a full name or a 2-letter code. Check the spelling (case does not matter) or choose it from the dropdown. ","")&amp;IF(AND($A51&lt;&gt;"",$M51&lt;&gt;"",NOT(ISNA(MATCH($AC51,'PRODUCT DATA'!$D$2:$D$394,0))),OR(NOT(ISNA(MATCH(IF(UPPER($M51)="UK","GB",$M51),'PRODUCT DATA'!$A$2:$A$58,0))),NOT(ISNA(MATCH(IF(UPPER($M51)="UK","GB",$M51),'PRODUCT DATA'!$B$2:$B$58,0)))),NOT(IFERROR(COUNTIF(OFFSET('PRODUCT DATA'!$F$2,0,MATCH($AC51,'PRODUCT DATA'!$F$1:$NN$1,0)-1,114,1),$N51)&gt;0,FALSE()))),IF(UPPER(IFERROR(OFFSET('PRODUCT DATA'!$C$2,MATCH($N51,'PRODUCT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"),"")&amp;IF($C51="","Enter Quantity. ","")&amp;IF(AND($C51&lt;&gt;"",OR(NOT(ISNUMBER($C51)),$C51&lt;1,$C51&gt;999,MOD($C51,1)&lt;&gt;0)),"Quantity must be a whole number from 1 to 999 (use a quantity above 1 only for a genuine bulk order of identical items to ONE address — otherwise use a separate row per recipient). ","")&amp;IF($D51="","Enter Recipient Name. ","")&amp;IF(LEN($D51)&gt;35,"Recipient Name exceeds 35 characters. ","")&amp;IF($E51="","Enter Recipient Phone. ","")&amp;IF(AND($E51&lt;&gt;"",OR(LEN($E51)&lt;6,LEN($E51)&gt;20,NOT(IFERROR(ISNUMBER(1*$E51),FALSE())))),"Phone must be the LOCAL number for the destination country: digits only, no +, spaces, or country code, 6 to 20 digits. ","")&amp;IF(LEN($F51)&gt;35,"Recipient Company Name exceeds 35 characters. ","")&amp;IF($G51="","Enter Address Line 1. ","")&amp;IF(LEN($G51)&gt;35,"Address Line 1 exceeds the 35-character SAP limit. ","")&amp;IF(LEN($H51)&gt;35,"Address Line 2 exceeds the 35-character SAP limit. ","")&amp;IF(LEN($I51)&gt;35,"Address Line 3 exceeds the 35-character SAP limit. ","")&amp;IF($J51="","Enter Town. This must never be left blank, even if there is no conventional town name. ","")&amp;IF(LEN($J51)&gt;35,"Town exceeds 35 characters. ","")&amp;IF(AND($N51="IE",$K51=""),"County is required for deliveries within the Republic of Ireland. ","")&amp;IF(LEN($AB51)&gt;35,"County exceeds 35 characters. ","")&amp;IF(AND($L51="",AND($N51&lt;&gt;"AE",$N51&lt;&gt;"QA")),"Postcode is required for the selected country. If there is genuinely no postcode, enter the first 3 characters of the area (e.g. D15). ","")&amp;IF(LEN($L51)&gt;35,"Postcode exceeds 35 characters. ","")&amp;IF($AE51&lt;&gt;"",$AE51,"")&amp;IF(LEN($O51)&gt;40,"Gift Message Line 1 exceeds 40 characters. ","")&amp;IF(LEN($P51)&gt;40,"Gift Message Line 2 exceeds 40 characters. ","")&amp;IF(LEN($Q51)&gt;40,"Gift Message Line 3 exceeds 40 characters. ","")&amp;IF(LEN($R51)&gt;40,"Gift Message Line 4 exceeds 40 characters. ","")&amp;IF(LEN($S51)&gt;40,"Gift Message Line 5 exceeds 40 characters. ","")&amp;IF(LEN($T51)&gt;40,"Gift Message Line 6 exceeds 40 characters. ","")&amp;IF(LEN($U51)&gt;40,"Gift Message Line 7 exceeds 40 characters. ",""))</f>
        <v/>
      </c>
      <c r="Y51" s="44" t="str">
        <f t="shared" si="1"/>
        <v/>
      </c>
      <c r="Z51" s="44"/>
      <c r="AA51" s="44"/>
      <c r="AB51" s="32" t="str">
        <f t="shared" si="2"/>
        <v/>
      </c>
      <c r="AC51" s="32" t="str">
        <f>IF($A51="","",IFERROR(LEFT(INDEX('PRODUCT DATA'!$NO$2:$NO$25,MATCH($A51,'PRODUCT DATA'!$NP$2:$NP$25,0)),FIND("|",INDEX('PRODUCT DATA'!$NO$2:$NO$25,MATCH($A51,'PRODUCT DATA'!$NP$2:$NP$25,0)))-1),$A51))</f>
        <v/>
      </c>
      <c r="AD51" s="45"/>
      <c r="AE51" s="45" t="str">
        <f t="shared" si="3"/>
        <v/>
      </c>
    </row>
    <row r="52" spans="1:31" ht="15" customHeight="1" x14ac:dyDescent="0.25">
      <c r="A52" s="40"/>
      <c r="B52" s="43" t="str">
        <f>IF($A52="","",IFERROR(VLOOKUP($AC52,'PRODUCT DATA'!$NR$2:$NS$374,2,FALSE()),"UNKNOWN ITEM CODE - please check"))</f>
        <v/>
      </c>
      <c r="C52" s="39">
        <v>1</v>
      </c>
      <c r="D52" s="39"/>
      <c r="E52" s="40"/>
      <c r="F52" s="41"/>
      <c r="G52" s="39"/>
      <c r="H52" s="41"/>
      <c r="I52" s="41"/>
      <c r="J52" s="39"/>
      <c r="K52" s="41"/>
      <c r="L52" s="40"/>
      <c r="M52" s="40"/>
      <c r="N52" s="42" t="str">
        <f>IF($M52="","",IFERROR(INDEX('PRODUCT DATA'!$B$2:$B$58,MATCH(IF(UPPER($M52)="UK","GB",$M52),'PRODUCT DATA'!$B$2:$B$58,0)),IFERROR(INDEX('PRODUCT DATA'!$B$2:$B$58,MATCH(IF(UPPER($M52)="UK","GB",$M52),'PRODUCT DATA'!$A$2:$A$58,0)),"UNKNOWN COUNTRY - please check")))</f>
        <v/>
      </c>
      <c r="O52" s="41"/>
      <c r="P52" s="41"/>
      <c r="Q52" s="41"/>
      <c r="R52" s="41"/>
      <c r="S52" s="41"/>
      <c r="T52" s="41"/>
      <c r="U52" s="41"/>
      <c r="V52" s="43" t="str">
        <f t="shared" si="0"/>
        <v/>
      </c>
      <c r="W52" s="44" t="str">
        <f ca="1">IF(COUNTA($A52,$D52:$M52,$O52:$U52)=0,"",IF($A52="","Item Code; ","")&amp;IF(AND($A52&lt;&gt;"",ISNA(MATCH($AC52,'PRODUCT DATA'!$D$2:$D$394,0))),"Item Code; ","")&amp;IF($M52="","Country; ","")&amp;IF(AND($M52&lt;&gt;"",NOT(OR(NOT(ISNA(MATCH(IF(UPPER($M52)="UK","GB",$M52),'PRODUCT DATA'!$A$2:$A$58,0))),NOT(ISNA(MATCH(IF(UPPER($M52)="UK","GB",$M52),'PRODUCT DATA'!$B$2:$B$58,0)))))),"Country; ","")&amp;IF(AND($A52&lt;&gt;"",$M52&lt;&gt;"",NOT(ISNA(MATCH($AC52,'PRODUCT DATA'!$D$2:$D$394,0))),OR(NOT(ISNA(MATCH(IF(UPPER($M52)="UK","GB",$M52),'PRODUCT DATA'!$A$2:$A$58,0))),NOT(ISNA(MATCH(IF(UPPER($M52)="UK","GB",$M52),'PRODUCT DATA'!$B$2:$B$58,0)))),NOT(IFERROR(COUNTIF(OFFSET('PRODUCT DATA'!$F$2,0,MATCH($AC52,'PRODUCT DATA'!$F$1:$NN$1,0)-1,114,1),$N52)&gt;0,FALSE()))),IF(UPPER(IFERROR(OFFSET('PRODUCT DATA'!$C$2,MATCH($N52,'PRODUCT DATA'!$B$2:$B$58,0)-1,0),""))="NO","Alcohol Restriction; ","Item Code / Country combination; "),"")&amp;IF($C52="","Quantity; ","")&amp;IF(AND($C52&lt;&gt;"",OR(NOT(ISNUMBER($C52)),$C52&lt;1,$C52&gt;999,MOD($C52,1)&lt;&gt;0)),"Quantity; ","")&amp;IF($D52="","Recipient Name; ","")&amp;IF(LEN($D52)&gt;35,"Recipient Name; ","")&amp;IF($E52="","Recipient Phone; ","")&amp;IF(AND($E52&lt;&gt;"",OR(LEN($E52)&lt;6,LEN($E52)&gt;20,NOT(IFERROR(ISNUMBER(1*$E52),FALSE())))),"Recipient Phone; ","")&amp;IF(LEN($F52)&gt;35,"Recipient Company Name; ","")&amp;IF($G52="","Address Line 1; ","")&amp;IF(LEN($G52)&gt;35,"Address Line 1; ","")&amp;IF(LEN($H52)&gt;35,"Address Line 2; ","")&amp;IF(LEN($I52)&gt;35,"Address Line 3; ","")&amp;IF($J52="","Town; ","")&amp;IF(LEN($J52)&gt;35,"Town; ","")&amp;IF(AND($N52="IE",$K52=""),"County; ","")&amp;IF(LEN($AB52)&gt;35,"County; ","")&amp;IF(AND($L52="",AND($N52&lt;&gt;"AE",$N52&lt;&gt;"QA")),"Postcode; ","")&amp;IF(LEN($L52)&gt;35,"Postcode; ","")&amp;IF($AE52&lt;&gt;"","Postcode; ","")&amp;IF(LEN($O52)&gt;40,"Gift Message 1; ","")&amp;IF(LEN($P52)&gt;40,"Gift Message 2; ","")&amp;IF(LEN($Q52)&gt;40,"Gift Message 3; ","")&amp;IF(LEN($R52)&gt;40,"Gift Message 4; ","")&amp;IF(LEN($S52)&gt;40,"Gift Message 5; ","")&amp;IF(LEN($T52)&gt;40,"Gift Message 6; ","")&amp;IF(LEN($U52)&gt;40,"Gift Message 7; ",""))</f>
        <v/>
      </c>
      <c r="X52" s="44" t="str">
        <f ca="1">IF(COUNTA($A52,$D52:$M52,$O52:$U52)=0,"",IF($A52="","Enter the Item Code (hamper) - type it, paste it, or choose it from the dropdown. ","")&amp;IF(AND($A52&lt;&gt;"",ISNA(MATCH($AC52,'PRODUCT DATA'!$D$2:$D$394,0))),"This Item Code is not recognised. Check the code (case does not matter, but spelling and digits must match exactly) or choose it from the dropdown. ","")&amp;IF($M52="","Enter the Country after the Item Code - type or paste the name or the 2-letter code, or choose it from the dropdown. ","")&amp;IF(AND($M52&lt;&gt;"",NOT(OR(NOT(ISNA(MATCH(IF(UPPER($M52)="UK","GB",$M52),'PRODUCT DATA'!$A$2:$A$58,0))),NOT(ISNA(MATCH(IF(UPPER($M52)="UK","GB",$M52),'PRODUCT DATA'!$B$2:$B$58,0)))))),"This Country is not recognised as either a full name or a 2-letter code. Check the spelling (case does not matter) or choose it from the dropdown. ","")&amp;IF(AND($A52&lt;&gt;"",$M52&lt;&gt;"",NOT(ISNA(MATCH($AC52,'PRODUCT DATA'!$D$2:$D$394,0))),OR(NOT(ISNA(MATCH(IF(UPPER($M52)="UK","GB",$M52),'PRODUCT DATA'!$A$2:$A$58,0))),NOT(ISNA(MATCH(IF(UPPER($M52)="UK","GB",$M52),'PRODUCT DATA'!$B$2:$B$58,0)))),NOT(IFERROR(COUNTIF(OFFSET('PRODUCT DATA'!$F$2,0,MATCH($AC52,'PRODUCT DATA'!$F$1:$NN$1,0)-1,114,1),$N52)&gt;0,FALSE()))),IF(UPPER(IFERROR(OFFSET('PRODUCT DATA'!$C$2,MATCH($N52,'PRODUCT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"),"")&amp;IF($C52="","Enter Quantity. ","")&amp;IF(AND($C52&lt;&gt;"",OR(NOT(ISNUMBER($C52)),$C52&lt;1,$C52&gt;999,MOD($C52,1)&lt;&gt;0)),"Quantity must be a whole number from 1 to 999 (use a quantity above 1 only for a genuine bulk order of identical items to ONE address — otherwise use a separate row per recipient). ","")&amp;IF($D52="","Enter Recipient Name. ","")&amp;IF(LEN($D52)&gt;35,"Recipient Name exceeds 35 characters. ","")&amp;IF($E52="","Enter Recipient Phone. ","")&amp;IF(AND($E52&lt;&gt;"",OR(LEN($E52)&lt;6,LEN($E52)&gt;20,NOT(IFERROR(ISNUMBER(1*$E52),FALSE())))),"Phone must be the LOCAL number for the destination country: digits only, no +, spaces, or country code, 6 to 20 digits. ","")&amp;IF(LEN($F52)&gt;35,"Recipient Company Name exceeds 35 characters. ","")&amp;IF($G52="","Enter Address Line 1. ","")&amp;IF(LEN($G52)&gt;35,"Address Line 1 exceeds the 35-character SAP limit. ","")&amp;IF(LEN($H52)&gt;35,"Address Line 2 exceeds the 35-character SAP limit. ","")&amp;IF(LEN($I52)&gt;35,"Address Line 3 exceeds the 35-character SAP limit. ","")&amp;IF($J52="","Enter Town. This must never be left blank, even if there is no conventional town name. ","")&amp;IF(LEN($J52)&gt;35,"Town exceeds 35 characters. ","")&amp;IF(AND($N52="IE",$K52=""),"County is required for deliveries within the Republic of Ireland. ","")&amp;IF(LEN($AB52)&gt;35,"County exceeds 35 characters. ","")&amp;IF(AND($L52="",AND($N52&lt;&gt;"AE",$N52&lt;&gt;"QA")),"Postcode is required for the selected country. If there is genuinely no postcode, enter the first 3 characters of the area (e.g. D15). ","")&amp;IF(LEN($L52)&gt;35,"Postcode exceeds 35 characters. ","")&amp;IF($AE52&lt;&gt;"",$AE52,"")&amp;IF(LEN($O52)&gt;40,"Gift Message Line 1 exceeds 40 characters. ","")&amp;IF(LEN($P52)&gt;40,"Gift Message Line 2 exceeds 40 characters. ","")&amp;IF(LEN($Q52)&gt;40,"Gift Message Line 3 exceeds 40 characters. ","")&amp;IF(LEN($R52)&gt;40,"Gift Message Line 4 exceeds 40 characters. ","")&amp;IF(LEN($S52)&gt;40,"Gift Message Line 5 exceeds 40 characters. ","")&amp;IF(LEN($T52)&gt;40,"Gift Message Line 6 exceeds 40 characters. ","")&amp;IF(LEN($U52)&gt;40,"Gift Message Line 7 exceeds 40 characters. ",""))</f>
        <v/>
      </c>
      <c r="Y52" s="44" t="str">
        <f t="shared" si="1"/>
        <v/>
      </c>
      <c r="Z52" s="44"/>
      <c r="AA52" s="44"/>
      <c r="AB52" s="32" t="str">
        <f t="shared" si="2"/>
        <v/>
      </c>
      <c r="AC52" s="32" t="str">
        <f>IF($A52="","",IFERROR(LEFT(INDEX('PRODUCT DATA'!$NO$2:$NO$25,MATCH($A52,'PRODUCT DATA'!$NP$2:$NP$25,0)),FIND("|",INDEX('PRODUCT DATA'!$NO$2:$NO$25,MATCH($A52,'PRODUCT DATA'!$NP$2:$NP$25,0)))-1),$A52))</f>
        <v/>
      </c>
      <c r="AD52" s="45"/>
      <c r="AE52" s="45" t="str">
        <f t="shared" si="3"/>
        <v/>
      </c>
    </row>
    <row r="53" spans="1:31" ht="15" customHeight="1" x14ac:dyDescent="0.25">
      <c r="A53" s="40"/>
      <c r="B53" s="43" t="str">
        <f>IF($A53="","",IFERROR(VLOOKUP($AC53,'PRODUCT DATA'!$NR$2:$NS$374,2,FALSE()),"UNKNOWN ITEM CODE - please check"))</f>
        <v/>
      </c>
      <c r="C53" s="39">
        <v>1</v>
      </c>
      <c r="D53" s="39"/>
      <c r="E53" s="40"/>
      <c r="F53" s="41"/>
      <c r="G53" s="39"/>
      <c r="H53" s="41"/>
      <c r="I53" s="41"/>
      <c r="J53" s="39"/>
      <c r="K53" s="41"/>
      <c r="L53" s="40"/>
      <c r="M53" s="40"/>
      <c r="N53" s="42" t="str">
        <f>IF($M53="","",IFERROR(INDEX('PRODUCT DATA'!$B$2:$B$58,MATCH(IF(UPPER($M53)="UK","GB",$M53),'PRODUCT DATA'!$B$2:$B$58,0)),IFERROR(INDEX('PRODUCT DATA'!$B$2:$B$58,MATCH(IF(UPPER($M53)="UK","GB",$M53),'PRODUCT DATA'!$A$2:$A$58,0)),"UNKNOWN COUNTRY - please check")))</f>
        <v/>
      </c>
      <c r="O53" s="41"/>
      <c r="P53" s="41"/>
      <c r="Q53" s="41"/>
      <c r="R53" s="41"/>
      <c r="S53" s="41"/>
      <c r="T53" s="41"/>
      <c r="U53" s="41"/>
      <c r="V53" s="43" t="str">
        <f t="shared" si="0"/>
        <v/>
      </c>
      <c r="W53" s="44" t="str">
        <f ca="1">IF(COUNTA($A53,$D53:$M53,$O53:$U53)=0,"",IF($A53="","Item Code; ","")&amp;IF(AND($A53&lt;&gt;"",ISNA(MATCH($AC53,'PRODUCT DATA'!$D$2:$D$394,0))),"Item Code; ","")&amp;IF($M53="","Country; ","")&amp;IF(AND($M53&lt;&gt;"",NOT(OR(NOT(ISNA(MATCH(IF(UPPER($M53)="UK","GB",$M53),'PRODUCT DATA'!$A$2:$A$58,0))),NOT(ISNA(MATCH(IF(UPPER($M53)="UK","GB",$M53),'PRODUCT DATA'!$B$2:$B$58,0)))))),"Country; ","")&amp;IF(AND($A53&lt;&gt;"",$M53&lt;&gt;"",NOT(ISNA(MATCH($AC53,'PRODUCT DATA'!$D$2:$D$394,0))),OR(NOT(ISNA(MATCH(IF(UPPER($M53)="UK","GB",$M53),'PRODUCT DATA'!$A$2:$A$58,0))),NOT(ISNA(MATCH(IF(UPPER($M53)="UK","GB",$M53),'PRODUCT DATA'!$B$2:$B$58,0)))),NOT(IFERROR(COUNTIF(OFFSET('PRODUCT DATA'!$F$2,0,MATCH($AC53,'PRODUCT DATA'!$F$1:$NN$1,0)-1,114,1),$N53)&gt;0,FALSE()))),IF(UPPER(IFERROR(OFFSET('PRODUCT DATA'!$C$2,MATCH($N53,'PRODUCT DATA'!$B$2:$B$58,0)-1,0),""))="NO","Alcohol Restriction; ","Item Code / Country combination; "),"")&amp;IF($C53="","Quantity; ","")&amp;IF(AND($C53&lt;&gt;"",OR(NOT(ISNUMBER($C53)),$C53&lt;1,$C53&gt;999,MOD($C53,1)&lt;&gt;0)),"Quantity; ","")&amp;IF($D53="","Recipient Name; ","")&amp;IF(LEN($D53)&gt;35,"Recipient Name; ","")&amp;IF($E53="","Recipient Phone; ","")&amp;IF(AND($E53&lt;&gt;"",OR(LEN($E53)&lt;6,LEN($E53)&gt;20,NOT(IFERROR(ISNUMBER(1*$E53),FALSE())))),"Recipient Phone; ","")&amp;IF(LEN($F53)&gt;35,"Recipient Company Name; ","")&amp;IF($G53="","Address Line 1; ","")&amp;IF(LEN($G53)&gt;35,"Address Line 1; ","")&amp;IF(LEN($H53)&gt;35,"Address Line 2; ","")&amp;IF(LEN($I53)&gt;35,"Address Line 3; ","")&amp;IF($J53="","Town; ","")&amp;IF(LEN($J53)&gt;35,"Town; ","")&amp;IF(AND($N53="IE",$K53=""),"County; ","")&amp;IF(LEN($AB53)&gt;35,"County; ","")&amp;IF(AND($L53="",AND($N53&lt;&gt;"AE",$N53&lt;&gt;"QA")),"Postcode; ","")&amp;IF(LEN($L53)&gt;35,"Postcode; ","")&amp;IF($AE53&lt;&gt;"","Postcode; ","")&amp;IF(LEN($O53)&gt;40,"Gift Message 1; ","")&amp;IF(LEN($P53)&gt;40,"Gift Message 2; ","")&amp;IF(LEN($Q53)&gt;40,"Gift Message 3; ","")&amp;IF(LEN($R53)&gt;40,"Gift Message 4; ","")&amp;IF(LEN($S53)&gt;40,"Gift Message 5; ","")&amp;IF(LEN($T53)&gt;40,"Gift Message 6; ","")&amp;IF(LEN($U53)&gt;40,"Gift Message 7; ",""))</f>
        <v/>
      </c>
      <c r="X53" s="44" t="str">
        <f ca="1">IF(COUNTA($A53,$D53:$M53,$O53:$U53)=0,"",IF($A53="","Enter the Item Code (hamper) - type it, paste it, or choose it from the dropdown. ","")&amp;IF(AND($A53&lt;&gt;"",ISNA(MATCH($AC53,'PRODUCT DATA'!$D$2:$D$394,0))),"This Item Code is not recognised. Check the code (case does not matter, but spelling and digits must match exactly) or choose it from the dropdown. ","")&amp;IF($M53="","Enter the Country after the Item Code - type or paste the name or the 2-letter code, or choose it from the dropdown. ","")&amp;IF(AND($M53&lt;&gt;"",NOT(OR(NOT(ISNA(MATCH(IF(UPPER($M53)="UK","GB",$M53),'PRODUCT DATA'!$A$2:$A$58,0))),NOT(ISNA(MATCH(IF(UPPER($M53)="UK","GB",$M53),'PRODUCT DATA'!$B$2:$B$58,0)))))),"This Country is not recognised as either a full name or a 2-letter code. Check the spelling (case does not matter) or choose it from the dropdown. ","")&amp;IF(AND($A53&lt;&gt;"",$M53&lt;&gt;"",NOT(ISNA(MATCH($AC53,'PRODUCT DATA'!$D$2:$D$394,0))),OR(NOT(ISNA(MATCH(IF(UPPER($M53)="UK","GB",$M53),'PRODUCT DATA'!$A$2:$A$58,0))),NOT(ISNA(MATCH(IF(UPPER($M53)="UK","GB",$M53),'PRODUCT DATA'!$B$2:$B$58,0)))),NOT(IFERROR(COUNTIF(OFFSET('PRODUCT DATA'!$F$2,0,MATCH($AC53,'PRODUCT DATA'!$F$1:$NN$1,0)-1,114,1),$N53)&gt;0,FALSE()))),IF(UPPER(IFERROR(OFFSET('PRODUCT DATA'!$C$2,MATCH($N53,'PRODUCT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"),"")&amp;IF($C53="","Enter Quantity. ","")&amp;IF(AND($C53&lt;&gt;"",OR(NOT(ISNUMBER($C53)),$C53&lt;1,$C53&gt;999,MOD($C53,1)&lt;&gt;0)),"Quantity must be a whole number from 1 to 999 (use a quantity above 1 only for a genuine bulk order of identical items to ONE address — otherwise use a separate row per recipient). ","")&amp;IF($D53="","Enter Recipient Name. ","")&amp;IF(LEN($D53)&gt;35,"Recipient Name exceeds 35 characters. ","")&amp;IF($E53="","Enter Recipient Phone. ","")&amp;IF(AND($E53&lt;&gt;"",OR(LEN($E53)&lt;6,LEN($E53)&gt;20,NOT(IFERROR(ISNUMBER(1*$E53),FALSE())))),"Phone must be the LOCAL number for the destination country: digits only, no +, spaces, or country code, 6 to 20 digits. ","")&amp;IF(LEN($F53)&gt;35,"Recipient Company Name exceeds 35 characters. ","")&amp;IF($G53="","Enter Address Line 1. ","")&amp;IF(LEN($G53)&gt;35,"Address Line 1 exceeds the 35-character SAP limit. ","")&amp;IF(LEN($H53)&gt;35,"Address Line 2 exceeds the 35-character SAP limit. ","")&amp;IF(LEN($I53)&gt;35,"Address Line 3 exceeds the 35-character SAP limit. ","")&amp;IF($J53="","Enter Town. This must never be left blank, even if there is no conventional town name. ","")&amp;IF(LEN($J53)&gt;35,"Town exceeds 35 characters. ","")&amp;IF(AND($N53="IE",$K53=""),"County is required for deliveries within the Republic of Ireland. ","")&amp;IF(LEN($AB53)&gt;35,"County exceeds 35 characters. ","")&amp;IF(AND($L53="",AND($N53&lt;&gt;"AE",$N53&lt;&gt;"QA")),"Postcode is required for the selected country. If there is genuinely no postcode, enter the first 3 characters of the area (e.g. D15). ","")&amp;IF(LEN($L53)&gt;35,"Postcode exceeds 35 characters. ","")&amp;IF($AE53&lt;&gt;"",$AE53,"")&amp;IF(LEN($O53)&gt;40,"Gift Message Line 1 exceeds 40 characters. ","")&amp;IF(LEN($P53)&gt;40,"Gift Message Line 2 exceeds 40 characters. ","")&amp;IF(LEN($Q53)&gt;40,"Gift Message Line 3 exceeds 40 characters. ","")&amp;IF(LEN($R53)&gt;40,"Gift Message Line 4 exceeds 40 characters. ","")&amp;IF(LEN($S53)&gt;40,"Gift Message Line 5 exceeds 40 characters. ","")&amp;IF(LEN($T53)&gt;40,"Gift Message Line 6 exceeds 40 characters. ","")&amp;IF(LEN($U53)&gt;40,"Gift Message Line 7 exceeds 40 characters. ",""))</f>
        <v/>
      </c>
      <c r="Y53" s="44" t="str">
        <f t="shared" si="1"/>
        <v/>
      </c>
      <c r="Z53" s="44"/>
      <c r="AA53" s="44"/>
      <c r="AB53" s="32" t="str">
        <f t="shared" si="2"/>
        <v/>
      </c>
      <c r="AC53" s="32" t="str">
        <f>IF($A53="","",IFERROR(LEFT(INDEX('PRODUCT DATA'!$NO$2:$NO$25,MATCH($A53,'PRODUCT DATA'!$NP$2:$NP$25,0)),FIND("|",INDEX('PRODUCT DATA'!$NO$2:$NO$25,MATCH($A53,'PRODUCT DATA'!$NP$2:$NP$25,0)))-1),$A53))</f>
        <v/>
      </c>
      <c r="AD53" s="45"/>
      <c r="AE53" s="45" t="str">
        <f t="shared" si="3"/>
        <v/>
      </c>
    </row>
    <row r="54" spans="1:31" ht="15" customHeight="1" x14ac:dyDescent="0.25">
      <c r="A54" s="40"/>
      <c r="B54" s="43" t="str">
        <f>IF($A54="","",IFERROR(VLOOKUP($AC54,'PRODUCT DATA'!$NR$2:$NS$374,2,FALSE()),"UNKNOWN ITEM CODE - please check"))</f>
        <v/>
      </c>
      <c r="C54" s="39">
        <v>1</v>
      </c>
      <c r="D54" s="39"/>
      <c r="E54" s="40"/>
      <c r="F54" s="41"/>
      <c r="G54" s="39"/>
      <c r="H54" s="41"/>
      <c r="I54" s="41"/>
      <c r="J54" s="39"/>
      <c r="K54" s="41"/>
      <c r="L54" s="40"/>
      <c r="M54" s="40"/>
      <c r="N54" s="42" t="str">
        <f>IF($M54="","",IFERROR(INDEX('PRODUCT DATA'!$B$2:$B$58,MATCH(IF(UPPER($M54)="UK","GB",$M54),'PRODUCT DATA'!$B$2:$B$58,0)),IFERROR(INDEX('PRODUCT DATA'!$B$2:$B$58,MATCH(IF(UPPER($M54)="UK","GB",$M54),'PRODUCT DATA'!$A$2:$A$58,0)),"UNKNOWN COUNTRY - please check")))</f>
        <v/>
      </c>
      <c r="O54" s="41"/>
      <c r="P54" s="41"/>
      <c r="Q54" s="41"/>
      <c r="R54" s="41"/>
      <c r="S54" s="41"/>
      <c r="T54" s="41"/>
      <c r="U54" s="41"/>
      <c r="V54" s="43" t="str">
        <f t="shared" si="0"/>
        <v/>
      </c>
      <c r="W54" s="44" t="str">
        <f ca="1">IF(COUNTA($A54,$D54:$M54,$O54:$U54)=0,"",IF($A54="","Item Code; ","")&amp;IF(AND($A54&lt;&gt;"",ISNA(MATCH($AC54,'PRODUCT DATA'!$D$2:$D$394,0))),"Item Code; ","")&amp;IF($M54="","Country; ","")&amp;IF(AND($M54&lt;&gt;"",NOT(OR(NOT(ISNA(MATCH(IF(UPPER($M54)="UK","GB",$M54),'PRODUCT DATA'!$A$2:$A$58,0))),NOT(ISNA(MATCH(IF(UPPER($M54)="UK","GB",$M54),'PRODUCT DATA'!$B$2:$B$58,0)))))),"Country; ","")&amp;IF(AND($A54&lt;&gt;"",$M54&lt;&gt;"",NOT(ISNA(MATCH($AC54,'PRODUCT DATA'!$D$2:$D$394,0))),OR(NOT(ISNA(MATCH(IF(UPPER($M54)="UK","GB",$M54),'PRODUCT DATA'!$A$2:$A$58,0))),NOT(ISNA(MATCH(IF(UPPER($M54)="UK","GB",$M54),'PRODUCT DATA'!$B$2:$B$58,0)))),NOT(IFERROR(COUNTIF(OFFSET('PRODUCT DATA'!$F$2,0,MATCH($AC54,'PRODUCT DATA'!$F$1:$NN$1,0)-1,114,1),$N54)&gt;0,FALSE()))),IF(UPPER(IFERROR(OFFSET('PRODUCT DATA'!$C$2,MATCH($N54,'PRODUCT DATA'!$B$2:$B$58,0)-1,0),""))="NO","Alcohol Restriction; ","Item Code / Country combination; "),"")&amp;IF($C54="","Quantity; ","")&amp;IF(AND($C54&lt;&gt;"",OR(NOT(ISNUMBER($C54)),$C54&lt;1,$C54&gt;999,MOD($C54,1)&lt;&gt;0)),"Quantity; ","")&amp;IF($D54="","Recipient Name; ","")&amp;IF(LEN($D54)&gt;35,"Recipient Name; ","")&amp;IF($E54="","Recipient Phone; ","")&amp;IF(AND($E54&lt;&gt;"",OR(LEN($E54)&lt;6,LEN($E54)&gt;20,NOT(IFERROR(ISNUMBER(1*$E54),FALSE())))),"Recipient Phone; ","")&amp;IF(LEN($F54)&gt;35,"Recipient Company Name; ","")&amp;IF($G54="","Address Line 1; ","")&amp;IF(LEN($G54)&gt;35,"Address Line 1; ","")&amp;IF(LEN($H54)&gt;35,"Address Line 2; ","")&amp;IF(LEN($I54)&gt;35,"Address Line 3; ","")&amp;IF($J54="","Town; ","")&amp;IF(LEN($J54)&gt;35,"Town; ","")&amp;IF(AND($N54="IE",$K54=""),"County; ","")&amp;IF(LEN($AB54)&gt;35,"County; ","")&amp;IF(AND($L54="",AND($N54&lt;&gt;"AE",$N54&lt;&gt;"QA")),"Postcode; ","")&amp;IF(LEN($L54)&gt;35,"Postcode; ","")&amp;IF($AE54&lt;&gt;"","Postcode; ","")&amp;IF(LEN($O54)&gt;40,"Gift Message 1; ","")&amp;IF(LEN($P54)&gt;40,"Gift Message 2; ","")&amp;IF(LEN($Q54)&gt;40,"Gift Message 3; ","")&amp;IF(LEN($R54)&gt;40,"Gift Message 4; ","")&amp;IF(LEN($S54)&gt;40,"Gift Message 5; ","")&amp;IF(LEN($T54)&gt;40,"Gift Message 6; ","")&amp;IF(LEN($U54)&gt;40,"Gift Message 7; ",""))</f>
        <v/>
      </c>
      <c r="X54" s="44" t="str">
        <f ca="1">IF(COUNTA($A54,$D54:$M54,$O54:$U54)=0,"",IF($A54="","Enter the Item Code (hamper) - type it, paste it, or choose it from the dropdown. ","")&amp;IF(AND($A54&lt;&gt;"",ISNA(MATCH($AC54,'PRODUCT DATA'!$D$2:$D$394,0))),"This Item Code is not recognised. Check the code (case does not matter, but spelling and digits must match exactly) or choose it from the dropdown. ","")&amp;IF($M54="","Enter the Country after the Item Code - type or paste the name or the 2-letter code, or choose it from the dropdown. ","")&amp;IF(AND($M54&lt;&gt;"",NOT(OR(NOT(ISNA(MATCH(IF(UPPER($M54)="UK","GB",$M54),'PRODUCT DATA'!$A$2:$A$58,0))),NOT(ISNA(MATCH(IF(UPPER($M54)="UK","GB",$M54),'PRODUCT DATA'!$B$2:$B$58,0)))))),"This Country is not recognised as either a full name or a 2-letter code. Check the spelling (case does not matter) or choose it from the dropdown. ","")&amp;IF(AND($A54&lt;&gt;"",$M54&lt;&gt;"",NOT(ISNA(MATCH($AC54,'PRODUCT DATA'!$D$2:$D$394,0))),OR(NOT(ISNA(MATCH(IF(UPPER($M54)="UK","GB",$M54),'PRODUCT DATA'!$A$2:$A$58,0))),NOT(ISNA(MATCH(IF(UPPER($M54)="UK","GB",$M54),'PRODUCT DATA'!$B$2:$B$58,0)))),NOT(IFERROR(COUNTIF(OFFSET('PRODUCT DATA'!$F$2,0,MATCH($AC54,'PRODUCT DATA'!$F$1:$NN$1,0)-1,114,1),$N54)&gt;0,FALSE()))),IF(UPPER(IFERROR(OFFSET('PRODUCT DATA'!$C$2,MATCH($N54,'PRODUCT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"),"")&amp;IF($C54="","Enter Quantity. ","")&amp;IF(AND($C54&lt;&gt;"",OR(NOT(ISNUMBER($C54)),$C54&lt;1,$C54&gt;999,MOD($C54,1)&lt;&gt;0)),"Quantity must be a whole number from 1 to 999 (use a quantity above 1 only for a genuine bulk order of identical items to ONE address — otherwise use a separate row per recipient). ","")&amp;IF($D54="","Enter Recipient Name. ","")&amp;IF(LEN($D54)&gt;35,"Recipient Name exceeds 35 characters. ","")&amp;IF($E54="","Enter Recipient Phone. ","")&amp;IF(AND($E54&lt;&gt;"",OR(LEN($E54)&lt;6,LEN($E54)&gt;20,NOT(IFERROR(ISNUMBER(1*$E54),FALSE())))),"Phone must be the LOCAL number for the destination country: digits only, no +, spaces, or country code, 6 to 20 digits. ","")&amp;IF(LEN($F54)&gt;35,"Recipient Company Name exceeds 35 characters. ","")&amp;IF($G54="","Enter Address Line 1. ","")&amp;IF(LEN($G54)&gt;35,"Address Line 1 exceeds the 35-character SAP limit. ","")&amp;IF(LEN($H54)&gt;35,"Address Line 2 exceeds the 35-character SAP limit. ","")&amp;IF(LEN($I54)&gt;35,"Address Line 3 exceeds the 35-character SAP limit. ","")&amp;IF($J54="","Enter Town. This must never be left blank, even if there is no conventional town name. ","")&amp;IF(LEN($J54)&gt;35,"Town exceeds 35 characters. ","")&amp;IF(AND($N54="IE",$K54=""),"County is required for deliveries within the Republic of Ireland. ","")&amp;IF(LEN($AB54)&gt;35,"County exceeds 35 characters. ","")&amp;IF(AND($L54="",AND($N54&lt;&gt;"AE",$N54&lt;&gt;"QA")),"Postcode is required for the selected country. If there is genuinely no postcode, enter the first 3 characters of the area (e.g. D15). ","")&amp;IF(LEN($L54)&gt;35,"Postcode exceeds 35 characters. ","")&amp;IF($AE54&lt;&gt;"",$AE54,"")&amp;IF(LEN($O54)&gt;40,"Gift Message Line 1 exceeds 40 characters. ","")&amp;IF(LEN($P54)&gt;40,"Gift Message Line 2 exceeds 40 characters. ","")&amp;IF(LEN($Q54)&gt;40,"Gift Message Line 3 exceeds 40 characters. ","")&amp;IF(LEN($R54)&gt;40,"Gift Message Line 4 exceeds 40 characters. ","")&amp;IF(LEN($S54)&gt;40,"Gift Message Line 5 exceeds 40 characters. ","")&amp;IF(LEN($T54)&gt;40,"Gift Message Line 6 exceeds 40 characters. ","")&amp;IF(LEN($U54)&gt;40,"Gift Message Line 7 exceeds 40 characters. ",""))</f>
        <v/>
      </c>
      <c r="Y54" s="44" t="str">
        <f t="shared" si="1"/>
        <v/>
      </c>
      <c r="Z54" s="44"/>
      <c r="AA54" s="44"/>
      <c r="AB54" s="32" t="str">
        <f t="shared" si="2"/>
        <v/>
      </c>
      <c r="AC54" s="32" t="str">
        <f>IF($A54="","",IFERROR(LEFT(INDEX('PRODUCT DATA'!$NO$2:$NO$25,MATCH($A54,'PRODUCT DATA'!$NP$2:$NP$25,0)),FIND("|",INDEX('PRODUCT DATA'!$NO$2:$NO$25,MATCH($A54,'PRODUCT DATA'!$NP$2:$NP$25,0)))-1),$A54))</f>
        <v/>
      </c>
      <c r="AD54" s="45"/>
      <c r="AE54" s="45" t="str">
        <f t="shared" si="3"/>
        <v/>
      </c>
    </row>
    <row r="55" spans="1:31" ht="15" customHeight="1" x14ac:dyDescent="0.25">
      <c r="A55" s="40"/>
      <c r="B55" s="43" t="str">
        <f>IF($A55="","",IFERROR(VLOOKUP($AC55,'PRODUCT DATA'!$NR$2:$NS$374,2,FALSE()),"UNKNOWN ITEM CODE - please check"))</f>
        <v/>
      </c>
      <c r="C55" s="39">
        <v>1</v>
      </c>
      <c r="D55" s="39"/>
      <c r="E55" s="40"/>
      <c r="F55" s="41"/>
      <c r="G55" s="39"/>
      <c r="H55" s="41"/>
      <c r="I55" s="41"/>
      <c r="J55" s="39"/>
      <c r="K55" s="41"/>
      <c r="L55" s="40"/>
      <c r="M55" s="40"/>
      <c r="N55" s="42" t="str">
        <f>IF($M55="","",IFERROR(INDEX('PRODUCT DATA'!$B$2:$B$58,MATCH(IF(UPPER($M55)="UK","GB",$M55),'PRODUCT DATA'!$B$2:$B$58,0)),IFERROR(INDEX('PRODUCT DATA'!$B$2:$B$58,MATCH(IF(UPPER($M55)="UK","GB",$M55),'PRODUCT DATA'!$A$2:$A$58,0)),"UNKNOWN COUNTRY - please check")))</f>
        <v/>
      </c>
      <c r="O55" s="41"/>
      <c r="P55" s="41"/>
      <c r="Q55" s="41"/>
      <c r="R55" s="41"/>
      <c r="S55" s="41"/>
      <c r="T55" s="41"/>
      <c r="U55" s="41"/>
      <c r="V55" s="43" t="str">
        <f t="shared" si="0"/>
        <v/>
      </c>
      <c r="W55" s="44" t="str">
        <f ca="1">IF(COUNTA($A55,$D55:$M55,$O55:$U55)=0,"",IF($A55="","Item Code; ","")&amp;IF(AND($A55&lt;&gt;"",ISNA(MATCH($AC55,'PRODUCT DATA'!$D$2:$D$394,0))),"Item Code; ","")&amp;IF($M55="","Country; ","")&amp;IF(AND($M55&lt;&gt;"",NOT(OR(NOT(ISNA(MATCH(IF(UPPER($M55)="UK","GB",$M55),'PRODUCT DATA'!$A$2:$A$58,0))),NOT(ISNA(MATCH(IF(UPPER($M55)="UK","GB",$M55),'PRODUCT DATA'!$B$2:$B$58,0)))))),"Country; ","")&amp;IF(AND($A55&lt;&gt;"",$M55&lt;&gt;"",NOT(ISNA(MATCH($AC55,'PRODUCT DATA'!$D$2:$D$394,0))),OR(NOT(ISNA(MATCH(IF(UPPER($M55)="UK","GB",$M55),'PRODUCT DATA'!$A$2:$A$58,0))),NOT(ISNA(MATCH(IF(UPPER($M55)="UK","GB",$M55),'PRODUCT DATA'!$B$2:$B$58,0)))),NOT(IFERROR(COUNTIF(OFFSET('PRODUCT DATA'!$F$2,0,MATCH($AC55,'PRODUCT DATA'!$F$1:$NN$1,0)-1,114,1),$N55)&gt;0,FALSE()))),IF(UPPER(IFERROR(OFFSET('PRODUCT DATA'!$C$2,MATCH($N55,'PRODUCT DATA'!$B$2:$B$58,0)-1,0),""))="NO","Alcohol Restriction; ","Item Code / Country combination; "),"")&amp;IF($C55="","Quantity; ","")&amp;IF(AND($C55&lt;&gt;"",OR(NOT(ISNUMBER($C55)),$C55&lt;1,$C55&gt;999,MOD($C55,1)&lt;&gt;0)),"Quantity; ","")&amp;IF($D55="","Recipient Name; ","")&amp;IF(LEN($D55)&gt;35,"Recipient Name; ","")&amp;IF($E55="","Recipient Phone; ","")&amp;IF(AND($E55&lt;&gt;"",OR(LEN($E55)&lt;6,LEN($E55)&gt;20,NOT(IFERROR(ISNUMBER(1*$E55),FALSE())))),"Recipient Phone; ","")&amp;IF(LEN($F55)&gt;35,"Recipient Company Name; ","")&amp;IF($G55="","Address Line 1; ","")&amp;IF(LEN($G55)&gt;35,"Address Line 1; ","")&amp;IF(LEN($H55)&gt;35,"Address Line 2; ","")&amp;IF(LEN($I55)&gt;35,"Address Line 3; ","")&amp;IF($J55="","Town; ","")&amp;IF(LEN($J55)&gt;35,"Town; ","")&amp;IF(AND($N55="IE",$K55=""),"County; ","")&amp;IF(LEN($AB55)&gt;35,"County; ","")&amp;IF(AND($L55="",AND($N55&lt;&gt;"AE",$N55&lt;&gt;"QA")),"Postcode; ","")&amp;IF(LEN($L55)&gt;35,"Postcode; ","")&amp;IF($AE55&lt;&gt;"","Postcode; ","")&amp;IF(LEN($O55)&gt;40,"Gift Message 1; ","")&amp;IF(LEN($P55)&gt;40,"Gift Message 2; ","")&amp;IF(LEN($Q55)&gt;40,"Gift Message 3; ","")&amp;IF(LEN($R55)&gt;40,"Gift Message 4; ","")&amp;IF(LEN($S55)&gt;40,"Gift Message 5; ","")&amp;IF(LEN($T55)&gt;40,"Gift Message 6; ","")&amp;IF(LEN($U55)&gt;40,"Gift Message 7; ",""))</f>
        <v/>
      </c>
      <c r="X55" s="44" t="str">
        <f ca="1">IF(COUNTA($A55,$D55:$M55,$O55:$U55)=0,"",IF($A55="","Enter the Item Code (hamper) - type it, paste it, or choose it from the dropdown. ","")&amp;IF(AND($A55&lt;&gt;"",ISNA(MATCH($AC55,'PRODUCT DATA'!$D$2:$D$394,0))),"This Item Code is not recognised. Check the code (case does not matter, but spelling and digits must match exactly) or choose it from the dropdown. ","")&amp;IF($M55="","Enter the Country after the Item Code - type or paste the name or the 2-letter code, or choose it from the dropdown. ","")&amp;IF(AND($M55&lt;&gt;"",NOT(OR(NOT(ISNA(MATCH(IF(UPPER($M55)="UK","GB",$M55),'PRODUCT DATA'!$A$2:$A$58,0))),NOT(ISNA(MATCH(IF(UPPER($M55)="UK","GB",$M55),'PRODUCT DATA'!$B$2:$B$58,0)))))),"This Country is not recognised as either a full name or a 2-letter code. Check the spelling (case does not matter) or choose it from the dropdown. ","")&amp;IF(AND($A55&lt;&gt;"",$M55&lt;&gt;"",NOT(ISNA(MATCH($AC55,'PRODUCT DATA'!$D$2:$D$394,0))),OR(NOT(ISNA(MATCH(IF(UPPER($M55)="UK","GB",$M55),'PRODUCT DATA'!$A$2:$A$58,0))),NOT(ISNA(MATCH(IF(UPPER($M55)="UK","GB",$M55),'PRODUCT DATA'!$B$2:$B$58,0)))),NOT(IFERROR(COUNTIF(OFFSET('PRODUCT DATA'!$F$2,0,MATCH($AC55,'PRODUCT DATA'!$F$1:$NN$1,0)-1,114,1),$N55)&gt;0,FALSE()))),IF(UPPER(IFERROR(OFFSET('PRODUCT DATA'!$C$2,MATCH($N55,'PRODUCT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"),"")&amp;IF($C55="","Enter Quantity. ","")&amp;IF(AND($C55&lt;&gt;"",OR(NOT(ISNUMBER($C55)),$C55&lt;1,$C55&gt;999,MOD($C55,1)&lt;&gt;0)),"Quantity must be a whole number from 1 to 999 (use a quantity above 1 only for a genuine bulk order of identical items to ONE address — otherwise use a separate row per recipient). ","")&amp;IF($D55="","Enter Recipient Name. ","")&amp;IF(LEN($D55)&gt;35,"Recipient Name exceeds 35 characters. ","")&amp;IF($E55="","Enter Recipient Phone. ","")&amp;IF(AND($E55&lt;&gt;"",OR(LEN($E55)&lt;6,LEN($E55)&gt;20,NOT(IFERROR(ISNUMBER(1*$E55),FALSE())))),"Phone must be the LOCAL number for the destination country: digits only, no +, spaces, or country code, 6 to 20 digits. ","")&amp;IF(LEN($F55)&gt;35,"Recipient Company Name exceeds 35 characters. ","")&amp;IF($G55="","Enter Address Line 1. ","")&amp;IF(LEN($G55)&gt;35,"Address Line 1 exceeds the 35-character SAP limit. ","")&amp;IF(LEN($H55)&gt;35,"Address Line 2 exceeds the 35-character SAP limit. ","")&amp;IF(LEN($I55)&gt;35,"Address Line 3 exceeds the 35-character SAP limit. ","")&amp;IF($J55="","Enter Town. This must never be left blank, even if there is no conventional town name. ","")&amp;IF(LEN($J55)&gt;35,"Town exceeds 35 characters. ","")&amp;IF(AND($N55="IE",$K55=""),"County is required for deliveries within the Republic of Ireland. ","")&amp;IF(LEN($AB55)&gt;35,"County exceeds 35 characters. ","")&amp;IF(AND($L55="",AND($N55&lt;&gt;"AE",$N55&lt;&gt;"QA")),"Postcode is required for the selected country. If there is genuinely no postcode, enter the first 3 characters of the area (e.g. D15). ","")&amp;IF(LEN($L55)&gt;35,"Postcode exceeds 35 characters. ","")&amp;IF($AE55&lt;&gt;"",$AE55,"")&amp;IF(LEN($O55)&gt;40,"Gift Message Line 1 exceeds 40 characters. ","")&amp;IF(LEN($P55)&gt;40,"Gift Message Line 2 exceeds 40 characters. ","")&amp;IF(LEN($Q55)&gt;40,"Gift Message Line 3 exceeds 40 characters. ","")&amp;IF(LEN($R55)&gt;40,"Gift Message Line 4 exceeds 40 characters. ","")&amp;IF(LEN($S55)&gt;40,"Gift Message Line 5 exceeds 40 characters. ","")&amp;IF(LEN($T55)&gt;40,"Gift Message Line 6 exceeds 40 characters. ","")&amp;IF(LEN($U55)&gt;40,"Gift Message Line 7 exceeds 40 characters. ",""))</f>
        <v/>
      </c>
      <c r="Y55" s="44" t="str">
        <f t="shared" si="1"/>
        <v/>
      </c>
      <c r="Z55" s="44"/>
      <c r="AA55" s="44"/>
      <c r="AB55" s="32" t="str">
        <f t="shared" si="2"/>
        <v/>
      </c>
      <c r="AC55" s="32" t="str">
        <f>IF($A55="","",IFERROR(LEFT(INDEX('PRODUCT DATA'!$NO$2:$NO$25,MATCH($A55,'PRODUCT DATA'!$NP$2:$NP$25,0)),FIND("|",INDEX('PRODUCT DATA'!$NO$2:$NO$25,MATCH($A55,'PRODUCT DATA'!$NP$2:$NP$25,0)))-1),$A55))</f>
        <v/>
      </c>
      <c r="AD55" s="45"/>
      <c r="AE55" s="45" t="str">
        <f t="shared" si="3"/>
        <v/>
      </c>
    </row>
    <row r="56" spans="1:31" ht="15" customHeight="1" x14ac:dyDescent="0.25">
      <c r="A56" s="40"/>
      <c r="B56" s="43" t="str">
        <f>IF($A56="","",IFERROR(VLOOKUP($AC56,'PRODUCT DATA'!$NR$2:$NS$374,2,FALSE()),"UNKNOWN ITEM CODE - please check"))</f>
        <v/>
      </c>
      <c r="C56" s="39">
        <v>1</v>
      </c>
      <c r="D56" s="39"/>
      <c r="E56" s="40"/>
      <c r="F56" s="41"/>
      <c r="G56" s="39"/>
      <c r="H56" s="41"/>
      <c r="I56" s="41"/>
      <c r="J56" s="39"/>
      <c r="K56" s="41"/>
      <c r="L56" s="40"/>
      <c r="M56" s="40"/>
      <c r="N56" s="42" t="str">
        <f>IF($M56="","",IFERROR(INDEX('PRODUCT DATA'!$B$2:$B$58,MATCH(IF(UPPER($M56)="UK","GB",$M56),'PRODUCT DATA'!$B$2:$B$58,0)),IFERROR(INDEX('PRODUCT DATA'!$B$2:$B$58,MATCH(IF(UPPER($M56)="UK","GB",$M56),'PRODUCT DATA'!$A$2:$A$58,0)),"UNKNOWN COUNTRY - please check")))</f>
        <v/>
      </c>
      <c r="O56" s="41"/>
      <c r="P56" s="41"/>
      <c r="Q56" s="41"/>
      <c r="R56" s="41"/>
      <c r="S56" s="41"/>
      <c r="T56" s="41"/>
      <c r="U56" s="41"/>
      <c r="V56" s="43" t="str">
        <f t="shared" si="0"/>
        <v/>
      </c>
      <c r="W56" s="44" t="str">
        <f ca="1">IF(COUNTA($A56,$D56:$M56,$O56:$U56)=0,"",IF($A56="","Item Code; ","")&amp;IF(AND($A56&lt;&gt;"",ISNA(MATCH($AC56,'PRODUCT DATA'!$D$2:$D$394,0))),"Item Code; ","")&amp;IF($M56="","Country; ","")&amp;IF(AND($M56&lt;&gt;"",NOT(OR(NOT(ISNA(MATCH(IF(UPPER($M56)="UK","GB",$M56),'PRODUCT DATA'!$A$2:$A$58,0))),NOT(ISNA(MATCH(IF(UPPER($M56)="UK","GB",$M56),'PRODUCT DATA'!$B$2:$B$58,0)))))),"Country; ","")&amp;IF(AND($A56&lt;&gt;"",$M56&lt;&gt;"",NOT(ISNA(MATCH($AC56,'PRODUCT DATA'!$D$2:$D$394,0))),OR(NOT(ISNA(MATCH(IF(UPPER($M56)="UK","GB",$M56),'PRODUCT DATA'!$A$2:$A$58,0))),NOT(ISNA(MATCH(IF(UPPER($M56)="UK","GB",$M56),'PRODUCT DATA'!$B$2:$B$58,0)))),NOT(IFERROR(COUNTIF(OFFSET('PRODUCT DATA'!$F$2,0,MATCH($AC56,'PRODUCT DATA'!$F$1:$NN$1,0)-1,114,1),$N56)&gt;0,FALSE()))),IF(UPPER(IFERROR(OFFSET('PRODUCT DATA'!$C$2,MATCH($N56,'PRODUCT DATA'!$B$2:$B$58,0)-1,0),""))="NO","Alcohol Restriction; ","Item Code / Country combination; "),"")&amp;IF($C56="","Quantity; ","")&amp;IF(AND($C56&lt;&gt;"",OR(NOT(ISNUMBER($C56)),$C56&lt;1,$C56&gt;999,MOD($C56,1)&lt;&gt;0)),"Quantity; ","")&amp;IF($D56="","Recipient Name; ","")&amp;IF(LEN($D56)&gt;35,"Recipient Name; ","")&amp;IF($E56="","Recipient Phone; ","")&amp;IF(AND($E56&lt;&gt;"",OR(LEN($E56)&lt;6,LEN($E56)&gt;20,NOT(IFERROR(ISNUMBER(1*$E56),FALSE())))),"Recipient Phone; ","")&amp;IF(LEN($F56)&gt;35,"Recipient Company Name; ","")&amp;IF($G56="","Address Line 1; ","")&amp;IF(LEN($G56)&gt;35,"Address Line 1; ","")&amp;IF(LEN($H56)&gt;35,"Address Line 2; ","")&amp;IF(LEN($I56)&gt;35,"Address Line 3; ","")&amp;IF($J56="","Town; ","")&amp;IF(LEN($J56)&gt;35,"Town; ","")&amp;IF(AND($N56="IE",$K56=""),"County; ","")&amp;IF(LEN($AB56)&gt;35,"County; ","")&amp;IF(AND($L56="",AND($N56&lt;&gt;"AE",$N56&lt;&gt;"QA")),"Postcode; ","")&amp;IF(LEN($L56)&gt;35,"Postcode; ","")&amp;IF($AE56&lt;&gt;"","Postcode; ","")&amp;IF(LEN($O56)&gt;40,"Gift Message 1; ","")&amp;IF(LEN($P56)&gt;40,"Gift Message 2; ","")&amp;IF(LEN($Q56)&gt;40,"Gift Message 3; ","")&amp;IF(LEN($R56)&gt;40,"Gift Message 4; ","")&amp;IF(LEN($S56)&gt;40,"Gift Message 5; ","")&amp;IF(LEN($T56)&gt;40,"Gift Message 6; ","")&amp;IF(LEN($U56)&gt;40,"Gift Message 7; ",""))</f>
        <v/>
      </c>
      <c r="X56" s="44" t="str">
        <f ca="1">IF(COUNTA($A56,$D56:$M56,$O56:$U56)=0,"",IF($A56="","Enter the Item Code (hamper) - type it, paste it, or choose it from the dropdown. ","")&amp;IF(AND($A56&lt;&gt;"",ISNA(MATCH($AC56,'PRODUCT DATA'!$D$2:$D$394,0))),"This Item Code is not recognised. Check the code (case does not matter, but spelling and digits must match exactly) or choose it from the dropdown. ","")&amp;IF($M56="","Enter the Country after the Item Code - type or paste the name or the 2-letter code, or choose it from the dropdown. ","")&amp;IF(AND($M56&lt;&gt;"",NOT(OR(NOT(ISNA(MATCH(IF(UPPER($M56)="UK","GB",$M56),'PRODUCT DATA'!$A$2:$A$58,0))),NOT(ISNA(MATCH(IF(UPPER($M56)="UK","GB",$M56),'PRODUCT DATA'!$B$2:$B$58,0)))))),"This Country is not recognised as either a full name or a 2-letter code. Check the spelling (case does not matter) or choose it from the dropdown. ","")&amp;IF(AND($A56&lt;&gt;"",$M56&lt;&gt;"",NOT(ISNA(MATCH($AC56,'PRODUCT DATA'!$D$2:$D$394,0))),OR(NOT(ISNA(MATCH(IF(UPPER($M56)="UK","GB",$M56),'PRODUCT DATA'!$A$2:$A$58,0))),NOT(ISNA(MATCH(IF(UPPER($M56)="UK","GB",$M56),'PRODUCT DATA'!$B$2:$B$58,0)))),NOT(IFERROR(COUNTIF(OFFSET('PRODUCT DATA'!$F$2,0,MATCH($AC56,'PRODUCT DATA'!$F$1:$NN$1,0)-1,114,1),$N56)&gt;0,FALSE()))),IF(UPPER(IFERROR(OFFSET('PRODUCT DATA'!$C$2,MATCH($N56,'PRODUCT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"),"")&amp;IF($C56="","Enter Quantity. ","")&amp;IF(AND($C56&lt;&gt;"",OR(NOT(ISNUMBER($C56)),$C56&lt;1,$C56&gt;999,MOD($C56,1)&lt;&gt;0)),"Quantity must be a whole number from 1 to 999 (use a quantity above 1 only for a genuine bulk order of identical items to ONE address — otherwise use a separate row per recipient). ","")&amp;IF($D56="","Enter Recipient Name. ","")&amp;IF(LEN($D56)&gt;35,"Recipient Name exceeds 35 characters. ","")&amp;IF($E56="","Enter Recipient Phone. ","")&amp;IF(AND($E56&lt;&gt;"",OR(LEN($E56)&lt;6,LEN($E56)&gt;20,NOT(IFERROR(ISNUMBER(1*$E56),FALSE())))),"Phone must be the LOCAL number for the destination country: digits only, no +, spaces, or country code, 6 to 20 digits. ","")&amp;IF(LEN($F56)&gt;35,"Recipient Company Name exceeds 35 characters. ","")&amp;IF($G56="","Enter Address Line 1. ","")&amp;IF(LEN($G56)&gt;35,"Address Line 1 exceeds the 35-character SAP limit. ","")&amp;IF(LEN($H56)&gt;35,"Address Line 2 exceeds the 35-character SAP limit. ","")&amp;IF(LEN($I56)&gt;35,"Address Line 3 exceeds the 35-character SAP limit. ","")&amp;IF($J56="","Enter Town. This must never be left blank, even if there is no conventional town name. ","")&amp;IF(LEN($J56)&gt;35,"Town exceeds 35 characters. ","")&amp;IF(AND($N56="IE",$K56=""),"County is required for deliveries within the Republic of Ireland. ","")&amp;IF(LEN($AB56)&gt;35,"County exceeds 35 characters. ","")&amp;IF(AND($L56="",AND($N56&lt;&gt;"AE",$N56&lt;&gt;"QA")),"Postcode is required for the selected country. If there is genuinely no postcode, enter the first 3 characters of the area (e.g. D15). ","")&amp;IF(LEN($L56)&gt;35,"Postcode exceeds 35 characters. ","")&amp;IF($AE56&lt;&gt;"",$AE56,"")&amp;IF(LEN($O56)&gt;40,"Gift Message Line 1 exceeds 40 characters. ","")&amp;IF(LEN($P56)&gt;40,"Gift Message Line 2 exceeds 40 characters. ","")&amp;IF(LEN($Q56)&gt;40,"Gift Message Line 3 exceeds 40 characters. ","")&amp;IF(LEN($R56)&gt;40,"Gift Message Line 4 exceeds 40 characters. ","")&amp;IF(LEN($S56)&gt;40,"Gift Message Line 5 exceeds 40 characters. ","")&amp;IF(LEN($T56)&gt;40,"Gift Message Line 6 exceeds 40 characters. ","")&amp;IF(LEN($U56)&gt;40,"Gift Message Line 7 exceeds 40 characters. ",""))</f>
        <v/>
      </c>
      <c r="Y56" s="44" t="str">
        <f t="shared" si="1"/>
        <v/>
      </c>
      <c r="Z56" s="44"/>
      <c r="AA56" s="44"/>
      <c r="AB56" s="32" t="str">
        <f t="shared" si="2"/>
        <v/>
      </c>
      <c r="AC56" s="32" t="str">
        <f>IF($A56="","",IFERROR(LEFT(INDEX('PRODUCT DATA'!$NO$2:$NO$25,MATCH($A56,'PRODUCT DATA'!$NP$2:$NP$25,0)),FIND("|",INDEX('PRODUCT DATA'!$NO$2:$NO$25,MATCH($A56,'PRODUCT DATA'!$NP$2:$NP$25,0)))-1),$A56))</f>
        <v/>
      </c>
      <c r="AD56" s="45"/>
      <c r="AE56" s="45" t="str">
        <f t="shared" si="3"/>
        <v/>
      </c>
    </row>
    <row r="57" spans="1:31" ht="15" customHeight="1" x14ac:dyDescent="0.25">
      <c r="A57" s="40"/>
      <c r="B57" s="43" t="str">
        <f>IF($A57="","",IFERROR(VLOOKUP($AC57,'PRODUCT DATA'!$NR$2:$NS$374,2,FALSE()),"UNKNOWN ITEM CODE - please check"))</f>
        <v/>
      </c>
      <c r="C57" s="39">
        <v>1</v>
      </c>
      <c r="D57" s="39"/>
      <c r="E57" s="40"/>
      <c r="F57" s="41"/>
      <c r="G57" s="39"/>
      <c r="H57" s="41"/>
      <c r="I57" s="41"/>
      <c r="J57" s="39"/>
      <c r="K57" s="41"/>
      <c r="L57" s="40"/>
      <c r="M57" s="40"/>
      <c r="N57" s="42" t="str">
        <f>IF($M57="","",IFERROR(INDEX('PRODUCT DATA'!$B$2:$B$58,MATCH(IF(UPPER($M57)="UK","GB",$M57),'PRODUCT DATA'!$B$2:$B$58,0)),IFERROR(INDEX('PRODUCT DATA'!$B$2:$B$58,MATCH(IF(UPPER($M57)="UK","GB",$M57),'PRODUCT DATA'!$A$2:$A$58,0)),"UNKNOWN COUNTRY - please check")))</f>
        <v/>
      </c>
      <c r="O57" s="41"/>
      <c r="P57" s="41"/>
      <c r="Q57" s="41"/>
      <c r="R57" s="41"/>
      <c r="S57" s="41"/>
      <c r="T57" s="41"/>
      <c r="U57" s="41"/>
      <c r="V57" s="43" t="str">
        <f t="shared" si="0"/>
        <v/>
      </c>
      <c r="W57" s="44" t="str">
        <f ca="1">IF(COUNTA($A57,$D57:$M57,$O57:$U57)=0,"",IF($A57="","Item Code; ","")&amp;IF(AND($A57&lt;&gt;"",ISNA(MATCH($AC57,'PRODUCT DATA'!$D$2:$D$394,0))),"Item Code; ","")&amp;IF($M57="","Country; ","")&amp;IF(AND($M57&lt;&gt;"",NOT(OR(NOT(ISNA(MATCH(IF(UPPER($M57)="UK","GB",$M57),'PRODUCT DATA'!$A$2:$A$58,0))),NOT(ISNA(MATCH(IF(UPPER($M57)="UK","GB",$M57),'PRODUCT DATA'!$B$2:$B$58,0)))))),"Country; ","")&amp;IF(AND($A57&lt;&gt;"",$M57&lt;&gt;"",NOT(ISNA(MATCH($AC57,'PRODUCT DATA'!$D$2:$D$394,0))),OR(NOT(ISNA(MATCH(IF(UPPER($M57)="UK","GB",$M57),'PRODUCT DATA'!$A$2:$A$58,0))),NOT(ISNA(MATCH(IF(UPPER($M57)="UK","GB",$M57),'PRODUCT DATA'!$B$2:$B$58,0)))),NOT(IFERROR(COUNTIF(OFFSET('PRODUCT DATA'!$F$2,0,MATCH($AC57,'PRODUCT DATA'!$F$1:$NN$1,0)-1,114,1),$N57)&gt;0,FALSE()))),IF(UPPER(IFERROR(OFFSET('PRODUCT DATA'!$C$2,MATCH($N57,'PRODUCT DATA'!$B$2:$B$58,0)-1,0),""))="NO","Alcohol Restriction; ","Item Code / Country combination; "),"")&amp;IF($C57="","Quantity; ","")&amp;IF(AND($C57&lt;&gt;"",OR(NOT(ISNUMBER($C57)),$C57&lt;1,$C57&gt;999,MOD($C57,1)&lt;&gt;0)),"Quantity; ","")&amp;IF($D57="","Recipient Name; ","")&amp;IF(LEN($D57)&gt;35,"Recipient Name; ","")&amp;IF($E57="","Recipient Phone; ","")&amp;IF(AND($E57&lt;&gt;"",OR(LEN($E57)&lt;6,LEN($E57)&gt;20,NOT(IFERROR(ISNUMBER(1*$E57),FALSE())))),"Recipient Phone; ","")&amp;IF(LEN($F57)&gt;35,"Recipient Company Name; ","")&amp;IF($G57="","Address Line 1; ","")&amp;IF(LEN($G57)&gt;35,"Address Line 1; ","")&amp;IF(LEN($H57)&gt;35,"Address Line 2; ","")&amp;IF(LEN($I57)&gt;35,"Address Line 3; ","")&amp;IF($J57="","Town; ","")&amp;IF(LEN($J57)&gt;35,"Town; ","")&amp;IF(AND($N57="IE",$K57=""),"County; ","")&amp;IF(LEN($AB57)&gt;35,"County; ","")&amp;IF(AND($L57="",AND($N57&lt;&gt;"AE",$N57&lt;&gt;"QA")),"Postcode; ","")&amp;IF(LEN($L57)&gt;35,"Postcode; ","")&amp;IF($AE57&lt;&gt;"","Postcode; ","")&amp;IF(LEN($O57)&gt;40,"Gift Message 1; ","")&amp;IF(LEN($P57)&gt;40,"Gift Message 2; ","")&amp;IF(LEN($Q57)&gt;40,"Gift Message 3; ","")&amp;IF(LEN($R57)&gt;40,"Gift Message 4; ","")&amp;IF(LEN($S57)&gt;40,"Gift Message 5; ","")&amp;IF(LEN($T57)&gt;40,"Gift Message 6; ","")&amp;IF(LEN($U57)&gt;40,"Gift Message 7; ",""))</f>
        <v/>
      </c>
      <c r="X57" s="44" t="str">
        <f ca="1">IF(COUNTA($A57,$D57:$M57,$O57:$U57)=0,"",IF($A57="","Enter the Item Code (hamper) - type it, paste it, or choose it from the dropdown. ","")&amp;IF(AND($A57&lt;&gt;"",ISNA(MATCH($AC57,'PRODUCT DATA'!$D$2:$D$394,0))),"This Item Code is not recognised. Check the code (case does not matter, but spelling and digits must match exactly) or choose it from the dropdown. ","")&amp;IF($M57="","Enter the Country after the Item Code - type or paste the name or the 2-letter code, or choose it from the dropdown. ","")&amp;IF(AND($M57&lt;&gt;"",NOT(OR(NOT(ISNA(MATCH(IF(UPPER($M57)="UK","GB",$M57),'PRODUCT DATA'!$A$2:$A$58,0))),NOT(ISNA(MATCH(IF(UPPER($M57)="UK","GB",$M57),'PRODUCT DATA'!$B$2:$B$58,0)))))),"This Country is not recognised as either a full name or a 2-letter code. Check the spelling (case does not matter) or choose it from the dropdown. ","")&amp;IF(AND($A57&lt;&gt;"",$M57&lt;&gt;"",NOT(ISNA(MATCH($AC57,'PRODUCT DATA'!$D$2:$D$394,0))),OR(NOT(ISNA(MATCH(IF(UPPER($M57)="UK","GB",$M57),'PRODUCT DATA'!$A$2:$A$58,0))),NOT(ISNA(MATCH(IF(UPPER($M57)="UK","GB",$M57),'PRODUCT DATA'!$B$2:$B$58,0)))),NOT(IFERROR(COUNTIF(OFFSET('PRODUCT DATA'!$F$2,0,MATCH($AC57,'PRODUCT DATA'!$F$1:$NN$1,0)-1,114,1),$N57)&gt;0,FALSE()))),IF(UPPER(IFERROR(OFFSET('PRODUCT DATA'!$C$2,MATCH($N57,'PRODUCT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"),"")&amp;IF($C57="","Enter Quantity. ","")&amp;IF(AND($C57&lt;&gt;"",OR(NOT(ISNUMBER($C57)),$C57&lt;1,$C57&gt;999,MOD($C57,1)&lt;&gt;0)),"Quantity must be a whole number from 1 to 999 (use a quantity above 1 only for a genuine bulk order of identical items to ONE address — otherwise use a separate row per recipient). ","")&amp;IF($D57="","Enter Recipient Name. ","")&amp;IF(LEN($D57)&gt;35,"Recipient Name exceeds 35 characters. ","")&amp;IF($E57="","Enter Recipient Phone. ","")&amp;IF(AND($E57&lt;&gt;"",OR(LEN($E57)&lt;6,LEN($E57)&gt;20,NOT(IFERROR(ISNUMBER(1*$E57),FALSE())))),"Phone must be the LOCAL number for the destination country: digits only, no +, spaces, or country code, 6 to 20 digits. ","")&amp;IF(LEN($F57)&gt;35,"Recipient Company Name exceeds 35 characters. ","")&amp;IF($G57="","Enter Address Line 1. ","")&amp;IF(LEN($G57)&gt;35,"Address Line 1 exceeds the 35-character SAP limit. ","")&amp;IF(LEN($H57)&gt;35,"Address Line 2 exceeds the 35-character SAP limit. ","")&amp;IF(LEN($I57)&gt;35,"Address Line 3 exceeds the 35-character SAP limit. ","")&amp;IF($J57="","Enter Town. This must never be left blank, even if there is no conventional town name. ","")&amp;IF(LEN($J57)&gt;35,"Town exceeds 35 characters. ","")&amp;IF(AND($N57="IE",$K57=""),"County is required for deliveries within the Republic of Ireland. ","")&amp;IF(LEN($AB57)&gt;35,"County exceeds 35 characters. ","")&amp;IF(AND($L57="",AND($N57&lt;&gt;"AE",$N57&lt;&gt;"QA")),"Postcode is required for the selected country. If there is genuinely no postcode, enter the first 3 characters of the area (e.g. D15). ","")&amp;IF(LEN($L57)&gt;35,"Postcode exceeds 35 characters. ","")&amp;IF($AE57&lt;&gt;"",$AE57,"")&amp;IF(LEN($O57)&gt;40,"Gift Message Line 1 exceeds 40 characters. ","")&amp;IF(LEN($P57)&gt;40,"Gift Message Line 2 exceeds 40 characters. ","")&amp;IF(LEN($Q57)&gt;40,"Gift Message Line 3 exceeds 40 characters. ","")&amp;IF(LEN($R57)&gt;40,"Gift Message Line 4 exceeds 40 characters. ","")&amp;IF(LEN($S57)&gt;40,"Gift Message Line 5 exceeds 40 characters. ","")&amp;IF(LEN($T57)&gt;40,"Gift Message Line 6 exceeds 40 characters. ","")&amp;IF(LEN($U57)&gt;40,"Gift Message Line 7 exceeds 40 characters. ",""))</f>
        <v/>
      </c>
      <c r="Y57" s="44" t="str">
        <f t="shared" si="1"/>
        <v/>
      </c>
      <c r="Z57" s="44"/>
      <c r="AA57" s="44"/>
      <c r="AB57" s="32" t="str">
        <f t="shared" si="2"/>
        <v/>
      </c>
      <c r="AC57" s="32" t="str">
        <f>IF($A57="","",IFERROR(LEFT(INDEX('PRODUCT DATA'!$NO$2:$NO$25,MATCH($A57,'PRODUCT DATA'!$NP$2:$NP$25,0)),FIND("|",INDEX('PRODUCT DATA'!$NO$2:$NO$25,MATCH($A57,'PRODUCT DATA'!$NP$2:$NP$25,0)))-1),$A57))</f>
        <v/>
      </c>
      <c r="AD57" s="45"/>
      <c r="AE57" s="45" t="str">
        <f t="shared" si="3"/>
        <v/>
      </c>
    </row>
    <row r="58" spans="1:31" ht="15" customHeight="1" x14ac:dyDescent="0.25">
      <c r="A58" s="40"/>
      <c r="B58" s="43" t="str">
        <f>IF($A58="","",IFERROR(VLOOKUP($AC58,'PRODUCT DATA'!$NR$2:$NS$374,2,FALSE()),"UNKNOWN ITEM CODE - please check"))</f>
        <v/>
      </c>
      <c r="C58" s="39">
        <v>1</v>
      </c>
      <c r="D58" s="39"/>
      <c r="E58" s="40"/>
      <c r="F58" s="41"/>
      <c r="G58" s="39"/>
      <c r="H58" s="41"/>
      <c r="I58" s="41"/>
      <c r="J58" s="39"/>
      <c r="K58" s="41"/>
      <c r="L58" s="40"/>
      <c r="M58" s="40"/>
      <c r="N58" s="42" t="str">
        <f>IF($M58="","",IFERROR(INDEX('PRODUCT DATA'!$B$2:$B$58,MATCH(IF(UPPER($M58)="UK","GB",$M58),'PRODUCT DATA'!$B$2:$B$58,0)),IFERROR(INDEX('PRODUCT DATA'!$B$2:$B$58,MATCH(IF(UPPER($M58)="UK","GB",$M58),'PRODUCT DATA'!$A$2:$A$58,0)),"UNKNOWN COUNTRY - please check")))</f>
        <v/>
      </c>
      <c r="O58" s="41"/>
      <c r="P58" s="41"/>
      <c r="Q58" s="41"/>
      <c r="R58" s="41"/>
      <c r="S58" s="41"/>
      <c r="T58" s="41"/>
      <c r="U58" s="41"/>
      <c r="V58" s="43" t="str">
        <f t="shared" si="0"/>
        <v/>
      </c>
      <c r="W58" s="44" t="str">
        <f ca="1">IF(COUNTA($A58,$D58:$M58,$O58:$U58)=0,"",IF($A58="","Item Code; ","")&amp;IF(AND($A58&lt;&gt;"",ISNA(MATCH($AC58,'PRODUCT DATA'!$D$2:$D$394,0))),"Item Code; ","")&amp;IF($M58="","Country; ","")&amp;IF(AND($M58&lt;&gt;"",NOT(OR(NOT(ISNA(MATCH(IF(UPPER($M58)="UK","GB",$M58),'PRODUCT DATA'!$A$2:$A$58,0))),NOT(ISNA(MATCH(IF(UPPER($M58)="UK","GB",$M58),'PRODUCT DATA'!$B$2:$B$58,0)))))),"Country; ","")&amp;IF(AND($A58&lt;&gt;"",$M58&lt;&gt;"",NOT(ISNA(MATCH($AC58,'PRODUCT DATA'!$D$2:$D$394,0))),OR(NOT(ISNA(MATCH(IF(UPPER($M58)="UK","GB",$M58),'PRODUCT DATA'!$A$2:$A$58,0))),NOT(ISNA(MATCH(IF(UPPER($M58)="UK","GB",$M58),'PRODUCT DATA'!$B$2:$B$58,0)))),NOT(IFERROR(COUNTIF(OFFSET('PRODUCT DATA'!$F$2,0,MATCH($AC58,'PRODUCT DATA'!$F$1:$NN$1,0)-1,114,1),$N58)&gt;0,FALSE()))),IF(UPPER(IFERROR(OFFSET('PRODUCT DATA'!$C$2,MATCH($N58,'PRODUCT DATA'!$B$2:$B$58,0)-1,0),""))="NO","Alcohol Restriction; ","Item Code / Country combination; "),"")&amp;IF($C58="","Quantity; ","")&amp;IF(AND($C58&lt;&gt;"",OR(NOT(ISNUMBER($C58)),$C58&lt;1,$C58&gt;999,MOD($C58,1)&lt;&gt;0)),"Quantity; ","")&amp;IF($D58="","Recipient Name; ","")&amp;IF(LEN($D58)&gt;35,"Recipient Name; ","")&amp;IF($E58="","Recipient Phone; ","")&amp;IF(AND($E58&lt;&gt;"",OR(LEN($E58)&lt;6,LEN($E58)&gt;20,NOT(IFERROR(ISNUMBER(1*$E58),FALSE())))),"Recipient Phone; ","")&amp;IF(LEN($F58)&gt;35,"Recipient Company Name; ","")&amp;IF($G58="","Address Line 1; ","")&amp;IF(LEN($G58)&gt;35,"Address Line 1; ","")&amp;IF(LEN($H58)&gt;35,"Address Line 2; ","")&amp;IF(LEN($I58)&gt;35,"Address Line 3; ","")&amp;IF($J58="","Town; ","")&amp;IF(LEN($J58)&gt;35,"Town; ","")&amp;IF(AND($N58="IE",$K58=""),"County; ","")&amp;IF(LEN($AB58)&gt;35,"County; ","")&amp;IF(AND($L58="",AND($N58&lt;&gt;"AE",$N58&lt;&gt;"QA")),"Postcode; ","")&amp;IF(LEN($L58)&gt;35,"Postcode; ","")&amp;IF($AE58&lt;&gt;"","Postcode; ","")&amp;IF(LEN($O58)&gt;40,"Gift Message 1; ","")&amp;IF(LEN($P58)&gt;40,"Gift Message 2; ","")&amp;IF(LEN($Q58)&gt;40,"Gift Message 3; ","")&amp;IF(LEN($R58)&gt;40,"Gift Message 4; ","")&amp;IF(LEN($S58)&gt;40,"Gift Message 5; ","")&amp;IF(LEN($T58)&gt;40,"Gift Message 6; ","")&amp;IF(LEN($U58)&gt;40,"Gift Message 7; ",""))</f>
        <v/>
      </c>
      <c r="X58" s="44" t="str">
        <f ca="1">IF(COUNTA($A58,$D58:$M58,$O58:$U58)=0,"",IF($A58="","Enter the Item Code (hamper) - type it, paste it, or choose it from the dropdown. ","")&amp;IF(AND($A58&lt;&gt;"",ISNA(MATCH($AC58,'PRODUCT DATA'!$D$2:$D$394,0))),"This Item Code is not recognised. Check the code (case does not matter, but spelling and digits must match exactly) or choose it from the dropdown. ","")&amp;IF($M58="","Enter the Country after the Item Code - type or paste the name or the 2-letter code, or choose it from the dropdown. ","")&amp;IF(AND($M58&lt;&gt;"",NOT(OR(NOT(ISNA(MATCH(IF(UPPER($M58)="UK","GB",$M58),'PRODUCT DATA'!$A$2:$A$58,0))),NOT(ISNA(MATCH(IF(UPPER($M58)="UK","GB",$M58),'PRODUCT DATA'!$B$2:$B$58,0)))))),"This Country is not recognised as either a full name or a 2-letter code. Check the spelling (case does not matter) or choose it from the dropdown. ","")&amp;IF(AND($A58&lt;&gt;"",$M58&lt;&gt;"",NOT(ISNA(MATCH($AC58,'PRODUCT DATA'!$D$2:$D$394,0))),OR(NOT(ISNA(MATCH(IF(UPPER($M58)="UK","GB",$M58),'PRODUCT DATA'!$A$2:$A$58,0))),NOT(ISNA(MATCH(IF(UPPER($M58)="UK","GB",$M58),'PRODUCT DATA'!$B$2:$B$58,0)))),NOT(IFERROR(COUNTIF(OFFSET('PRODUCT DATA'!$F$2,0,MATCH($AC58,'PRODUCT DATA'!$F$1:$NN$1,0)-1,114,1),$N58)&gt;0,FALSE()))),IF(UPPER(IFERROR(OFFSET('PRODUCT DATA'!$C$2,MATCH($N58,'PRODUCT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"),"")&amp;IF($C58="","Enter Quantity. ","")&amp;IF(AND($C58&lt;&gt;"",OR(NOT(ISNUMBER($C58)),$C58&lt;1,$C58&gt;999,MOD($C58,1)&lt;&gt;0)),"Quantity must be a whole number from 1 to 999 (use a quantity above 1 only for a genuine bulk order of identical items to ONE address — otherwise use a separate row per recipient). ","")&amp;IF($D58="","Enter Recipient Name. ","")&amp;IF(LEN($D58)&gt;35,"Recipient Name exceeds 35 characters. ","")&amp;IF($E58="","Enter Recipient Phone. ","")&amp;IF(AND($E58&lt;&gt;"",OR(LEN($E58)&lt;6,LEN($E58)&gt;20,NOT(IFERROR(ISNUMBER(1*$E58),FALSE())))),"Phone must be the LOCAL number for the destination country: digits only, no +, spaces, or country code, 6 to 20 digits. ","")&amp;IF(LEN($F58)&gt;35,"Recipient Company Name exceeds 35 characters. ","")&amp;IF($G58="","Enter Address Line 1. ","")&amp;IF(LEN($G58)&gt;35,"Address Line 1 exceeds the 35-character SAP limit. ","")&amp;IF(LEN($H58)&gt;35,"Address Line 2 exceeds the 35-character SAP limit. ","")&amp;IF(LEN($I58)&gt;35,"Address Line 3 exceeds the 35-character SAP limit. ","")&amp;IF($J58="","Enter Town. This must never be left blank, even if there is no conventional town name. ","")&amp;IF(LEN($J58)&gt;35,"Town exceeds 35 characters. ","")&amp;IF(AND($N58="IE",$K58=""),"County is required for deliveries within the Republic of Ireland. ","")&amp;IF(LEN($AB58)&gt;35,"County exceeds 35 characters. ","")&amp;IF(AND($L58="",AND($N58&lt;&gt;"AE",$N58&lt;&gt;"QA")),"Postcode is required for the selected country. If there is genuinely no postcode, enter the first 3 characters of the area (e.g. D15). ","")&amp;IF(LEN($L58)&gt;35,"Postcode exceeds 35 characters. ","")&amp;IF($AE58&lt;&gt;"",$AE58,"")&amp;IF(LEN($O58)&gt;40,"Gift Message Line 1 exceeds 40 characters. ","")&amp;IF(LEN($P58)&gt;40,"Gift Message Line 2 exceeds 40 characters. ","")&amp;IF(LEN($Q58)&gt;40,"Gift Message Line 3 exceeds 40 characters. ","")&amp;IF(LEN($R58)&gt;40,"Gift Message Line 4 exceeds 40 characters. ","")&amp;IF(LEN($S58)&gt;40,"Gift Message Line 5 exceeds 40 characters. ","")&amp;IF(LEN($T58)&gt;40,"Gift Message Line 6 exceeds 40 characters. ","")&amp;IF(LEN($U58)&gt;40,"Gift Message Line 7 exceeds 40 characters. ",""))</f>
        <v/>
      </c>
      <c r="Y58" s="44" t="str">
        <f t="shared" si="1"/>
        <v/>
      </c>
      <c r="Z58" s="44"/>
      <c r="AA58" s="44"/>
      <c r="AB58" s="32" t="str">
        <f t="shared" si="2"/>
        <v/>
      </c>
      <c r="AC58" s="32" t="str">
        <f>IF($A58="","",IFERROR(LEFT(INDEX('PRODUCT DATA'!$NO$2:$NO$25,MATCH($A58,'PRODUCT DATA'!$NP$2:$NP$25,0)),FIND("|",INDEX('PRODUCT DATA'!$NO$2:$NO$25,MATCH($A58,'PRODUCT DATA'!$NP$2:$NP$25,0)))-1),$A58))</f>
        <v/>
      </c>
      <c r="AD58" s="45"/>
      <c r="AE58" s="45" t="str">
        <f t="shared" si="3"/>
        <v/>
      </c>
    </row>
    <row r="59" spans="1:31" ht="15" customHeight="1" x14ac:dyDescent="0.25">
      <c r="A59" s="40"/>
      <c r="B59" s="43" t="str">
        <f>IF($A59="","",IFERROR(VLOOKUP($AC59,'PRODUCT DATA'!$NR$2:$NS$374,2,FALSE()),"UNKNOWN ITEM CODE - please check"))</f>
        <v/>
      </c>
      <c r="C59" s="39">
        <v>1</v>
      </c>
      <c r="D59" s="39"/>
      <c r="E59" s="40"/>
      <c r="F59" s="41"/>
      <c r="G59" s="39"/>
      <c r="H59" s="41"/>
      <c r="I59" s="41"/>
      <c r="J59" s="39"/>
      <c r="K59" s="41"/>
      <c r="L59" s="40"/>
      <c r="M59" s="40"/>
      <c r="N59" s="42" t="str">
        <f>IF($M59="","",IFERROR(INDEX('PRODUCT DATA'!$B$2:$B$58,MATCH(IF(UPPER($M59)="UK","GB",$M59),'PRODUCT DATA'!$B$2:$B$58,0)),IFERROR(INDEX('PRODUCT DATA'!$B$2:$B$58,MATCH(IF(UPPER($M59)="UK","GB",$M59),'PRODUCT DATA'!$A$2:$A$58,0)),"UNKNOWN COUNTRY - please check")))</f>
        <v/>
      </c>
      <c r="O59" s="41"/>
      <c r="P59" s="41"/>
      <c r="Q59" s="41"/>
      <c r="R59" s="41"/>
      <c r="S59" s="41"/>
      <c r="T59" s="41"/>
      <c r="U59" s="41"/>
      <c r="V59" s="43" t="str">
        <f t="shared" si="0"/>
        <v/>
      </c>
      <c r="W59" s="44" t="str">
        <f ca="1">IF(COUNTA($A59,$D59:$M59,$O59:$U59)=0,"",IF($A59="","Item Code; ","")&amp;IF(AND($A59&lt;&gt;"",ISNA(MATCH($AC59,'PRODUCT DATA'!$D$2:$D$394,0))),"Item Code; ","")&amp;IF($M59="","Country; ","")&amp;IF(AND($M59&lt;&gt;"",NOT(OR(NOT(ISNA(MATCH(IF(UPPER($M59)="UK","GB",$M59),'PRODUCT DATA'!$A$2:$A$58,0))),NOT(ISNA(MATCH(IF(UPPER($M59)="UK","GB",$M59),'PRODUCT DATA'!$B$2:$B$58,0)))))),"Country; ","")&amp;IF(AND($A59&lt;&gt;"",$M59&lt;&gt;"",NOT(ISNA(MATCH($AC59,'PRODUCT DATA'!$D$2:$D$394,0))),OR(NOT(ISNA(MATCH(IF(UPPER($M59)="UK","GB",$M59),'PRODUCT DATA'!$A$2:$A$58,0))),NOT(ISNA(MATCH(IF(UPPER($M59)="UK","GB",$M59),'PRODUCT DATA'!$B$2:$B$58,0)))),NOT(IFERROR(COUNTIF(OFFSET('PRODUCT DATA'!$F$2,0,MATCH($AC59,'PRODUCT DATA'!$F$1:$NN$1,0)-1,114,1),$N59)&gt;0,FALSE()))),IF(UPPER(IFERROR(OFFSET('PRODUCT DATA'!$C$2,MATCH($N59,'PRODUCT DATA'!$B$2:$B$58,0)-1,0),""))="NO","Alcohol Restriction; ","Item Code / Country combination; "),"")&amp;IF($C59="","Quantity; ","")&amp;IF(AND($C59&lt;&gt;"",OR(NOT(ISNUMBER($C59)),$C59&lt;1,$C59&gt;999,MOD($C59,1)&lt;&gt;0)),"Quantity; ","")&amp;IF($D59="","Recipient Name; ","")&amp;IF(LEN($D59)&gt;35,"Recipient Name; ","")&amp;IF($E59="","Recipient Phone; ","")&amp;IF(AND($E59&lt;&gt;"",OR(LEN($E59)&lt;6,LEN($E59)&gt;20,NOT(IFERROR(ISNUMBER(1*$E59),FALSE())))),"Recipient Phone; ","")&amp;IF(LEN($F59)&gt;35,"Recipient Company Name; ","")&amp;IF($G59="","Address Line 1; ","")&amp;IF(LEN($G59)&gt;35,"Address Line 1; ","")&amp;IF(LEN($H59)&gt;35,"Address Line 2; ","")&amp;IF(LEN($I59)&gt;35,"Address Line 3; ","")&amp;IF($J59="","Town; ","")&amp;IF(LEN($J59)&gt;35,"Town; ","")&amp;IF(AND($N59="IE",$K59=""),"County; ","")&amp;IF(LEN($AB59)&gt;35,"County; ","")&amp;IF(AND($L59="",AND($N59&lt;&gt;"AE",$N59&lt;&gt;"QA")),"Postcode; ","")&amp;IF(LEN($L59)&gt;35,"Postcode; ","")&amp;IF($AE59&lt;&gt;"","Postcode; ","")&amp;IF(LEN($O59)&gt;40,"Gift Message 1; ","")&amp;IF(LEN($P59)&gt;40,"Gift Message 2; ","")&amp;IF(LEN($Q59)&gt;40,"Gift Message 3; ","")&amp;IF(LEN($R59)&gt;40,"Gift Message 4; ","")&amp;IF(LEN($S59)&gt;40,"Gift Message 5; ","")&amp;IF(LEN($T59)&gt;40,"Gift Message 6; ","")&amp;IF(LEN($U59)&gt;40,"Gift Message 7; ",""))</f>
        <v/>
      </c>
      <c r="X59" s="44" t="str">
        <f ca="1">IF(COUNTA($A59,$D59:$M59,$O59:$U59)=0,"",IF($A59="","Enter the Item Code (hamper) - type it, paste it, or choose it from the dropdown. ","")&amp;IF(AND($A59&lt;&gt;"",ISNA(MATCH($AC59,'PRODUCT DATA'!$D$2:$D$394,0))),"This Item Code is not recognised. Check the code (case does not matter, but spelling and digits must match exactly) or choose it from the dropdown. ","")&amp;IF($M59="","Enter the Country after the Item Code - type or paste the name or the 2-letter code, or choose it from the dropdown. ","")&amp;IF(AND($M59&lt;&gt;"",NOT(OR(NOT(ISNA(MATCH(IF(UPPER($M59)="UK","GB",$M59),'PRODUCT DATA'!$A$2:$A$58,0))),NOT(ISNA(MATCH(IF(UPPER($M59)="UK","GB",$M59),'PRODUCT DATA'!$B$2:$B$58,0)))))),"This Country is not recognised as either a full name or a 2-letter code. Check the spelling (case does not matter) or choose it from the dropdown. ","")&amp;IF(AND($A59&lt;&gt;"",$M59&lt;&gt;"",NOT(ISNA(MATCH($AC59,'PRODUCT DATA'!$D$2:$D$394,0))),OR(NOT(ISNA(MATCH(IF(UPPER($M59)="UK","GB",$M59),'PRODUCT DATA'!$A$2:$A$58,0))),NOT(ISNA(MATCH(IF(UPPER($M59)="UK","GB",$M59),'PRODUCT DATA'!$B$2:$B$58,0)))),NOT(IFERROR(COUNTIF(OFFSET('PRODUCT DATA'!$F$2,0,MATCH($AC59,'PRODUCT DATA'!$F$1:$NN$1,0)-1,114,1),$N59)&gt;0,FALSE()))),IF(UPPER(IFERROR(OFFSET('PRODUCT DATA'!$C$2,MATCH($N59,'PRODUCT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"),"")&amp;IF($C59="","Enter Quantity. ","")&amp;IF(AND($C59&lt;&gt;"",OR(NOT(ISNUMBER($C59)),$C59&lt;1,$C59&gt;999,MOD($C59,1)&lt;&gt;0)),"Quantity must be a whole number from 1 to 999 (use a quantity above 1 only for a genuine bulk order of identical items to ONE address — otherwise use a separate row per recipient). ","")&amp;IF($D59="","Enter Recipient Name. ","")&amp;IF(LEN($D59)&gt;35,"Recipient Name exceeds 35 characters. ","")&amp;IF($E59="","Enter Recipient Phone. ","")&amp;IF(AND($E59&lt;&gt;"",OR(LEN($E59)&lt;6,LEN($E59)&gt;20,NOT(IFERROR(ISNUMBER(1*$E59),FALSE())))),"Phone must be the LOCAL number for the destination country: digits only, no +, spaces, or country code, 6 to 20 digits. ","")&amp;IF(LEN($F59)&gt;35,"Recipient Company Name exceeds 35 characters. ","")&amp;IF($G59="","Enter Address Line 1. ","")&amp;IF(LEN($G59)&gt;35,"Address Line 1 exceeds the 35-character SAP limit. ","")&amp;IF(LEN($H59)&gt;35,"Address Line 2 exceeds the 35-character SAP limit. ","")&amp;IF(LEN($I59)&gt;35,"Address Line 3 exceeds the 35-character SAP limit. ","")&amp;IF($J59="","Enter Town. This must never be left blank, even if there is no conventional town name. ","")&amp;IF(LEN($J59)&gt;35,"Town exceeds 35 characters. ","")&amp;IF(AND($N59="IE",$K59=""),"County is required for deliveries within the Republic of Ireland. ","")&amp;IF(LEN($AB59)&gt;35,"County exceeds 35 characters. ","")&amp;IF(AND($L59="",AND($N59&lt;&gt;"AE",$N59&lt;&gt;"QA")),"Postcode is required for the selected country. If there is genuinely no postcode, enter the first 3 characters of the area (e.g. D15). ","")&amp;IF(LEN($L59)&gt;35,"Postcode exceeds 35 characters. ","")&amp;IF($AE59&lt;&gt;"",$AE59,"")&amp;IF(LEN($O59)&gt;40,"Gift Message Line 1 exceeds 40 characters. ","")&amp;IF(LEN($P59)&gt;40,"Gift Message Line 2 exceeds 40 characters. ","")&amp;IF(LEN($Q59)&gt;40,"Gift Message Line 3 exceeds 40 characters. ","")&amp;IF(LEN($R59)&gt;40,"Gift Message Line 4 exceeds 40 characters. ","")&amp;IF(LEN($S59)&gt;40,"Gift Message Line 5 exceeds 40 characters. ","")&amp;IF(LEN($T59)&gt;40,"Gift Message Line 6 exceeds 40 characters. ","")&amp;IF(LEN($U59)&gt;40,"Gift Message Line 7 exceeds 40 characters. ",""))</f>
        <v/>
      </c>
      <c r="Y59" s="44" t="str">
        <f t="shared" si="1"/>
        <v/>
      </c>
      <c r="Z59" s="44"/>
      <c r="AA59" s="44"/>
      <c r="AB59" s="32" t="str">
        <f t="shared" si="2"/>
        <v/>
      </c>
      <c r="AC59" s="32" t="str">
        <f>IF($A59="","",IFERROR(LEFT(INDEX('PRODUCT DATA'!$NO$2:$NO$25,MATCH($A59,'PRODUCT DATA'!$NP$2:$NP$25,0)),FIND("|",INDEX('PRODUCT DATA'!$NO$2:$NO$25,MATCH($A59,'PRODUCT DATA'!$NP$2:$NP$25,0)))-1),$A59))</f>
        <v/>
      </c>
      <c r="AD59" s="45"/>
      <c r="AE59" s="45" t="str">
        <f t="shared" si="3"/>
        <v/>
      </c>
    </row>
    <row r="60" spans="1:31" ht="15" customHeight="1" x14ac:dyDescent="0.25">
      <c r="A60" s="40"/>
      <c r="B60" s="43" t="str">
        <f>IF($A60="","",IFERROR(VLOOKUP($AC60,'PRODUCT DATA'!$NR$2:$NS$374,2,FALSE()),"UNKNOWN ITEM CODE - please check"))</f>
        <v/>
      </c>
      <c r="C60" s="39">
        <v>1</v>
      </c>
      <c r="D60" s="39"/>
      <c r="E60" s="40"/>
      <c r="F60" s="41"/>
      <c r="G60" s="39"/>
      <c r="H60" s="41"/>
      <c r="I60" s="41"/>
      <c r="J60" s="39"/>
      <c r="K60" s="41"/>
      <c r="L60" s="40"/>
      <c r="M60" s="40"/>
      <c r="N60" s="42" t="str">
        <f>IF($M60="","",IFERROR(INDEX('PRODUCT DATA'!$B$2:$B$58,MATCH(IF(UPPER($M60)="UK","GB",$M60),'PRODUCT DATA'!$B$2:$B$58,0)),IFERROR(INDEX('PRODUCT DATA'!$B$2:$B$58,MATCH(IF(UPPER($M60)="UK","GB",$M60),'PRODUCT DATA'!$A$2:$A$58,0)),"UNKNOWN COUNTRY - please check")))</f>
        <v/>
      </c>
      <c r="O60" s="41"/>
      <c r="P60" s="41"/>
      <c r="Q60" s="41"/>
      <c r="R60" s="41"/>
      <c r="S60" s="41"/>
      <c r="T60" s="41"/>
      <c r="U60" s="41"/>
      <c r="V60" s="43" t="str">
        <f t="shared" si="0"/>
        <v/>
      </c>
      <c r="W60" s="44" t="str">
        <f ca="1">IF(COUNTA($A60,$D60:$M60,$O60:$U60)=0,"",IF($A60="","Item Code; ","")&amp;IF(AND($A60&lt;&gt;"",ISNA(MATCH($AC60,'PRODUCT DATA'!$D$2:$D$394,0))),"Item Code; ","")&amp;IF($M60="","Country; ","")&amp;IF(AND($M60&lt;&gt;"",NOT(OR(NOT(ISNA(MATCH(IF(UPPER($M60)="UK","GB",$M60),'PRODUCT DATA'!$A$2:$A$58,0))),NOT(ISNA(MATCH(IF(UPPER($M60)="UK","GB",$M60),'PRODUCT DATA'!$B$2:$B$58,0)))))),"Country; ","")&amp;IF(AND($A60&lt;&gt;"",$M60&lt;&gt;"",NOT(ISNA(MATCH($AC60,'PRODUCT DATA'!$D$2:$D$394,0))),OR(NOT(ISNA(MATCH(IF(UPPER($M60)="UK","GB",$M60),'PRODUCT DATA'!$A$2:$A$58,0))),NOT(ISNA(MATCH(IF(UPPER($M60)="UK","GB",$M60),'PRODUCT DATA'!$B$2:$B$58,0)))),NOT(IFERROR(COUNTIF(OFFSET('PRODUCT DATA'!$F$2,0,MATCH($AC60,'PRODUCT DATA'!$F$1:$NN$1,0)-1,114,1),$N60)&gt;0,FALSE()))),IF(UPPER(IFERROR(OFFSET('PRODUCT DATA'!$C$2,MATCH($N60,'PRODUCT DATA'!$B$2:$B$58,0)-1,0),""))="NO","Alcohol Restriction; ","Item Code / Country combination; "),"")&amp;IF($C60="","Quantity; ","")&amp;IF(AND($C60&lt;&gt;"",OR(NOT(ISNUMBER($C60)),$C60&lt;1,$C60&gt;999,MOD($C60,1)&lt;&gt;0)),"Quantity; ","")&amp;IF($D60="","Recipient Name; ","")&amp;IF(LEN($D60)&gt;35,"Recipient Name; ","")&amp;IF($E60="","Recipient Phone; ","")&amp;IF(AND($E60&lt;&gt;"",OR(LEN($E60)&lt;6,LEN($E60)&gt;20,NOT(IFERROR(ISNUMBER(1*$E60),FALSE())))),"Recipient Phone; ","")&amp;IF(LEN($F60)&gt;35,"Recipient Company Name; ","")&amp;IF($G60="","Address Line 1; ","")&amp;IF(LEN($G60)&gt;35,"Address Line 1; ","")&amp;IF(LEN($H60)&gt;35,"Address Line 2; ","")&amp;IF(LEN($I60)&gt;35,"Address Line 3; ","")&amp;IF($J60="","Town; ","")&amp;IF(LEN($J60)&gt;35,"Town; ","")&amp;IF(AND($N60="IE",$K60=""),"County; ","")&amp;IF(LEN($AB60)&gt;35,"County; ","")&amp;IF(AND($L60="",AND($N60&lt;&gt;"AE",$N60&lt;&gt;"QA")),"Postcode; ","")&amp;IF(LEN($L60)&gt;35,"Postcode; ","")&amp;IF($AE60&lt;&gt;"","Postcode; ","")&amp;IF(LEN($O60)&gt;40,"Gift Message 1; ","")&amp;IF(LEN($P60)&gt;40,"Gift Message 2; ","")&amp;IF(LEN($Q60)&gt;40,"Gift Message 3; ","")&amp;IF(LEN($R60)&gt;40,"Gift Message 4; ","")&amp;IF(LEN($S60)&gt;40,"Gift Message 5; ","")&amp;IF(LEN($T60)&gt;40,"Gift Message 6; ","")&amp;IF(LEN($U60)&gt;40,"Gift Message 7; ",""))</f>
        <v/>
      </c>
      <c r="X60" s="44" t="str">
        <f ca="1">IF(COUNTA($A60,$D60:$M60,$O60:$U60)=0,"",IF($A60="","Enter the Item Code (hamper) - type it, paste it, or choose it from the dropdown. ","")&amp;IF(AND($A60&lt;&gt;"",ISNA(MATCH($AC60,'PRODUCT DATA'!$D$2:$D$394,0))),"This Item Code is not recognised. Check the code (case does not matter, but spelling and digits must match exactly) or choose it from the dropdown. ","")&amp;IF($M60="","Enter the Country after the Item Code - type or paste the name or the 2-letter code, or choose it from the dropdown. ","")&amp;IF(AND($M60&lt;&gt;"",NOT(OR(NOT(ISNA(MATCH(IF(UPPER($M60)="UK","GB",$M60),'PRODUCT DATA'!$A$2:$A$58,0))),NOT(ISNA(MATCH(IF(UPPER($M60)="UK","GB",$M60),'PRODUCT DATA'!$B$2:$B$58,0)))))),"This Country is not recognised as either a full name or a 2-letter code. Check the spelling (case does not matter) or choose it from the dropdown. ","")&amp;IF(AND($A60&lt;&gt;"",$M60&lt;&gt;"",NOT(ISNA(MATCH($AC60,'PRODUCT DATA'!$D$2:$D$394,0))),OR(NOT(ISNA(MATCH(IF(UPPER($M60)="UK","GB",$M60),'PRODUCT DATA'!$A$2:$A$58,0))),NOT(ISNA(MATCH(IF(UPPER($M60)="UK","GB",$M60),'PRODUCT DATA'!$B$2:$B$58,0)))),NOT(IFERROR(COUNTIF(OFFSET('PRODUCT DATA'!$F$2,0,MATCH($AC60,'PRODUCT DATA'!$F$1:$NN$1,0)-1,114,1),$N60)&gt;0,FALSE()))),IF(UPPER(IFERROR(OFFSET('PRODUCT DATA'!$C$2,MATCH($N60,'PRODUCT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"),"")&amp;IF($C60="","Enter Quantity. ","")&amp;IF(AND($C60&lt;&gt;"",OR(NOT(ISNUMBER($C60)),$C60&lt;1,$C60&gt;999,MOD($C60,1)&lt;&gt;0)),"Quantity must be a whole number from 1 to 999 (use a quantity above 1 only for a genuine bulk order of identical items to ONE address — otherwise use a separate row per recipient). ","")&amp;IF($D60="","Enter Recipient Name. ","")&amp;IF(LEN($D60)&gt;35,"Recipient Name exceeds 35 characters. ","")&amp;IF($E60="","Enter Recipient Phone. ","")&amp;IF(AND($E60&lt;&gt;"",OR(LEN($E60)&lt;6,LEN($E60)&gt;20,NOT(IFERROR(ISNUMBER(1*$E60),FALSE())))),"Phone must be the LOCAL number for the destination country: digits only, no +, spaces, or country code, 6 to 20 digits. ","")&amp;IF(LEN($F60)&gt;35,"Recipient Company Name exceeds 35 characters. ","")&amp;IF($G60="","Enter Address Line 1. ","")&amp;IF(LEN($G60)&gt;35,"Address Line 1 exceeds the 35-character SAP limit. ","")&amp;IF(LEN($H60)&gt;35,"Address Line 2 exceeds the 35-character SAP limit. ","")&amp;IF(LEN($I60)&gt;35,"Address Line 3 exceeds the 35-character SAP limit. ","")&amp;IF($J60="","Enter Town. This must never be left blank, even if there is no conventional town name. ","")&amp;IF(LEN($J60)&gt;35,"Town exceeds 35 characters. ","")&amp;IF(AND($N60="IE",$K60=""),"County is required for deliveries within the Republic of Ireland. ","")&amp;IF(LEN($AB60)&gt;35,"County exceeds 35 characters. ","")&amp;IF(AND($L60="",AND($N60&lt;&gt;"AE",$N60&lt;&gt;"QA")),"Postcode is required for the selected country. If there is genuinely no postcode, enter the first 3 characters of the area (e.g. D15). ","")&amp;IF(LEN($L60)&gt;35,"Postcode exceeds 35 characters. ","")&amp;IF($AE60&lt;&gt;"",$AE60,"")&amp;IF(LEN($O60)&gt;40,"Gift Message Line 1 exceeds 40 characters. ","")&amp;IF(LEN($P60)&gt;40,"Gift Message Line 2 exceeds 40 characters. ","")&amp;IF(LEN($Q60)&gt;40,"Gift Message Line 3 exceeds 40 characters. ","")&amp;IF(LEN($R60)&gt;40,"Gift Message Line 4 exceeds 40 characters. ","")&amp;IF(LEN($S60)&gt;40,"Gift Message Line 5 exceeds 40 characters. ","")&amp;IF(LEN($T60)&gt;40,"Gift Message Line 6 exceeds 40 characters. ","")&amp;IF(LEN($U60)&gt;40,"Gift Message Line 7 exceeds 40 characters. ",""))</f>
        <v/>
      </c>
      <c r="Y60" s="44" t="str">
        <f t="shared" si="1"/>
        <v/>
      </c>
      <c r="Z60" s="44"/>
      <c r="AA60" s="44"/>
      <c r="AB60" s="32" t="str">
        <f t="shared" si="2"/>
        <v/>
      </c>
      <c r="AC60" s="32" t="str">
        <f>IF($A60="","",IFERROR(LEFT(INDEX('PRODUCT DATA'!$NO$2:$NO$25,MATCH($A60,'PRODUCT DATA'!$NP$2:$NP$25,0)),FIND("|",INDEX('PRODUCT DATA'!$NO$2:$NO$25,MATCH($A60,'PRODUCT DATA'!$NP$2:$NP$25,0)))-1),$A60))</f>
        <v/>
      </c>
      <c r="AD60" s="45"/>
      <c r="AE60" s="45" t="str">
        <f t="shared" si="3"/>
        <v/>
      </c>
    </row>
    <row r="61" spans="1:31" ht="15" customHeight="1" x14ac:dyDescent="0.25">
      <c r="A61" s="40"/>
      <c r="B61" s="43" t="str">
        <f>IF($A61="","",IFERROR(VLOOKUP($AC61,'PRODUCT DATA'!$NR$2:$NS$374,2,FALSE()),"UNKNOWN ITEM CODE - please check"))</f>
        <v/>
      </c>
      <c r="C61" s="39">
        <v>1</v>
      </c>
      <c r="D61" s="39"/>
      <c r="E61" s="40"/>
      <c r="F61" s="41"/>
      <c r="G61" s="39"/>
      <c r="H61" s="41"/>
      <c r="I61" s="41"/>
      <c r="J61" s="39"/>
      <c r="K61" s="41"/>
      <c r="L61" s="40"/>
      <c r="M61" s="40"/>
      <c r="N61" s="42" t="str">
        <f>IF($M61="","",IFERROR(INDEX('PRODUCT DATA'!$B$2:$B$58,MATCH(IF(UPPER($M61)="UK","GB",$M61),'PRODUCT DATA'!$B$2:$B$58,0)),IFERROR(INDEX('PRODUCT DATA'!$B$2:$B$58,MATCH(IF(UPPER($M61)="UK","GB",$M61),'PRODUCT DATA'!$A$2:$A$58,0)),"UNKNOWN COUNTRY - please check")))</f>
        <v/>
      </c>
      <c r="O61" s="41"/>
      <c r="P61" s="41"/>
      <c r="Q61" s="41"/>
      <c r="R61" s="41"/>
      <c r="S61" s="41"/>
      <c r="T61" s="41"/>
      <c r="U61" s="41"/>
      <c r="V61" s="43" t="str">
        <f t="shared" si="0"/>
        <v/>
      </c>
      <c r="W61" s="44" t="str">
        <f ca="1">IF(COUNTA($A61,$D61:$M61,$O61:$U61)=0,"",IF($A61="","Item Code; ","")&amp;IF(AND($A61&lt;&gt;"",ISNA(MATCH($AC61,'PRODUCT DATA'!$D$2:$D$394,0))),"Item Code; ","")&amp;IF($M61="","Country; ","")&amp;IF(AND($M61&lt;&gt;"",NOT(OR(NOT(ISNA(MATCH(IF(UPPER($M61)="UK","GB",$M61),'PRODUCT DATA'!$A$2:$A$58,0))),NOT(ISNA(MATCH(IF(UPPER($M61)="UK","GB",$M61),'PRODUCT DATA'!$B$2:$B$58,0)))))),"Country; ","")&amp;IF(AND($A61&lt;&gt;"",$M61&lt;&gt;"",NOT(ISNA(MATCH($AC61,'PRODUCT DATA'!$D$2:$D$394,0))),OR(NOT(ISNA(MATCH(IF(UPPER($M61)="UK","GB",$M61),'PRODUCT DATA'!$A$2:$A$58,0))),NOT(ISNA(MATCH(IF(UPPER($M61)="UK","GB",$M61),'PRODUCT DATA'!$B$2:$B$58,0)))),NOT(IFERROR(COUNTIF(OFFSET('PRODUCT DATA'!$F$2,0,MATCH($AC61,'PRODUCT DATA'!$F$1:$NN$1,0)-1,114,1),$N61)&gt;0,FALSE()))),IF(UPPER(IFERROR(OFFSET('PRODUCT DATA'!$C$2,MATCH($N61,'PRODUCT DATA'!$B$2:$B$58,0)-1,0),""))="NO","Alcohol Restriction; ","Item Code / Country combination; "),"")&amp;IF($C61="","Quantity; ","")&amp;IF(AND($C61&lt;&gt;"",OR(NOT(ISNUMBER($C61)),$C61&lt;1,$C61&gt;999,MOD($C61,1)&lt;&gt;0)),"Quantity; ","")&amp;IF($D61="","Recipient Name; ","")&amp;IF(LEN($D61)&gt;35,"Recipient Name; ","")&amp;IF($E61="","Recipient Phone; ","")&amp;IF(AND($E61&lt;&gt;"",OR(LEN($E61)&lt;6,LEN($E61)&gt;20,NOT(IFERROR(ISNUMBER(1*$E61),FALSE())))),"Recipient Phone; ","")&amp;IF(LEN($F61)&gt;35,"Recipient Company Name; ","")&amp;IF($G61="","Address Line 1; ","")&amp;IF(LEN($G61)&gt;35,"Address Line 1; ","")&amp;IF(LEN($H61)&gt;35,"Address Line 2; ","")&amp;IF(LEN($I61)&gt;35,"Address Line 3; ","")&amp;IF($J61="","Town; ","")&amp;IF(LEN($J61)&gt;35,"Town; ","")&amp;IF(AND($N61="IE",$K61=""),"County; ","")&amp;IF(LEN($AB61)&gt;35,"County; ","")&amp;IF(AND($L61="",AND($N61&lt;&gt;"AE",$N61&lt;&gt;"QA")),"Postcode; ","")&amp;IF(LEN($L61)&gt;35,"Postcode; ","")&amp;IF($AE61&lt;&gt;"","Postcode; ","")&amp;IF(LEN($O61)&gt;40,"Gift Message 1; ","")&amp;IF(LEN($P61)&gt;40,"Gift Message 2; ","")&amp;IF(LEN($Q61)&gt;40,"Gift Message 3; ","")&amp;IF(LEN($R61)&gt;40,"Gift Message 4; ","")&amp;IF(LEN($S61)&gt;40,"Gift Message 5; ","")&amp;IF(LEN($T61)&gt;40,"Gift Message 6; ","")&amp;IF(LEN($U61)&gt;40,"Gift Message 7; ",""))</f>
        <v/>
      </c>
      <c r="X61" s="44" t="str">
        <f ca="1">IF(COUNTA($A61,$D61:$M61,$O61:$U61)=0,"",IF($A61="","Enter the Item Code (hamper) - type it, paste it, or choose it from the dropdown. ","")&amp;IF(AND($A61&lt;&gt;"",ISNA(MATCH($AC61,'PRODUCT DATA'!$D$2:$D$394,0))),"This Item Code is not recognised. Check the code (case does not matter, but spelling and digits must match exactly) or choose it from the dropdown. ","")&amp;IF($M61="","Enter the Country after the Item Code - type or paste the name or the 2-letter code, or choose it from the dropdown. ","")&amp;IF(AND($M61&lt;&gt;"",NOT(OR(NOT(ISNA(MATCH(IF(UPPER($M61)="UK","GB",$M61),'PRODUCT DATA'!$A$2:$A$58,0))),NOT(ISNA(MATCH(IF(UPPER($M61)="UK","GB",$M61),'PRODUCT DATA'!$B$2:$B$58,0)))))),"This Country is not recognised as either a full name or a 2-letter code. Check the spelling (case does not matter) or choose it from the dropdown. ","")&amp;IF(AND($A61&lt;&gt;"",$M61&lt;&gt;"",NOT(ISNA(MATCH($AC61,'PRODUCT DATA'!$D$2:$D$394,0))),OR(NOT(ISNA(MATCH(IF(UPPER($M61)="UK","GB",$M61),'PRODUCT DATA'!$A$2:$A$58,0))),NOT(ISNA(MATCH(IF(UPPER($M61)="UK","GB",$M61),'PRODUCT DATA'!$B$2:$B$58,0)))),NOT(IFERROR(COUNTIF(OFFSET('PRODUCT DATA'!$F$2,0,MATCH($AC61,'PRODUCT DATA'!$F$1:$NN$1,0)-1,114,1),$N61)&gt;0,FALSE()))),IF(UPPER(IFERROR(OFFSET('PRODUCT DATA'!$C$2,MATCH($N61,'PRODUCT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"),"")&amp;IF($C61="","Enter Quantity. ","")&amp;IF(AND($C61&lt;&gt;"",OR(NOT(ISNUMBER($C61)),$C61&lt;1,$C61&gt;999,MOD($C61,1)&lt;&gt;0)),"Quantity must be a whole number from 1 to 999 (use a quantity above 1 only for a genuine bulk order of identical items to ONE address — otherwise use a separate row per recipient). ","")&amp;IF($D61="","Enter Recipient Name. ","")&amp;IF(LEN($D61)&gt;35,"Recipient Name exceeds 35 characters. ","")&amp;IF($E61="","Enter Recipient Phone. ","")&amp;IF(AND($E61&lt;&gt;"",OR(LEN($E61)&lt;6,LEN($E61)&gt;20,NOT(IFERROR(ISNUMBER(1*$E61),FALSE())))),"Phone must be the LOCAL number for the destination country: digits only, no +, spaces, or country code, 6 to 20 digits. ","")&amp;IF(LEN($F61)&gt;35,"Recipient Company Name exceeds 35 characters. ","")&amp;IF($G61="","Enter Address Line 1. ","")&amp;IF(LEN($G61)&gt;35,"Address Line 1 exceeds the 35-character SAP limit. ","")&amp;IF(LEN($H61)&gt;35,"Address Line 2 exceeds the 35-character SAP limit. ","")&amp;IF(LEN($I61)&gt;35,"Address Line 3 exceeds the 35-character SAP limit. ","")&amp;IF($J61="","Enter Town. This must never be left blank, even if there is no conventional town name. ","")&amp;IF(LEN($J61)&gt;35,"Town exceeds 35 characters. ","")&amp;IF(AND($N61="IE",$K61=""),"County is required for deliveries within the Republic of Ireland. ","")&amp;IF(LEN($AB61)&gt;35,"County exceeds 35 characters. ","")&amp;IF(AND($L61="",AND($N61&lt;&gt;"AE",$N61&lt;&gt;"QA")),"Postcode is required for the selected country. If there is genuinely no postcode, enter the first 3 characters of the area (e.g. D15). ","")&amp;IF(LEN($L61)&gt;35,"Postcode exceeds 35 characters. ","")&amp;IF($AE61&lt;&gt;"",$AE61,"")&amp;IF(LEN($O61)&gt;40,"Gift Message Line 1 exceeds 40 characters. ","")&amp;IF(LEN($P61)&gt;40,"Gift Message Line 2 exceeds 40 characters. ","")&amp;IF(LEN($Q61)&gt;40,"Gift Message Line 3 exceeds 40 characters. ","")&amp;IF(LEN($R61)&gt;40,"Gift Message Line 4 exceeds 40 characters. ","")&amp;IF(LEN($S61)&gt;40,"Gift Message Line 5 exceeds 40 characters. ","")&amp;IF(LEN($T61)&gt;40,"Gift Message Line 6 exceeds 40 characters. ","")&amp;IF(LEN($U61)&gt;40,"Gift Message Line 7 exceeds 40 characters. ",""))</f>
        <v/>
      </c>
      <c r="Y61" s="44" t="str">
        <f t="shared" si="1"/>
        <v/>
      </c>
      <c r="Z61" s="44"/>
      <c r="AA61" s="44"/>
      <c r="AB61" s="32" t="str">
        <f t="shared" si="2"/>
        <v/>
      </c>
      <c r="AC61" s="32" t="str">
        <f>IF($A61="","",IFERROR(LEFT(INDEX('PRODUCT DATA'!$NO$2:$NO$25,MATCH($A61,'PRODUCT DATA'!$NP$2:$NP$25,0)),FIND("|",INDEX('PRODUCT DATA'!$NO$2:$NO$25,MATCH($A61,'PRODUCT DATA'!$NP$2:$NP$25,0)))-1),$A61))</f>
        <v/>
      </c>
      <c r="AD61" s="45"/>
      <c r="AE61" s="45" t="str">
        <f t="shared" si="3"/>
        <v/>
      </c>
    </row>
    <row r="62" spans="1:31" ht="15" customHeight="1" x14ac:dyDescent="0.25">
      <c r="A62" s="40"/>
      <c r="B62" s="43" t="str">
        <f>IF($A62="","",IFERROR(VLOOKUP($AC62,'PRODUCT DATA'!$NR$2:$NS$374,2,FALSE()),"UNKNOWN ITEM CODE - please check"))</f>
        <v/>
      </c>
      <c r="C62" s="39">
        <v>1</v>
      </c>
      <c r="D62" s="39"/>
      <c r="E62" s="40"/>
      <c r="F62" s="41"/>
      <c r="G62" s="39"/>
      <c r="H62" s="41"/>
      <c r="I62" s="41"/>
      <c r="J62" s="39"/>
      <c r="K62" s="41"/>
      <c r="L62" s="40"/>
      <c r="M62" s="40"/>
      <c r="N62" s="42" t="str">
        <f>IF($M62="","",IFERROR(INDEX('PRODUCT DATA'!$B$2:$B$58,MATCH(IF(UPPER($M62)="UK","GB",$M62),'PRODUCT DATA'!$B$2:$B$58,0)),IFERROR(INDEX('PRODUCT DATA'!$B$2:$B$58,MATCH(IF(UPPER($M62)="UK","GB",$M62),'PRODUCT DATA'!$A$2:$A$58,0)),"UNKNOWN COUNTRY - please check")))</f>
        <v/>
      </c>
      <c r="O62" s="41"/>
      <c r="P62" s="41"/>
      <c r="Q62" s="41"/>
      <c r="R62" s="41"/>
      <c r="S62" s="41"/>
      <c r="T62" s="41"/>
      <c r="U62" s="41"/>
      <c r="V62" s="43" t="str">
        <f t="shared" si="0"/>
        <v/>
      </c>
      <c r="W62" s="44" t="str">
        <f ca="1">IF(COUNTA($A62,$D62:$M62,$O62:$U62)=0,"",IF($A62="","Item Code; ","")&amp;IF(AND($A62&lt;&gt;"",ISNA(MATCH($AC62,'PRODUCT DATA'!$D$2:$D$394,0))),"Item Code; ","")&amp;IF($M62="","Country; ","")&amp;IF(AND($M62&lt;&gt;"",NOT(OR(NOT(ISNA(MATCH(IF(UPPER($M62)="UK","GB",$M62),'PRODUCT DATA'!$A$2:$A$58,0))),NOT(ISNA(MATCH(IF(UPPER($M62)="UK","GB",$M62),'PRODUCT DATA'!$B$2:$B$58,0)))))),"Country; ","")&amp;IF(AND($A62&lt;&gt;"",$M62&lt;&gt;"",NOT(ISNA(MATCH($AC62,'PRODUCT DATA'!$D$2:$D$394,0))),OR(NOT(ISNA(MATCH(IF(UPPER($M62)="UK","GB",$M62),'PRODUCT DATA'!$A$2:$A$58,0))),NOT(ISNA(MATCH(IF(UPPER($M62)="UK","GB",$M62),'PRODUCT DATA'!$B$2:$B$58,0)))),NOT(IFERROR(COUNTIF(OFFSET('PRODUCT DATA'!$F$2,0,MATCH($AC62,'PRODUCT DATA'!$F$1:$NN$1,0)-1,114,1),$N62)&gt;0,FALSE()))),IF(UPPER(IFERROR(OFFSET('PRODUCT DATA'!$C$2,MATCH($N62,'PRODUCT DATA'!$B$2:$B$58,0)-1,0),""))="NO","Alcohol Restriction; ","Item Code / Country combination; "),"")&amp;IF($C62="","Quantity; ","")&amp;IF(AND($C62&lt;&gt;"",OR(NOT(ISNUMBER($C62)),$C62&lt;1,$C62&gt;999,MOD($C62,1)&lt;&gt;0)),"Quantity; ","")&amp;IF($D62="","Recipient Name; ","")&amp;IF(LEN($D62)&gt;35,"Recipient Name; ","")&amp;IF($E62="","Recipient Phone; ","")&amp;IF(AND($E62&lt;&gt;"",OR(LEN($E62)&lt;6,LEN($E62)&gt;20,NOT(IFERROR(ISNUMBER(1*$E62),FALSE())))),"Recipient Phone; ","")&amp;IF(LEN($F62)&gt;35,"Recipient Company Name; ","")&amp;IF($G62="","Address Line 1; ","")&amp;IF(LEN($G62)&gt;35,"Address Line 1; ","")&amp;IF(LEN($H62)&gt;35,"Address Line 2; ","")&amp;IF(LEN($I62)&gt;35,"Address Line 3; ","")&amp;IF($J62="","Town; ","")&amp;IF(LEN($J62)&gt;35,"Town; ","")&amp;IF(AND($N62="IE",$K62=""),"County; ","")&amp;IF(LEN($AB62)&gt;35,"County; ","")&amp;IF(AND($L62="",AND($N62&lt;&gt;"AE",$N62&lt;&gt;"QA")),"Postcode; ","")&amp;IF(LEN($L62)&gt;35,"Postcode; ","")&amp;IF($AE62&lt;&gt;"","Postcode; ","")&amp;IF(LEN($O62)&gt;40,"Gift Message 1; ","")&amp;IF(LEN($P62)&gt;40,"Gift Message 2; ","")&amp;IF(LEN($Q62)&gt;40,"Gift Message 3; ","")&amp;IF(LEN($R62)&gt;40,"Gift Message 4; ","")&amp;IF(LEN($S62)&gt;40,"Gift Message 5; ","")&amp;IF(LEN($T62)&gt;40,"Gift Message 6; ","")&amp;IF(LEN($U62)&gt;40,"Gift Message 7; ",""))</f>
        <v/>
      </c>
      <c r="X62" s="44" t="str">
        <f ca="1">IF(COUNTA($A62,$D62:$M62,$O62:$U62)=0,"",IF($A62="","Enter the Item Code (hamper) - type it, paste it, or choose it from the dropdown. ","")&amp;IF(AND($A62&lt;&gt;"",ISNA(MATCH($AC62,'PRODUCT DATA'!$D$2:$D$394,0))),"This Item Code is not recognised. Check the code (case does not matter, but spelling and digits must match exactly) or choose it from the dropdown. ","")&amp;IF($M62="","Enter the Country after the Item Code - type or paste the name or the 2-letter code, or choose it from the dropdown. ","")&amp;IF(AND($M62&lt;&gt;"",NOT(OR(NOT(ISNA(MATCH(IF(UPPER($M62)="UK","GB",$M62),'PRODUCT DATA'!$A$2:$A$58,0))),NOT(ISNA(MATCH(IF(UPPER($M62)="UK","GB",$M62),'PRODUCT DATA'!$B$2:$B$58,0)))))),"This Country is not recognised as either a full name or a 2-letter code. Check the spelling (case does not matter) or choose it from the dropdown. ","")&amp;IF(AND($A62&lt;&gt;"",$M62&lt;&gt;"",NOT(ISNA(MATCH($AC62,'PRODUCT DATA'!$D$2:$D$394,0))),OR(NOT(ISNA(MATCH(IF(UPPER($M62)="UK","GB",$M62),'PRODUCT DATA'!$A$2:$A$58,0))),NOT(ISNA(MATCH(IF(UPPER($M62)="UK","GB",$M62),'PRODUCT DATA'!$B$2:$B$58,0)))),NOT(IFERROR(COUNTIF(OFFSET('PRODUCT DATA'!$F$2,0,MATCH($AC62,'PRODUCT DATA'!$F$1:$NN$1,0)-1,114,1),$N62)&gt;0,FALSE()))),IF(UPPER(IFERROR(OFFSET('PRODUCT DATA'!$C$2,MATCH($N62,'PRODUCT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"),"")&amp;IF($C62="","Enter Quantity. ","")&amp;IF(AND($C62&lt;&gt;"",OR(NOT(ISNUMBER($C62)),$C62&lt;1,$C62&gt;999,MOD($C62,1)&lt;&gt;0)),"Quantity must be a whole number from 1 to 999 (use a quantity above 1 only for a genuine bulk order of identical items to ONE address — otherwise use a separate row per recipient). ","")&amp;IF($D62="","Enter Recipient Name. ","")&amp;IF(LEN($D62)&gt;35,"Recipient Name exceeds 35 characters. ","")&amp;IF($E62="","Enter Recipient Phone. ","")&amp;IF(AND($E62&lt;&gt;"",OR(LEN($E62)&lt;6,LEN($E62)&gt;20,NOT(IFERROR(ISNUMBER(1*$E62),FALSE())))),"Phone must be the LOCAL number for the destination country: digits only, no +, spaces, or country code, 6 to 20 digits. ","")&amp;IF(LEN($F62)&gt;35,"Recipient Company Name exceeds 35 characters. ","")&amp;IF($G62="","Enter Address Line 1. ","")&amp;IF(LEN($G62)&gt;35,"Address Line 1 exceeds the 35-character SAP limit. ","")&amp;IF(LEN($H62)&gt;35,"Address Line 2 exceeds the 35-character SAP limit. ","")&amp;IF(LEN($I62)&gt;35,"Address Line 3 exceeds the 35-character SAP limit. ","")&amp;IF($J62="","Enter Town. This must never be left blank, even if there is no conventional town name. ","")&amp;IF(LEN($J62)&gt;35,"Town exceeds 35 characters. ","")&amp;IF(AND($N62="IE",$K62=""),"County is required for deliveries within the Republic of Ireland. ","")&amp;IF(LEN($AB62)&gt;35,"County exceeds 35 characters. ","")&amp;IF(AND($L62="",AND($N62&lt;&gt;"AE",$N62&lt;&gt;"QA")),"Postcode is required for the selected country. If there is genuinely no postcode, enter the first 3 characters of the area (e.g. D15). ","")&amp;IF(LEN($L62)&gt;35,"Postcode exceeds 35 characters. ","")&amp;IF($AE62&lt;&gt;"",$AE62,"")&amp;IF(LEN($O62)&gt;40,"Gift Message Line 1 exceeds 40 characters. ","")&amp;IF(LEN($P62)&gt;40,"Gift Message Line 2 exceeds 40 characters. ","")&amp;IF(LEN($Q62)&gt;40,"Gift Message Line 3 exceeds 40 characters. ","")&amp;IF(LEN($R62)&gt;40,"Gift Message Line 4 exceeds 40 characters. ","")&amp;IF(LEN($S62)&gt;40,"Gift Message Line 5 exceeds 40 characters. ","")&amp;IF(LEN($T62)&gt;40,"Gift Message Line 6 exceeds 40 characters. ","")&amp;IF(LEN($U62)&gt;40,"Gift Message Line 7 exceeds 40 characters. ",""))</f>
        <v/>
      </c>
      <c r="Y62" s="44" t="str">
        <f t="shared" si="1"/>
        <v/>
      </c>
      <c r="Z62" s="44"/>
      <c r="AA62" s="44"/>
      <c r="AB62" s="32" t="str">
        <f t="shared" si="2"/>
        <v/>
      </c>
      <c r="AC62" s="32" t="str">
        <f>IF($A62="","",IFERROR(LEFT(INDEX('PRODUCT DATA'!$NO$2:$NO$25,MATCH($A62,'PRODUCT DATA'!$NP$2:$NP$25,0)),FIND("|",INDEX('PRODUCT DATA'!$NO$2:$NO$25,MATCH($A62,'PRODUCT DATA'!$NP$2:$NP$25,0)))-1),$A62))</f>
        <v/>
      </c>
      <c r="AD62" s="45"/>
      <c r="AE62" s="45" t="str">
        <f t="shared" si="3"/>
        <v/>
      </c>
    </row>
    <row r="63" spans="1:31" ht="15" customHeight="1" x14ac:dyDescent="0.25">
      <c r="A63" s="40"/>
      <c r="B63" s="43" t="str">
        <f>IF($A63="","",IFERROR(VLOOKUP($AC63,'PRODUCT DATA'!$NR$2:$NS$374,2,FALSE()),"UNKNOWN ITEM CODE - please check"))</f>
        <v/>
      </c>
      <c r="C63" s="39">
        <v>1</v>
      </c>
      <c r="D63" s="39"/>
      <c r="E63" s="40"/>
      <c r="F63" s="41"/>
      <c r="G63" s="39"/>
      <c r="H63" s="41"/>
      <c r="I63" s="41"/>
      <c r="J63" s="39"/>
      <c r="K63" s="41"/>
      <c r="L63" s="40"/>
      <c r="M63" s="40"/>
      <c r="N63" s="42" t="str">
        <f>IF($M63="","",IFERROR(INDEX('PRODUCT DATA'!$B$2:$B$58,MATCH(IF(UPPER($M63)="UK","GB",$M63),'PRODUCT DATA'!$B$2:$B$58,0)),IFERROR(INDEX('PRODUCT DATA'!$B$2:$B$58,MATCH(IF(UPPER($M63)="UK","GB",$M63),'PRODUCT DATA'!$A$2:$A$58,0)),"UNKNOWN COUNTRY - please check")))</f>
        <v/>
      </c>
      <c r="O63" s="41"/>
      <c r="P63" s="41"/>
      <c r="Q63" s="41"/>
      <c r="R63" s="41"/>
      <c r="S63" s="41"/>
      <c r="T63" s="41"/>
      <c r="U63" s="41"/>
      <c r="V63" s="43" t="str">
        <f t="shared" si="0"/>
        <v/>
      </c>
      <c r="W63" s="44" t="str">
        <f ca="1">IF(COUNTA($A63,$D63:$M63,$O63:$U63)=0,"",IF($A63="","Item Code; ","")&amp;IF(AND($A63&lt;&gt;"",ISNA(MATCH($AC63,'PRODUCT DATA'!$D$2:$D$394,0))),"Item Code; ","")&amp;IF($M63="","Country; ","")&amp;IF(AND($M63&lt;&gt;"",NOT(OR(NOT(ISNA(MATCH(IF(UPPER($M63)="UK","GB",$M63),'PRODUCT DATA'!$A$2:$A$58,0))),NOT(ISNA(MATCH(IF(UPPER($M63)="UK","GB",$M63),'PRODUCT DATA'!$B$2:$B$58,0)))))),"Country; ","")&amp;IF(AND($A63&lt;&gt;"",$M63&lt;&gt;"",NOT(ISNA(MATCH($AC63,'PRODUCT DATA'!$D$2:$D$394,0))),OR(NOT(ISNA(MATCH(IF(UPPER($M63)="UK","GB",$M63),'PRODUCT DATA'!$A$2:$A$58,0))),NOT(ISNA(MATCH(IF(UPPER($M63)="UK","GB",$M63),'PRODUCT DATA'!$B$2:$B$58,0)))),NOT(IFERROR(COUNTIF(OFFSET('PRODUCT DATA'!$F$2,0,MATCH($AC63,'PRODUCT DATA'!$F$1:$NN$1,0)-1,114,1),$N63)&gt;0,FALSE()))),IF(UPPER(IFERROR(OFFSET('PRODUCT DATA'!$C$2,MATCH($N63,'PRODUCT DATA'!$B$2:$B$58,0)-1,0),""))="NO","Alcohol Restriction; ","Item Code / Country combination; "),"")&amp;IF($C63="","Quantity; ","")&amp;IF(AND($C63&lt;&gt;"",OR(NOT(ISNUMBER($C63)),$C63&lt;1,$C63&gt;999,MOD($C63,1)&lt;&gt;0)),"Quantity; ","")&amp;IF($D63="","Recipient Name; ","")&amp;IF(LEN($D63)&gt;35,"Recipient Name; ","")&amp;IF($E63="","Recipient Phone; ","")&amp;IF(AND($E63&lt;&gt;"",OR(LEN($E63)&lt;6,LEN($E63)&gt;20,NOT(IFERROR(ISNUMBER(1*$E63),FALSE())))),"Recipient Phone; ","")&amp;IF(LEN($F63)&gt;35,"Recipient Company Name; ","")&amp;IF($G63="","Address Line 1; ","")&amp;IF(LEN($G63)&gt;35,"Address Line 1; ","")&amp;IF(LEN($H63)&gt;35,"Address Line 2; ","")&amp;IF(LEN($I63)&gt;35,"Address Line 3; ","")&amp;IF($J63="","Town; ","")&amp;IF(LEN($J63)&gt;35,"Town; ","")&amp;IF(AND($N63="IE",$K63=""),"County; ","")&amp;IF(LEN($AB63)&gt;35,"County; ","")&amp;IF(AND($L63="",AND($N63&lt;&gt;"AE",$N63&lt;&gt;"QA")),"Postcode; ","")&amp;IF(LEN($L63)&gt;35,"Postcode; ","")&amp;IF($AE63&lt;&gt;"","Postcode; ","")&amp;IF(LEN($O63)&gt;40,"Gift Message 1; ","")&amp;IF(LEN($P63)&gt;40,"Gift Message 2; ","")&amp;IF(LEN($Q63)&gt;40,"Gift Message 3; ","")&amp;IF(LEN($R63)&gt;40,"Gift Message 4; ","")&amp;IF(LEN($S63)&gt;40,"Gift Message 5; ","")&amp;IF(LEN($T63)&gt;40,"Gift Message 6; ","")&amp;IF(LEN($U63)&gt;40,"Gift Message 7; ",""))</f>
        <v/>
      </c>
      <c r="X63" s="44" t="str">
        <f ca="1">IF(COUNTA($A63,$D63:$M63,$O63:$U63)=0,"",IF($A63="","Enter the Item Code (hamper) - type it, paste it, or choose it from the dropdown. ","")&amp;IF(AND($A63&lt;&gt;"",ISNA(MATCH($AC63,'PRODUCT DATA'!$D$2:$D$394,0))),"This Item Code is not recognised. Check the code (case does not matter, but spelling and digits must match exactly) or choose it from the dropdown. ","")&amp;IF($M63="","Enter the Country after the Item Code - type or paste the name or the 2-letter code, or choose it from the dropdown. ","")&amp;IF(AND($M63&lt;&gt;"",NOT(OR(NOT(ISNA(MATCH(IF(UPPER($M63)="UK","GB",$M63),'PRODUCT DATA'!$A$2:$A$58,0))),NOT(ISNA(MATCH(IF(UPPER($M63)="UK","GB",$M63),'PRODUCT DATA'!$B$2:$B$58,0)))))),"This Country is not recognised as either a full name or a 2-letter code. Check the spelling (case does not matter) or choose it from the dropdown. ","")&amp;IF(AND($A63&lt;&gt;"",$M63&lt;&gt;"",NOT(ISNA(MATCH($AC63,'PRODUCT DATA'!$D$2:$D$394,0))),OR(NOT(ISNA(MATCH(IF(UPPER($M63)="UK","GB",$M63),'PRODUCT DATA'!$A$2:$A$58,0))),NOT(ISNA(MATCH(IF(UPPER($M63)="UK","GB",$M63),'PRODUCT DATA'!$B$2:$B$58,0)))),NOT(IFERROR(COUNTIF(OFFSET('PRODUCT DATA'!$F$2,0,MATCH($AC63,'PRODUCT DATA'!$F$1:$NN$1,0)-1,114,1),$N63)&gt;0,FALSE()))),IF(UPPER(IFERROR(OFFSET('PRODUCT DATA'!$C$2,MATCH($N63,'PRODUCT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"),"")&amp;IF($C63="","Enter Quantity. ","")&amp;IF(AND($C63&lt;&gt;"",OR(NOT(ISNUMBER($C63)),$C63&lt;1,$C63&gt;999,MOD($C63,1)&lt;&gt;0)),"Quantity must be a whole number from 1 to 999 (use a quantity above 1 only for a genuine bulk order of identical items to ONE address — otherwise use a separate row per recipient). ","")&amp;IF($D63="","Enter Recipient Name. ","")&amp;IF(LEN($D63)&gt;35,"Recipient Name exceeds 35 characters. ","")&amp;IF($E63="","Enter Recipient Phone. ","")&amp;IF(AND($E63&lt;&gt;"",OR(LEN($E63)&lt;6,LEN($E63)&gt;20,NOT(IFERROR(ISNUMBER(1*$E63),FALSE())))),"Phone must be the LOCAL number for the destination country: digits only, no +, spaces, or country code, 6 to 20 digits. ","")&amp;IF(LEN($F63)&gt;35,"Recipient Company Name exceeds 35 characters. ","")&amp;IF($G63="","Enter Address Line 1. ","")&amp;IF(LEN($G63)&gt;35,"Address Line 1 exceeds the 35-character SAP limit. ","")&amp;IF(LEN($H63)&gt;35,"Address Line 2 exceeds the 35-character SAP limit. ","")&amp;IF(LEN($I63)&gt;35,"Address Line 3 exceeds the 35-character SAP limit. ","")&amp;IF($J63="","Enter Town. This must never be left blank, even if there is no conventional town name. ","")&amp;IF(LEN($J63)&gt;35,"Town exceeds 35 characters. ","")&amp;IF(AND($N63="IE",$K63=""),"County is required for deliveries within the Republic of Ireland. ","")&amp;IF(LEN($AB63)&gt;35,"County exceeds 35 characters. ","")&amp;IF(AND($L63="",AND($N63&lt;&gt;"AE",$N63&lt;&gt;"QA")),"Postcode is required for the selected country. If there is genuinely no postcode, enter the first 3 characters of the area (e.g. D15). ","")&amp;IF(LEN($L63)&gt;35,"Postcode exceeds 35 characters. ","")&amp;IF($AE63&lt;&gt;"",$AE63,"")&amp;IF(LEN($O63)&gt;40,"Gift Message Line 1 exceeds 40 characters. ","")&amp;IF(LEN($P63)&gt;40,"Gift Message Line 2 exceeds 40 characters. ","")&amp;IF(LEN($Q63)&gt;40,"Gift Message Line 3 exceeds 40 characters. ","")&amp;IF(LEN($R63)&gt;40,"Gift Message Line 4 exceeds 40 characters. ","")&amp;IF(LEN($S63)&gt;40,"Gift Message Line 5 exceeds 40 characters. ","")&amp;IF(LEN($T63)&gt;40,"Gift Message Line 6 exceeds 40 characters. ","")&amp;IF(LEN($U63)&gt;40,"Gift Message Line 7 exceeds 40 characters. ",""))</f>
        <v/>
      </c>
      <c r="Y63" s="44" t="str">
        <f t="shared" si="1"/>
        <v/>
      </c>
      <c r="Z63" s="44"/>
      <c r="AA63" s="44"/>
      <c r="AB63" s="32" t="str">
        <f t="shared" si="2"/>
        <v/>
      </c>
      <c r="AC63" s="32" t="str">
        <f>IF($A63="","",IFERROR(LEFT(INDEX('PRODUCT DATA'!$NO$2:$NO$25,MATCH($A63,'PRODUCT DATA'!$NP$2:$NP$25,0)),FIND("|",INDEX('PRODUCT DATA'!$NO$2:$NO$25,MATCH($A63,'PRODUCT DATA'!$NP$2:$NP$25,0)))-1),$A63))</f>
        <v/>
      </c>
      <c r="AD63" s="45"/>
      <c r="AE63" s="45" t="str">
        <f t="shared" si="3"/>
        <v/>
      </c>
    </row>
    <row r="64" spans="1:31" ht="15" customHeight="1" x14ac:dyDescent="0.25">
      <c r="A64" s="40"/>
      <c r="B64" s="43" t="str">
        <f>IF($A64="","",IFERROR(VLOOKUP($AC64,'PRODUCT DATA'!$NR$2:$NS$374,2,FALSE()),"UNKNOWN ITEM CODE - please check"))</f>
        <v/>
      </c>
      <c r="C64" s="39">
        <v>1</v>
      </c>
      <c r="D64" s="39"/>
      <c r="E64" s="40"/>
      <c r="F64" s="41"/>
      <c r="G64" s="39"/>
      <c r="H64" s="41"/>
      <c r="I64" s="41"/>
      <c r="J64" s="39"/>
      <c r="K64" s="41"/>
      <c r="L64" s="40"/>
      <c r="M64" s="40"/>
      <c r="N64" s="42" t="str">
        <f>IF($M64="","",IFERROR(INDEX('PRODUCT DATA'!$B$2:$B$58,MATCH(IF(UPPER($M64)="UK","GB",$M64),'PRODUCT DATA'!$B$2:$B$58,0)),IFERROR(INDEX('PRODUCT DATA'!$B$2:$B$58,MATCH(IF(UPPER($M64)="UK","GB",$M64),'PRODUCT DATA'!$A$2:$A$58,0)),"UNKNOWN COUNTRY - please check")))</f>
        <v/>
      </c>
      <c r="O64" s="41"/>
      <c r="P64" s="41"/>
      <c r="Q64" s="41"/>
      <c r="R64" s="41"/>
      <c r="S64" s="41"/>
      <c r="T64" s="41"/>
      <c r="U64" s="41"/>
      <c r="V64" s="43" t="str">
        <f t="shared" si="0"/>
        <v/>
      </c>
      <c r="W64" s="44" t="str">
        <f ca="1">IF(COUNTA($A64,$D64:$M64,$O64:$U64)=0,"",IF($A64="","Item Code; ","")&amp;IF(AND($A64&lt;&gt;"",ISNA(MATCH($AC64,'PRODUCT DATA'!$D$2:$D$394,0))),"Item Code; ","")&amp;IF($M64="","Country; ","")&amp;IF(AND($M64&lt;&gt;"",NOT(OR(NOT(ISNA(MATCH(IF(UPPER($M64)="UK","GB",$M64),'PRODUCT DATA'!$A$2:$A$58,0))),NOT(ISNA(MATCH(IF(UPPER($M64)="UK","GB",$M64),'PRODUCT DATA'!$B$2:$B$58,0)))))),"Country; ","")&amp;IF(AND($A64&lt;&gt;"",$M64&lt;&gt;"",NOT(ISNA(MATCH($AC64,'PRODUCT DATA'!$D$2:$D$394,0))),OR(NOT(ISNA(MATCH(IF(UPPER($M64)="UK","GB",$M64),'PRODUCT DATA'!$A$2:$A$58,0))),NOT(ISNA(MATCH(IF(UPPER($M64)="UK","GB",$M64),'PRODUCT DATA'!$B$2:$B$58,0)))),NOT(IFERROR(COUNTIF(OFFSET('PRODUCT DATA'!$F$2,0,MATCH($AC64,'PRODUCT DATA'!$F$1:$NN$1,0)-1,114,1),$N64)&gt;0,FALSE()))),IF(UPPER(IFERROR(OFFSET('PRODUCT DATA'!$C$2,MATCH($N64,'PRODUCT DATA'!$B$2:$B$58,0)-1,0),""))="NO","Alcohol Restriction; ","Item Code / Country combination; "),"")&amp;IF($C64="","Quantity; ","")&amp;IF(AND($C64&lt;&gt;"",OR(NOT(ISNUMBER($C64)),$C64&lt;1,$C64&gt;999,MOD($C64,1)&lt;&gt;0)),"Quantity; ","")&amp;IF($D64="","Recipient Name; ","")&amp;IF(LEN($D64)&gt;35,"Recipient Name; ","")&amp;IF($E64="","Recipient Phone; ","")&amp;IF(AND($E64&lt;&gt;"",OR(LEN($E64)&lt;6,LEN($E64)&gt;20,NOT(IFERROR(ISNUMBER(1*$E64),FALSE())))),"Recipient Phone; ","")&amp;IF(LEN($F64)&gt;35,"Recipient Company Name; ","")&amp;IF($G64="","Address Line 1; ","")&amp;IF(LEN($G64)&gt;35,"Address Line 1; ","")&amp;IF(LEN($H64)&gt;35,"Address Line 2; ","")&amp;IF(LEN($I64)&gt;35,"Address Line 3; ","")&amp;IF($J64="","Town; ","")&amp;IF(LEN($J64)&gt;35,"Town; ","")&amp;IF(AND($N64="IE",$K64=""),"County; ","")&amp;IF(LEN($AB64)&gt;35,"County; ","")&amp;IF(AND($L64="",AND($N64&lt;&gt;"AE",$N64&lt;&gt;"QA")),"Postcode; ","")&amp;IF(LEN($L64)&gt;35,"Postcode; ","")&amp;IF($AE64&lt;&gt;"","Postcode; ","")&amp;IF(LEN($O64)&gt;40,"Gift Message 1; ","")&amp;IF(LEN($P64)&gt;40,"Gift Message 2; ","")&amp;IF(LEN($Q64)&gt;40,"Gift Message 3; ","")&amp;IF(LEN($R64)&gt;40,"Gift Message 4; ","")&amp;IF(LEN($S64)&gt;40,"Gift Message 5; ","")&amp;IF(LEN($T64)&gt;40,"Gift Message 6; ","")&amp;IF(LEN($U64)&gt;40,"Gift Message 7; ",""))</f>
        <v/>
      </c>
      <c r="X64" s="44" t="str">
        <f ca="1">IF(COUNTA($A64,$D64:$M64,$O64:$U64)=0,"",IF($A64="","Enter the Item Code (hamper) - type it, paste it, or choose it from the dropdown. ","")&amp;IF(AND($A64&lt;&gt;"",ISNA(MATCH($AC64,'PRODUCT DATA'!$D$2:$D$394,0))),"This Item Code is not recognised. Check the code (case does not matter, but spelling and digits must match exactly) or choose it from the dropdown. ","")&amp;IF($M64="","Enter the Country after the Item Code - type or paste the name or the 2-letter code, or choose it from the dropdown. ","")&amp;IF(AND($M64&lt;&gt;"",NOT(OR(NOT(ISNA(MATCH(IF(UPPER($M64)="UK","GB",$M64),'PRODUCT DATA'!$A$2:$A$58,0))),NOT(ISNA(MATCH(IF(UPPER($M64)="UK","GB",$M64),'PRODUCT DATA'!$B$2:$B$58,0)))))),"This Country is not recognised as either a full name or a 2-letter code. Check the spelling (case does not matter) or choose it from the dropdown. ","")&amp;IF(AND($A64&lt;&gt;"",$M64&lt;&gt;"",NOT(ISNA(MATCH($AC64,'PRODUCT DATA'!$D$2:$D$394,0))),OR(NOT(ISNA(MATCH(IF(UPPER($M64)="UK","GB",$M64),'PRODUCT DATA'!$A$2:$A$58,0))),NOT(ISNA(MATCH(IF(UPPER($M64)="UK","GB",$M64),'PRODUCT DATA'!$B$2:$B$58,0)))),NOT(IFERROR(COUNTIF(OFFSET('PRODUCT DATA'!$F$2,0,MATCH($AC64,'PRODUCT DATA'!$F$1:$NN$1,0)-1,114,1),$N64)&gt;0,FALSE()))),IF(UPPER(IFERROR(OFFSET('PRODUCT DATA'!$C$2,MATCH($N64,'PRODUCT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"),"")&amp;IF($C64="","Enter Quantity. ","")&amp;IF(AND($C64&lt;&gt;"",OR(NOT(ISNUMBER($C64)),$C64&lt;1,$C64&gt;999,MOD($C64,1)&lt;&gt;0)),"Quantity must be a whole number from 1 to 999 (use a quantity above 1 only for a genuine bulk order of identical items to ONE address — otherwise use a separate row per recipient). ","")&amp;IF($D64="","Enter Recipient Name. ","")&amp;IF(LEN($D64)&gt;35,"Recipient Name exceeds 35 characters. ","")&amp;IF($E64="","Enter Recipient Phone. ","")&amp;IF(AND($E64&lt;&gt;"",OR(LEN($E64)&lt;6,LEN($E64)&gt;20,NOT(IFERROR(ISNUMBER(1*$E64),FALSE())))),"Phone must be the LOCAL number for the destination country: digits only, no +, spaces, or country code, 6 to 20 digits. ","")&amp;IF(LEN($F64)&gt;35,"Recipient Company Name exceeds 35 characters. ","")&amp;IF($G64="","Enter Address Line 1. ","")&amp;IF(LEN($G64)&gt;35,"Address Line 1 exceeds the 35-character SAP limit. ","")&amp;IF(LEN($H64)&gt;35,"Address Line 2 exceeds the 35-character SAP limit. ","")&amp;IF(LEN($I64)&gt;35,"Address Line 3 exceeds the 35-character SAP limit. ","")&amp;IF($J64="","Enter Town. This must never be left blank, even if there is no conventional town name. ","")&amp;IF(LEN($J64)&gt;35,"Town exceeds 35 characters. ","")&amp;IF(AND($N64="IE",$K64=""),"County is required for deliveries within the Republic of Ireland. ","")&amp;IF(LEN($AB64)&gt;35,"County exceeds 35 characters. ","")&amp;IF(AND($L64="",AND($N64&lt;&gt;"AE",$N64&lt;&gt;"QA")),"Postcode is required for the selected country. If there is genuinely no postcode, enter the first 3 characters of the area (e.g. D15). ","")&amp;IF(LEN($L64)&gt;35,"Postcode exceeds 35 characters. ","")&amp;IF($AE64&lt;&gt;"",$AE64,"")&amp;IF(LEN($O64)&gt;40,"Gift Message Line 1 exceeds 40 characters. ","")&amp;IF(LEN($P64)&gt;40,"Gift Message Line 2 exceeds 40 characters. ","")&amp;IF(LEN($Q64)&gt;40,"Gift Message Line 3 exceeds 40 characters. ","")&amp;IF(LEN($R64)&gt;40,"Gift Message Line 4 exceeds 40 characters. ","")&amp;IF(LEN($S64)&gt;40,"Gift Message Line 5 exceeds 40 characters. ","")&amp;IF(LEN($T64)&gt;40,"Gift Message Line 6 exceeds 40 characters. ","")&amp;IF(LEN($U64)&gt;40,"Gift Message Line 7 exceeds 40 characters. ",""))</f>
        <v/>
      </c>
      <c r="Y64" s="44" t="str">
        <f t="shared" si="1"/>
        <v/>
      </c>
      <c r="Z64" s="44"/>
      <c r="AA64" s="44"/>
      <c r="AB64" s="32" t="str">
        <f t="shared" si="2"/>
        <v/>
      </c>
      <c r="AC64" s="32" t="str">
        <f>IF($A64="","",IFERROR(LEFT(INDEX('PRODUCT DATA'!$NO$2:$NO$25,MATCH($A64,'PRODUCT DATA'!$NP$2:$NP$25,0)),FIND("|",INDEX('PRODUCT DATA'!$NO$2:$NO$25,MATCH($A64,'PRODUCT DATA'!$NP$2:$NP$25,0)))-1),$A64))</f>
        <v/>
      </c>
      <c r="AD64" s="45"/>
      <c r="AE64" s="45" t="str">
        <f t="shared" si="3"/>
        <v/>
      </c>
    </row>
    <row r="65" spans="1:31" ht="15" customHeight="1" x14ac:dyDescent="0.25">
      <c r="A65" s="40"/>
      <c r="B65" s="43" t="str">
        <f>IF($A65="","",IFERROR(VLOOKUP($AC65,'PRODUCT DATA'!$NR$2:$NS$374,2,FALSE()),"UNKNOWN ITEM CODE - please check"))</f>
        <v/>
      </c>
      <c r="C65" s="39">
        <v>1</v>
      </c>
      <c r="D65" s="39"/>
      <c r="E65" s="40"/>
      <c r="F65" s="41"/>
      <c r="G65" s="39"/>
      <c r="H65" s="41"/>
      <c r="I65" s="41"/>
      <c r="J65" s="39"/>
      <c r="K65" s="41"/>
      <c r="L65" s="40"/>
      <c r="M65" s="40"/>
      <c r="N65" s="42" t="str">
        <f>IF($M65="","",IFERROR(INDEX('PRODUCT DATA'!$B$2:$B$58,MATCH(IF(UPPER($M65)="UK","GB",$M65),'PRODUCT DATA'!$B$2:$B$58,0)),IFERROR(INDEX('PRODUCT DATA'!$B$2:$B$58,MATCH(IF(UPPER($M65)="UK","GB",$M65),'PRODUCT DATA'!$A$2:$A$58,0)),"UNKNOWN COUNTRY - please check")))</f>
        <v/>
      </c>
      <c r="O65" s="41"/>
      <c r="P65" s="41"/>
      <c r="Q65" s="41"/>
      <c r="R65" s="41"/>
      <c r="S65" s="41"/>
      <c r="T65" s="41"/>
      <c r="U65" s="41"/>
      <c r="V65" s="43" t="str">
        <f t="shared" si="0"/>
        <v/>
      </c>
      <c r="W65" s="44" t="str">
        <f ca="1">IF(COUNTA($A65,$D65:$M65,$O65:$U65)=0,"",IF($A65="","Item Code; ","")&amp;IF(AND($A65&lt;&gt;"",ISNA(MATCH($AC65,'PRODUCT DATA'!$D$2:$D$394,0))),"Item Code; ","")&amp;IF($M65="","Country; ","")&amp;IF(AND($M65&lt;&gt;"",NOT(OR(NOT(ISNA(MATCH(IF(UPPER($M65)="UK","GB",$M65),'PRODUCT DATA'!$A$2:$A$58,0))),NOT(ISNA(MATCH(IF(UPPER($M65)="UK","GB",$M65),'PRODUCT DATA'!$B$2:$B$58,0)))))),"Country; ","")&amp;IF(AND($A65&lt;&gt;"",$M65&lt;&gt;"",NOT(ISNA(MATCH($AC65,'PRODUCT DATA'!$D$2:$D$394,0))),OR(NOT(ISNA(MATCH(IF(UPPER($M65)="UK","GB",$M65),'PRODUCT DATA'!$A$2:$A$58,0))),NOT(ISNA(MATCH(IF(UPPER($M65)="UK","GB",$M65),'PRODUCT DATA'!$B$2:$B$58,0)))),NOT(IFERROR(COUNTIF(OFFSET('PRODUCT DATA'!$F$2,0,MATCH($AC65,'PRODUCT DATA'!$F$1:$NN$1,0)-1,114,1),$N65)&gt;0,FALSE()))),IF(UPPER(IFERROR(OFFSET('PRODUCT DATA'!$C$2,MATCH($N65,'PRODUCT DATA'!$B$2:$B$58,0)-1,0),""))="NO","Alcohol Restriction; ","Item Code / Country combination; "),"")&amp;IF($C65="","Quantity; ","")&amp;IF(AND($C65&lt;&gt;"",OR(NOT(ISNUMBER($C65)),$C65&lt;1,$C65&gt;999,MOD($C65,1)&lt;&gt;0)),"Quantity; ","")&amp;IF($D65="","Recipient Name; ","")&amp;IF(LEN($D65)&gt;35,"Recipient Name; ","")&amp;IF($E65="","Recipient Phone; ","")&amp;IF(AND($E65&lt;&gt;"",OR(LEN($E65)&lt;6,LEN($E65)&gt;20,NOT(IFERROR(ISNUMBER(1*$E65),FALSE())))),"Recipient Phone; ","")&amp;IF(LEN($F65)&gt;35,"Recipient Company Name; ","")&amp;IF($G65="","Address Line 1; ","")&amp;IF(LEN($G65)&gt;35,"Address Line 1; ","")&amp;IF(LEN($H65)&gt;35,"Address Line 2; ","")&amp;IF(LEN($I65)&gt;35,"Address Line 3; ","")&amp;IF($J65="","Town; ","")&amp;IF(LEN($J65)&gt;35,"Town; ","")&amp;IF(AND($N65="IE",$K65=""),"County; ","")&amp;IF(LEN($AB65)&gt;35,"County; ","")&amp;IF(AND($L65="",AND($N65&lt;&gt;"AE",$N65&lt;&gt;"QA")),"Postcode; ","")&amp;IF(LEN($L65)&gt;35,"Postcode; ","")&amp;IF($AE65&lt;&gt;"","Postcode; ","")&amp;IF(LEN($O65)&gt;40,"Gift Message 1; ","")&amp;IF(LEN($P65)&gt;40,"Gift Message 2; ","")&amp;IF(LEN($Q65)&gt;40,"Gift Message 3; ","")&amp;IF(LEN($R65)&gt;40,"Gift Message 4; ","")&amp;IF(LEN($S65)&gt;40,"Gift Message 5; ","")&amp;IF(LEN($T65)&gt;40,"Gift Message 6; ","")&amp;IF(LEN($U65)&gt;40,"Gift Message 7; ",""))</f>
        <v/>
      </c>
      <c r="X65" s="44" t="str">
        <f ca="1">IF(COUNTA($A65,$D65:$M65,$O65:$U65)=0,"",IF($A65="","Enter the Item Code (hamper) - type it, paste it, or choose it from the dropdown. ","")&amp;IF(AND($A65&lt;&gt;"",ISNA(MATCH($AC65,'PRODUCT DATA'!$D$2:$D$394,0))),"This Item Code is not recognised. Check the code (case does not matter, but spelling and digits must match exactly) or choose it from the dropdown. ","")&amp;IF($M65="","Enter the Country after the Item Code - type or paste the name or the 2-letter code, or choose it from the dropdown. ","")&amp;IF(AND($M65&lt;&gt;"",NOT(OR(NOT(ISNA(MATCH(IF(UPPER($M65)="UK","GB",$M65),'PRODUCT DATA'!$A$2:$A$58,0))),NOT(ISNA(MATCH(IF(UPPER($M65)="UK","GB",$M65),'PRODUCT DATA'!$B$2:$B$58,0)))))),"This Country is not recognised as either a full name or a 2-letter code. Check the spelling (case does not matter) or choose it from the dropdown. ","")&amp;IF(AND($A65&lt;&gt;"",$M65&lt;&gt;"",NOT(ISNA(MATCH($AC65,'PRODUCT DATA'!$D$2:$D$394,0))),OR(NOT(ISNA(MATCH(IF(UPPER($M65)="UK","GB",$M65),'PRODUCT DATA'!$A$2:$A$58,0))),NOT(ISNA(MATCH(IF(UPPER($M65)="UK","GB",$M65),'PRODUCT DATA'!$B$2:$B$58,0)))),NOT(IFERROR(COUNTIF(OFFSET('PRODUCT DATA'!$F$2,0,MATCH($AC65,'PRODUCT DATA'!$F$1:$NN$1,0)-1,114,1),$N65)&gt;0,FALSE()))),IF(UPPER(IFERROR(OFFSET('PRODUCT DATA'!$C$2,MATCH($N65,'PRODUCT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"),"")&amp;IF($C65="","Enter Quantity. ","")&amp;IF(AND($C65&lt;&gt;"",OR(NOT(ISNUMBER($C65)),$C65&lt;1,$C65&gt;999,MOD($C65,1)&lt;&gt;0)),"Quantity must be a whole number from 1 to 999 (use a quantity above 1 only for a genuine bulk order of identical items to ONE address — otherwise use a separate row per recipient). ","")&amp;IF($D65="","Enter Recipient Name. ","")&amp;IF(LEN($D65)&gt;35,"Recipient Name exceeds 35 characters. ","")&amp;IF($E65="","Enter Recipient Phone. ","")&amp;IF(AND($E65&lt;&gt;"",OR(LEN($E65)&lt;6,LEN($E65)&gt;20,NOT(IFERROR(ISNUMBER(1*$E65),FALSE())))),"Phone must be the LOCAL number for the destination country: digits only, no +, spaces, or country code, 6 to 20 digits. ","")&amp;IF(LEN($F65)&gt;35,"Recipient Company Name exceeds 35 characters. ","")&amp;IF($G65="","Enter Address Line 1. ","")&amp;IF(LEN($G65)&gt;35,"Address Line 1 exceeds the 35-character SAP limit. ","")&amp;IF(LEN($H65)&gt;35,"Address Line 2 exceeds the 35-character SAP limit. ","")&amp;IF(LEN($I65)&gt;35,"Address Line 3 exceeds the 35-character SAP limit. ","")&amp;IF($J65="","Enter Town. This must never be left blank, even if there is no conventional town name. ","")&amp;IF(LEN($J65)&gt;35,"Town exceeds 35 characters. ","")&amp;IF(AND($N65="IE",$K65=""),"County is required for deliveries within the Republic of Ireland. ","")&amp;IF(LEN($AB65)&gt;35,"County exceeds 35 characters. ","")&amp;IF(AND($L65="",AND($N65&lt;&gt;"AE",$N65&lt;&gt;"QA")),"Postcode is required for the selected country. If there is genuinely no postcode, enter the first 3 characters of the area (e.g. D15). ","")&amp;IF(LEN($L65)&gt;35,"Postcode exceeds 35 characters. ","")&amp;IF($AE65&lt;&gt;"",$AE65,"")&amp;IF(LEN($O65)&gt;40,"Gift Message Line 1 exceeds 40 characters. ","")&amp;IF(LEN($P65)&gt;40,"Gift Message Line 2 exceeds 40 characters. ","")&amp;IF(LEN($Q65)&gt;40,"Gift Message Line 3 exceeds 40 characters. ","")&amp;IF(LEN($R65)&gt;40,"Gift Message Line 4 exceeds 40 characters. ","")&amp;IF(LEN($S65)&gt;40,"Gift Message Line 5 exceeds 40 characters. ","")&amp;IF(LEN($T65)&gt;40,"Gift Message Line 6 exceeds 40 characters. ","")&amp;IF(LEN($U65)&gt;40,"Gift Message Line 7 exceeds 40 characters. ",""))</f>
        <v/>
      </c>
      <c r="Y65" s="44" t="str">
        <f t="shared" si="1"/>
        <v/>
      </c>
      <c r="Z65" s="44"/>
      <c r="AA65" s="44"/>
      <c r="AB65" s="32" t="str">
        <f t="shared" si="2"/>
        <v/>
      </c>
      <c r="AC65" s="32" t="str">
        <f>IF($A65="","",IFERROR(LEFT(INDEX('PRODUCT DATA'!$NO$2:$NO$25,MATCH($A65,'PRODUCT DATA'!$NP$2:$NP$25,0)),FIND("|",INDEX('PRODUCT DATA'!$NO$2:$NO$25,MATCH($A65,'PRODUCT DATA'!$NP$2:$NP$25,0)))-1),$A65))</f>
        <v/>
      </c>
      <c r="AD65" s="45"/>
      <c r="AE65" s="45" t="str">
        <f t="shared" si="3"/>
        <v/>
      </c>
    </row>
    <row r="66" spans="1:31" ht="15" customHeight="1" x14ac:dyDescent="0.25">
      <c r="A66" s="40"/>
      <c r="B66" s="43" t="str">
        <f>IF($A66="","",IFERROR(VLOOKUP($AC66,'PRODUCT DATA'!$NR$2:$NS$374,2,FALSE()),"UNKNOWN ITEM CODE - please check"))</f>
        <v/>
      </c>
      <c r="C66" s="39">
        <v>1</v>
      </c>
      <c r="D66" s="39"/>
      <c r="E66" s="40"/>
      <c r="F66" s="41"/>
      <c r="G66" s="39"/>
      <c r="H66" s="41"/>
      <c r="I66" s="41"/>
      <c r="J66" s="39"/>
      <c r="K66" s="41"/>
      <c r="L66" s="40"/>
      <c r="M66" s="40"/>
      <c r="N66" s="42" t="str">
        <f>IF($M66="","",IFERROR(INDEX('PRODUCT DATA'!$B$2:$B$58,MATCH(IF(UPPER($M66)="UK","GB",$M66),'PRODUCT DATA'!$B$2:$B$58,0)),IFERROR(INDEX('PRODUCT DATA'!$B$2:$B$58,MATCH(IF(UPPER($M66)="UK","GB",$M66),'PRODUCT DATA'!$A$2:$A$58,0)),"UNKNOWN COUNTRY - please check")))</f>
        <v/>
      </c>
      <c r="O66" s="41"/>
      <c r="P66" s="41"/>
      <c r="Q66" s="41"/>
      <c r="R66" s="41"/>
      <c r="S66" s="41"/>
      <c r="T66" s="41"/>
      <c r="U66" s="41"/>
      <c r="V66" s="43" t="str">
        <f t="shared" si="0"/>
        <v/>
      </c>
      <c r="W66" s="44" t="str">
        <f ca="1">IF(COUNTA($A66,$D66:$M66,$O66:$U66)=0,"",IF($A66="","Item Code; ","")&amp;IF(AND($A66&lt;&gt;"",ISNA(MATCH($AC66,'PRODUCT DATA'!$D$2:$D$394,0))),"Item Code; ","")&amp;IF($M66="","Country; ","")&amp;IF(AND($M66&lt;&gt;"",NOT(OR(NOT(ISNA(MATCH(IF(UPPER($M66)="UK","GB",$M66),'PRODUCT DATA'!$A$2:$A$58,0))),NOT(ISNA(MATCH(IF(UPPER($M66)="UK","GB",$M66),'PRODUCT DATA'!$B$2:$B$58,0)))))),"Country; ","")&amp;IF(AND($A66&lt;&gt;"",$M66&lt;&gt;"",NOT(ISNA(MATCH($AC66,'PRODUCT DATA'!$D$2:$D$394,0))),OR(NOT(ISNA(MATCH(IF(UPPER($M66)="UK","GB",$M66),'PRODUCT DATA'!$A$2:$A$58,0))),NOT(ISNA(MATCH(IF(UPPER($M66)="UK","GB",$M66),'PRODUCT DATA'!$B$2:$B$58,0)))),NOT(IFERROR(COUNTIF(OFFSET('PRODUCT DATA'!$F$2,0,MATCH($AC66,'PRODUCT DATA'!$F$1:$NN$1,0)-1,114,1),$N66)&gt;0,FALSE()))),IF(UPPER(IFERROR(OFFSET('PRODUCT DATA'!$C$2,MATCH($N66,'PRODUCT DATA'!$B$2:$B$58,0)-1,0),""))="NO","Alcohol Restriction; ","Item Code / Country combination; "),"")&amp;IF($C66="","Quantity; ","")&amp;IF(AND($C66&lt;&gt;"",OR(NOT(ISNUMBER($C66)),$C66&lt;1,$C66&gt;999,MOD($C66,1)&lt;&gt;0)),"Quantity; ","")&amp;IF($D66="","Recipient Name; ","")&amp;IF(LEN($D66)&gt;35,"Recipient Name; ","")&amp;IF($E66="","Recipient Phone; ","")&amp;IF(AND($E66&lt;&gt;"",OR(LEN($E66)&lt;6,LEN($E66)&gt;20,NOT(IFERROR(ISNUMBER(1*$E66),FALSE())))),"Recipient Phone; ","")&amp;IF(LEN($F66)&gt;35,"Recipient Company Name; ","")&amp;IF($G66="","Address Line 1; ","")&amp;IF(LEN($G66)&gt;35,"Address Line 1; ","")&amp;IF(LEN($H66)&gt;35,"Address Line 2; ","")&amp;IF(LEN($I66)&gt;35,"Address Line 3; ","")&amp;IF($J66="","Town; ","")&amp;IF(LEN($J66)&gt;35,"Town; ","")&amp;IF(AND($N66="IE",$K66=""),"County; ","")&amp;IF(LEN($AB66)&gt;35,"County; ","")&amp;IF(AND($L66="",AND($N66&lt;&gt;"AE",$N66&lt;&gt;"QA")),"Postcode; ","")&amp;IF(LEN($L66)&gt;35,"Postcode; ","")&amp;IF($AE66&lt;&gt;"","Postcode; ","")&amp;IF(LEN($O66)&gt;40,"Gift Message 1; ","")&amp;IF(LEN($P66)&gt;40,"Gift Message 2; ","")&amp;IF(LEN($Q66)&gt;40,"Gift Message 3; ","")&amp;IF(LEN($R66)&gt;40,"Gift Message 4; ","")&amp;IF(LEN($S66)&gt;40,"Gift Message 5; ","")&amp;IF(LEN($T66)&gt;40,"Gift Message 6; ","")&amp;IF(LEN($U66)&gt;40,"Gift Message 7; ",""))</f>
        <v/>
      </c>
      <c r="X66" s="44" t="str">
        <f ca="1">IF(COUNTA($A66,$D66:$M66,$O66:$U66)=0,"",IF($A66="","Enter the Item Code (hamper) - type it, paste it, or choose it from the dropdown. ","")&amp;IF(AND($A66&lt;&gt;"",ISNA(MATCH($AC66,'PRODUCT DATA'!$D$2:$D$394,0))),"This Item Code is not recognised. Check the code (case does not matter, but spelling and digits must match exactly) or choose it from the dropdown. ","")&amp;IF($M66="","Enter the Country after the Item Code - type or paste the name or the 2-letter code, or choose it from the dropdown. ","")&amp;IF(AND($M66&lt;&gt;"",NOT(OR(NOT(ISNA(MATCH(IF(UPPER($M66)="UK","GB",$M66),'PRODUCT DATA'!$A$2:$A$58,0))),NOT(ISNA(MATCH(IF(UPPER($M66)="UK","GB",$M66),'PRODUCT DATA'!$B$2:$B$58,0)))))),"This Country is not recognised as either a full name or a 2-letter code. Check the spelling (case does not matter) or choose it from the dropdown. ","")&amp;IF(AND($A66&lt;&gt;"",$M66&lt;&gt;"",NOT(ISNA(MATCH($AC66,'PRODUCT DATA'!$D$2:$D$394,0))),OR(NOT(ISNA(MATCH(IF(UPPER($M66)="UK","GB",$M66),'PRODUCT DATA'!$A$2:$A$58,0))),NOT(ISNA(MATCH(IF(UPPER($M66)="UK","GB",$M66),'PRODUCT DATA'!$B$2:$B$58,0)))),NOT(IFERROR(COUNTIF(OFFSET('PRODUCT DATA'!$F$2,0,MATCH($AC66,'PRODUCT DATA'!$F$1:$NN$1,0)-1,114,1),$N66)&gt;0,FALSE()))),IF(UPPER(IFERROR(OFFSET('PRODUCT DATA'!$C$2,MATCH($N66,'PRODUCT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"),"")&amp;IF($C66="","Enter Quantity. ","")&amp;IF(AND($C66&lt;&gt;"",OR(NOT(ISNUMBER($C66)),$C66&lt;1,$C66&gt;999,MOD($C66,1)&lt;&gt;0)),"Quantity must be a whole number from 1 to 999 (use a quantity above 1 only for a genuine bulk order of identical items to ONE address — otherwise use a separate row per recipient). ","")&amp;IF($D66="","Enter Recipient Name. ","")&amp;IF(LEN($D66)&gt;35,"Recipient Name exceeds 35 characters. ","")&amp;IF($E66="","Enter Recipient Phone. ","")&amp;IF(AND($E66&lt;&gt;"",OR(LEN($E66)&lt;6,LEN($E66)&gt;20,NOT(IFERROR(ISNUMBER(1*$E66),FALSE())))),"Phone must be the LOCAL number for the destination country: digits only, no +, spaces, or country code, 6 to 20 digits. ","")&amp;IF(LEN($F66)&gt;35,"Recipient Company Name exceeds 35 characters. ","")&amp;IF($G66="","Enter Address Line 1. ","")&amp;IF(LEN($G66)&gt;35,"Address Line 1 exceeds the 35-character SAP limit. ","")&amp;IF(LEN($H66)&gt;35,"Address Line 2 exceeds the 35-character SAP limit. ","")&amp;IF(LEN($I66)&gt;35,"Address Line 3 exceeds the 35-character SAP limit. ","")&amp;IF($J66="","Enter Town. This must never be left blank, even if there is no conventional town name. ","")&amp;IF(LEN($J66)&gt;35,"Town exceeds 35 characters. ","")&amp;IF(AND($N66="IE",$K66=""),"County is required for deliveries within the Republic of Ireland. ","")&amp;IF(LEN($AB66)&gt;35,"County exceeds 35 characters. ","")&amp;IF(AND($L66="",AND($N66&lt;&gt;"AE",$N66&lt;&gt;"QA")),"Postcode is required for the selected country. If there is genuinely no postcode, enter the first 3 characters of the area (e.g. D15). ","")&amp;IF(LEN($L66)&gt;35,"Postcode exceeds 35 characters. ","")&amp;IF($AE66&lt;&gt;"",$AE66,"")&amp;IF(LEN($O66)&gt;40,"Gift Message Line 1 exceeds 40 characters. ","")&amp;IF(LEN($P66)&gt;40,"Gift Message Line 2 exceeds 40 characters. ","")&amp;IF(LEN($Q66)&gt;40,"Gift Message Line 3 exceeds 40 characters. ","")&amp;IF(LEN($R66)&gt;40,"Gift Message Line 4 exceeds 40 characters. ","")&amp;IF(LEN($S66)&gt;40,"Gift Message Line 5 exceeds 40 characters. ","")&amp;IF(LEN($T66)&gt;40,"Gift Message Line 6 exceeds 40 characters. ","")&amp;IF(LEN($U66)&gt;40,"Gift Message Line 7 exceeds 40 characters. ",""))</f>
        <v/>
      </c>
      <c r="Y66" s="44" t="str">
        <f t="shared" si="1"/>
        <v/>
      </c>
      <c r="Z66" s="44"/>
      <c r="AA66" s="44"/>
      <c r="AB66" s="32" t="str">
        <f t="shared" si="2"/>
        <v/>
      </c>
      <c r="AC66" s="32" t="str">
        <f>IF($A66="","",IFERROR(LEFT(INDEX('PRODUCT DATA'!$NO$2:$NO$25,MATCH($A66,'PRODUCT DATA'!$NP$2:$NP$25,0)),FIND("|",INDEX('PRODUCT DATA'!$NO$2:$NO$25,MATCH($A66,'PRODUCT DATA'!$NP$2:$NP$25,0)))-1),$A66))</f>
        <v/>
      </c>
      <c r="AD66" s="45"/>
      <c r="AE66" s="45" t="str">
        <f t="shared" si="3"/>
        <v/>
      </c>
    </row>
    <row r="67" spans="1:31" ht="15" customHeight="1" x14ac:dyDescent="0.25">
      <c r="A67" s="40"/>
      <c r="B67" s="43" t="str">
        <f>IF($A67="","",IFERROR(VLOOKUP($AC67,'PRODUCT DATA'!$NR$2:$NS$374,2,FALSE()),"UNKNOWN ITEM CODE - please check"))</f>
        <v/>
      </c>
      <c r="C67" s="39">
        <v>1</v>
      </c>
      <c r="D67" s="39"/>
      <c r="E67" s="40"/>
      <c r="F67" s="41"/>
      <c r="G67" s="39"/>
      <c r="H67" s="41"/>
      <c r="I67" s="41"/>
      <c r="J67" s="39"/>
      <c r="K67" s="41"/>
      <c r="L67" s="40"/>
      <c r="M67" s="40"/>
      <c r="N67" s="42" t="str">
        <f>IF($M67="","",IFERROR(INDEX('PRODUCT DATA'!$B$2:$B$58,MATCH(IF(UPPER($M67)="UK","GB",$M67),'PRODUCT DATA'!$B$2:$B$58,0)),IFERROR(INDEX('PRODUCT DATA'!$B$2:$B$58,MATCH(IF(UPPER($M67)="UK","GB",$M67),'PRODUCT DATA'!$A$2:$A$58,0)),"UNKNOWN COUNTRY - please check")))</f>
        <v/>
      </c>
      <c r="O67" s="41"/>
      <c r="P67" s="41"/>
      <c r="Q67" s="41"/>
      <c r="R67" s="41"/>
      <c r="S67" s="41"/>
      <c r="T67" s="41"/>
      <c r="U67" s="41"/>
      <c r="V67" s="43" t="str">
        <f t="shared" si="0"/>
        <v/>
      </c>
      <c r="W67" s="44" t="str">
        <f ca="1">IF(COUNTA($A67,$D67:$M67,$O67:$U67)=0,"",IF($A67="","Item Code; ","")&amp;IF(AND($A67&lt;&gt;"",ISNA(MATCH($AC67,'PRODUCT DATA'!$D$2:$D$394,0))),"Item Code; ","")&amp;IF($M67="","Country; ","")&amp;IF(AND($M67&lt;&gt;"",NOT(OR(NOT(ISNA(MATCH(IF(UPPER($M67)="UK","GB",$M67),'PRODUCT DATA'!$A$2:$A$58,0))),NOT(ISNA(MATCH(IF(UPPER($M67)="UK","GB",$M67),'PRODUCT DATA'!$B$2:$B$58,0)))))),"Country; ","")&amp;IF(AND($A67&lt;&gt;"",$M67&lt;&gt;"",NOT(ISNA(MATCH($AC67,'PRODUCT DATA'!$D$2:$D$394,0))),OR(NOT(ISNA(MATCH(IF(UPPER($M67)="UK","GB",$M67),'PRODUCT DATA'!$A$2:$A$58,0))),NOT(ISNA(MATCH(IF(UPPER($M67)="UK","GB",$M67),'PRODUCT DATA'!$B$2:$B$58,0)))),NOT(IFERROR(COUNTIF(OFFSET('PRODUCT DATA'!$F$2,0,MATCH($AC67,'PRODUCT DATA'!$F$1:$NN$1,0)-1,114,1),$N67)&gt;0,FALSE()))),IF(UPPER(IFERROR(OFFSET('PRODUCT DATA'!$C$2,MATCH($N67,'PRODUCT DATA'!$B$2:$B$58,0)-1,0),""))="NO","Alcohol Restriction; ","Item Code / Country combination; "),"")&amp;IF($C67="","Quantity; ","")&amp;IF(AND($C67&lt;&gt;"",OR(NOT(ISNUMBER($C67)),$C67&lt;1,$C67&gt;999,MOD($C67,1)&lt;&gt;0)),"Quantity; ","")&amp;IF($D67="","Recipient Name; ","")&amp;IF(LEN($D67)&gt;35,"Recipient Name; ","")&amp;IF($E67="","Recipient Phone; ","")&amp;IF(AND($E67&lt;&gt;"",OR(LEN($E67)&lt;6,LEN($E67)&gt;20,NOT(IFERROR(ISNUMBER(1*$E67),FALSE())))),"Recipient Phone; ","")&amp;IF(LEN($F67)&gt;35,"Recipient Company Name; ","")&amp;IF($G67="","Address Line 1; ","")&amp;IF(LEN($G67)&gt;35,"Address Line 1; ","")&amp;IF(LEN($H67)&gt;35,"Address Line 2; ","")&amp;IF(LEN($I67)&gt;35,"Address Line 3; ","")&amp;IF($J67="","Town; ","")&amp;IF(LEN($J67)&gt;35,"Town; ","")&amp;IF(AND($N67="IE",$K67=""),"County; ","")&amp;IF(LEN($AB67)&gt;35,"County; ","")&amp;IF(AND($L67="",AND($N67&lt;&gt;"AE",$N67&lt;&gt;"QA")),"Postcode; ","")&amp;IF(LEN($L67)&gt;35,"Postcode; ","")&amp;IF($AE67&lt;&gt;"","Postcode; ","")&amp;IF(LEN($O67)&gt;40,"Gift Message 1; ","")&amp;IF(LEN($P67)&gt;40,"Gift Message 2; ","")&amp;IF(LEN($Q67)&gt;40,"Gift Message 3; ","")&amp;IF(LEN($R67)&gt;40,"Gift Message 4; ","")&amp;IF(LEN($S67)&gt;40,"Gift Message 5; ","")&amp;IF(LEN($T67)&gt;40,"Gift Message 6; ","")&amp;IF(LEN($U67)&gt;40,"Gift Message 7; ",""))</f>
        <v/>
      </c>
      <c r="X67" s="44" t="str">
        <f ca="1">IF(COUNTA($A67,$D67:$M67,$O67:$U67)=0,"",IF($A67="","Enter the Item Code (hamper) - type it, paste it, or choose it from the dropdown. ","")&amp;IF(AND($A67&lt;&gt;"",ISNA(MATCH($AC67,'PRODUCT DATA'!$D$2:$D$394,0))),"This Item Code is not recognised. Check the code (case does not matter, but spelling and digits must match exactly) or choose it from the dropdown. ","")&amp;IF($M67="","Enter the Country after the Item Code - type or paste the name or the 2-letter code, or choose it from the dropdown. ","")&amp;IF(AND($M67&lt;&gt;"",NOT(OR(NOT(ISNA(MATCH(IF(UPPER($M67)="UK","GB",$M67),'PRODUCT DATA'!$A$2:$A$58,0))),NOT(ISNA(MATCH(IF(UPPER($M67)="UK","GB",$M67),'PRODUCT DATA'!$B$2:$B$58,0)))))),"This Country is not recognised as either a full name or a 2-letter code. Check the spelling (case does not matter) or choose it from the dropdown. ","")&amp;IF(AND($A67&lt;&gt;"",$M67&lt;&gt;"",NOT(ISNA(MATCH($AC67,'PRODUCT DATA'!$D$2:$D$394,0))),OR(NOT(ISNA(MATCH(IF(UPPER($M67)="UK","GB",$M67),'PRODUCT DATA'!$A$2:$A$58,0))),NOT(ISNA(MATCH(IF(UPPER($M67)="UK","GB",$M67),'PRODUCT DATA'!$B$2:$B$58,0)))),NOT(IFERROR(COUNTIF(OFFSET('PRODUCT DATA'!$F$2,0,MATCH($AC67,'PRODUCT DATA'!$F$1:$NN$1,0)-1,114,1),$N67)&gt;0,FALSE()))),IF(UPPER(IFERROR(OFFSET('PRODUCT DATA'!$C$2,MATCH($N67,'PRODUCT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"),"")&amp;IF($C67="","Enter Quantity. ","")&amp;IF(AND($C67&lt;&gt;"",OR(NOT(ISNUMBER($C67)),$C67&lt;1,$C67&gt;999,MOD($C67,1)&lt;&gt;0)),"Quantity must be a whole number from 1 to 999 (use a quantity above 1 only for a genuine bulk order of identical items to ONE address — otherwise use a separate row per recipient). ","")&amp;IF($D67="","Enter Recipient Name. ","")&amp;IF(LEN($D67)&gt;35,"Recipient Name exceeds 35 characters. ","")&amp;IF($E67="","Enter Recipient Phone. ","")&amp;IF(AND($E67&lt;&gt;"",OR(LEN($E67)&lt;6,LEN($E67)&gt;20,NOT(IFERROR(ISNUMBER(1*$E67),FALSE())))),"Phone must be the LOCAL number for the destination country: digits only, no +, spaces, or country code, 6 to 20 digits. ","")&amp;IF(LEN($F67)&gt;35,"Recipient Company Name exceeds 35 characters. ","")&amp;IF($G67="","Enter Address Line 1. ","")&amp;IF(LEN($G67)&gt;35,"Address Line 1 exceeds the 35-character SAP limit. ","")&amp;IF(LEN($H67)&gt;35,"Address Line 2 exceeds the 35-character SAP limit. ","")&amp;IF(LEN($I67)&gt;35,"Address Line 3 exceeds the 35-character SAP limit. ","")&amp;IF($J67="","Enter Town. This must never be left blank, even if there is no conventional town name. ","")&amp;IF(LEN($J67)&gt;35,"Town exceeds 35 characters. ","")&amp;IF(AND($N67="IE",$K67=""),"County is required for deliveries within the Republic of Ireland. ","")&amp;IF(LEN($AB67)&gt;35,"County exceeds 35 characters. ","")&amp;IF(AND($L67="",AND($N67&lt;&gt;"AE",$N67&lt;&gt;"QA")),"Postcode is required for the selected country. If there is genuinely no postcode, enter the first 3 characters of the area (e.g. D15). ","")&amp;IF(LEN($L67)&gt;35,"Postcode exceeds 35 characters. ","")&amp;IF($AE67&lt;&gt;"",$AE67,"")&amp;IF(LEN($O67)&gt;40,"Gift Message Line 1 exceeds 40 characters. ","")&amp;IF(LEN($P67)&gt;40,"Gift Message Line 2 exceeds 40 characters. ","")&amp;IF(LEN($Q67)&gt;40,"Gift Message Line 3 exceeds 40 characters. ","")&amp;IF(LEN($R67)&gt;40,"Gift Message Line 4 exceeds 40 characters. ","")&amp;IF(LEN($S67)&gt;40,"Gift Message Line 5 exceeds 40 characters. ","")&amp;IF(LEN($T67)&gt;40,"Gift Message Line 6 exceeds 40 characters. ","")&amp;IF(LEN($U67)&gt;40,"Gift Message Line 7 exceeds 40 characters. ",""))</f>
        <v/>
      </c>
      <c r="Y67" s="44" t="str">
        <f t="shared" si="1"/>
        <v/>
      </c>
      <c r="Z67" s="44"/>
      <c r="AA67" s="44"/>
      <c r="AB67" s="32" t="str">
        <f t="shared" si="2"/>
        <v/>
      </c>
      <c r="AC67" s="32" t="str">
        <f>IF($A67="","",IFERROR(LEFT(INDEX('PRODUCT DATA'!$NO$2:$NO$25,MATCH($A67,'PRODUCT DATA'!$NP$2:$NP$25,0)),FIND("|",INDEX('PRODUCT DATA'!$NO$2:$NO$25,MATCH($A67,'PRODUCT DATA'!$NP$2:$NP$25,0)))-1),$A67))</f>
        <v/>
      </c>
      <c r="AD67" s="45"/>
      <c r="AE67" s="45" t="str">
        <f t="shared" si="3"/>
        <v/>
      </c>
    </row>
    <row r="68" spans="1:31" ht="15" customHeight="1" x14ac:dyDescent="0.25">
      <c r="A68" s="40"/>
      <c r="B68" s="43" t="str">
        <f>IF($A68="","",IFERROR(VLOOKUP($AC68,'PRODUCT DATA'!$NR$2:$NS$374,2,FALSE()),"UNKNOWN ITEM CODE - please check"))</f>
        <v/>
      </c>
      <c r="C68" s="39">
        <v>1</v>
      </c>
      <c r="D68" s="39"/>
      <c r="E68" s="40"/>
      <c r="F68" s="41"/>
      <c r="G68" s="39"/>
      <c r="H68" s="41"/>
      <c r="I68" s="41"/>
      <c r="J68" s="39"/>
      <c r="K68" s="41"/>
      <c r="L68" s="40"/>
      <c r="M68" s="40"/>
      <c r="N68" s="42" t="str">
        <f>IF($M68="","",IFERROR(INDEX('PRODUCT DATA'!$B$2:$B$58,MATCH(IF(UPPER($M68)="UK","GB",$M68),'PRODUCT DATA'!$B$2:$B$58,0)),IFERROR(INDEX('PRODUCT DATA'!$B$2:$B$58,MATCH(IF(UPPER($M68)="UK","GB",$M68),'PRODUCT DATA'!$A$2:$A$58,0)),"UNKNOWN COUNTRY - please check")))</f>
        <v/>
      </c>
      <c r="O68" s="41"/>
      <c r="P68" s="41"/>
      <c r="Q68" s="41"/>
      <c r="R68" s="41"/>
      <c r="S68" s="41"/>
      <c r="T68" s="41"/>
      <c r="U68" s="41"/>
      <c r="V68" s="43" t="str">
        <f t="shared" si="0"/>
        <v/>
      </c>
      <c r="W68" s="44" t="str">
        <f ca="1">IF(COUNTA($A68,$D68:$M68,$O68:$U68)=0,"",IF($A68="","Item Code; ","")&amp;IF(AND($A68&lt;&gt;"",ISNA(MATCH($AC68,'PRODUCT DATA'!$D$2:$D$394,0))),"Item Code; ","")&amp;IF($M68="","Country; ","")&amp;IF(AND($M68&lt;&gt;"",NOT(OR(NOT(ISNA(MATCH(IF(UPPER($M68)="UK","GB",$M68),'PRODUCT DATA'!$A$2:$A$58,0))),NOT(ISNA(MATCH(IF(UPPER($M68)="UK","GB",$M68),'PRODUCT DATA'!$B$2:$B$58,0)))))),"Country; ","")&amp;IF(AND($A68&lt;&gt;"",$M68&lt;&gt;"",NOT(ISNA(MATCH($AC68,'PRODUCT DATA'!$D$2:$D$394,0))),OR(NOT(ISNA(MATCH(IF(UPPER($M68)="UK","GB",$M68),'PRODUCT DATA'!$A$2:$A$58,0))),NOT(ISNA(MATCH(IF(UPPER($M68)="UK","GB",$M68),'PRODUCT DATA'!$B$2:$B$58,0)))),NOT(IFERROR(COUNTIF(OFFSET('PRODUCT DATA'!$F$2,0,MATCH($AC68,'PRODUCT DATA'!$F$1:$NN$1,0)-1,114,1),$N68)&gt;0,FALSE()))),IF(UPPER(IFERROR(OFFSET('PRODUCT DATA'!$C$2,MATCH($N68,'PRODUCT DATA'!$B$2:$B$58,0)-1,0),""))="NO","Alcohol Restriction; ","Item Code / Country combination; "),"")&amp;IF($C68="","Quantity; ","")&amp;IF(AND($C68&lt;&gt;"",OR(NOT(ISNUMBER($C68)),$C68&lt;1,$C68&gt;999,MOD($C68,1)&lt;&gt;0)),"Quantity; ","")&amp;IF($D68="","Recipient Name; ","")&amp;IF(LEN($D68)&gt;35,"Recipient Name; ","")&amp;IF($E68="","Recipient Phone; ","")&amp;IF(AND($E68&lt;&gt;"",OR(LEN($E68)&lt;6,LEN($E68)&gt;20,NOT(IFERROR(ISNUMBER(1*$E68),FALSE())))),"Recipient Phone; ","")&amp;IF(LEN($F68)&gt;35,"Recipient Company Name; ","")&amp;IF($G68="","Address Line 1; ","")&amp;IF(LEN($G68)&gt;35,"Address Line 1; ","")&amp;IF(LEN($H68)&gt;35,"Address Line 2; ","")&amp;IF(LEN($I68)&gt;35,"Address Line 3; ","")&amp;IF($J68="","Town; ","")&amp;IF(LEN($J68)&gt;35,"Town; ","")&amp;IF(AND($N68="IE",$K68=""),"County; ","")&amp;IF(LEN($AB68)&gt;35,"County; ","")&amp;IF(AND($L68="",AND($N68&lt;&gt;"AE",$N68&lt;&gt;"QA")),"Postcode; ","")&amp;IF(LEN($L68)&gt;35,"Postcode; ","")&amp;IF($AE68&lt;&gt;"","Postcode; ","")&amp;IF(LEN($O68)&gt;40,"Gift Message 1; ","")&amp;IF(LEN($P68)&gt;40,"Gift Message 2; ","")&amp;IF(LEN($Q68)&gt;40,"Gift Message 3; ","")&amp;IF(LEN($R68)&gt;40,"Gift Message 4; ","")&amp;IF(LEN($S68)&gt;40,"Gift Message 5; ","")&amp;IF(LEN($T68)&gt;40,"Gift Message 6; ","")&amp;IF(LEN($U68)&gt;40,"Gift Message 7; ",""))</f>
        <v/>
      </c>
      <c r="X68" s="44" t="str">
        <f ca="1">IF(COUNTA($A68,$D68:$M68,$O68:$U68)=0,"",IF($A68="","Enter the Item Code (hamper) - type it, paste it, or choose it from the dropdown. ","")&amp;IF(AND($A68&lt;&gt;"",ISNA(MATCH($AC68,'PRODUCT DATA'!$D$2:$D$394,0))),"This Item Code is not recognised. Check the code (case does not matter, but spelling and digits must match exactly) or choose it from the dropdown. ","")&amp;IF($M68="","Enter the Country after the Item Code - type or paste the name or the 2-letter code, or choose it from the dropdown. ","")&amp;IF(AND($M68&lt;&gt;"",NOT(OR(NOT(ISNA(MATCH(IF(UPPER($M68)="UK","GB",$M68),'PRODUCT DATA'!$A$2:$A$58,0))),NOT(ISNA(MATCH(IF(UPPER($M68)="UK","GB",$M68),'PRODUCT DATA'!$B$2:$B$58,0)))))),"This Country is not recognised as either a full name or a 2-letter code. Check the spelling (case does not matter) or choose it from the dropdown. ","")&amp;IF(AND($A68&lt;&gt;"",$M68&lt;&gt;"",NOT(ISNA(MATCH($AC68,'PRODUCT DATA'!$D$2:$D$394,0))),OR(NOT(ISNA(MATCH(IF(UPPER($M68)="UK","GB",$M68),'PRODUCT DATA'!$A$2:$A$58,0))),NOT(ISNA(MATCH(IF(UPPER($M68)="UK","GB",$M68),'PRODUCT DATA'!$B$2:$B$58,0)))),NOT(IFERROR(COUNTIF(OFFSET('PRODUCT DATA'!$F$2,0,MATCH($AC68,'PRODUCT DATA'!$F$1:$NN$1,0)-1,114,1),$N68)&gt;0,FALSE()))),IF(UPPER(IFERROR(OFFSET('PRODUCT DATA'!$C$2,MATCH($N68,'PRODUCT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"),"")&amp;IF($C68="","Enter Quantity. ","")&amp;IF(AND($C68&lt;&gt;"",OR(NOT(ISNUMBER($C68)),$C68&lt;1,$C68&gt;999,MOD($C68,1)&lt;&gt;0)),"Quantity must be a whole number from 1 to 999 (use a quantity above 1 only for a genuine bulk order of identical items to ONE address — otherwise use a separate row per recipient). ","")&amp;IF($D68="","Enter Recipient Name. ","")&amp;IF(LEN($D68)&gt;35,"Recipient Name exceeds 35 characters. ","")&amp;IF($E68="","Enter Recipient Phone. ","")&amp;IF(AND($E68&lt;&gt;"",OR(LEN($E68)&lt;6,LEN($E68)&gt;20,NOT(IFERROR(ISNUMBER(1*$E68),FALSE())))),"Phone must be the LOCAL number for the destination country: digits only, no +, spaces, or country code, 6 to 20 digits. ","")&amp;IF(LEN($F68)&gt;35,"Recipient Company Name exceeds 35 characters. ","")&amp;IF($G68="","Enter Address Line 1. ","")&amp;IF(LEN($G68)&gt;35,"Address Line 1 exceeds the 35-character SAP limit. ","")&amp;IF(LEN($H68)&gt;35,"Address Line 2 exceeds the 35-character SAP limit. ","")&amp;IF(LEN($I68)&gt;35,"Address Line 3 exceeds the 35-character SAP limit. ","")&amp;IF($J68="","Enter Town. This must never be left blank, even if there is no conventional town name. ","")&amp;IF(LEN($J68)&gt;35,"Town exceeds 35 characters. ","")&amp;IF(AND($N68="IE",$K68=""),"County is required for deliveries within the Republic of Ireland. ","")&amp;IF(LEN($AB68)&gt;35,"County exceeds 35 characters. ","")&amp;IF(AND($L68="",AND($N68&lt;&gt;"AE",$N68&lt;&gt;"QA")),"Postcode is required for the selected country. If there is genuinely no postcode, enter the first 3 characters of the area (e.g. D15). ","")&amp;IF(LEN($L68)&gt;35,"Postcode exceeds 35 characters. ","")&amp;IF($AE68&lt;&gt;"",$AE68,"")&amp;IF(LEN($O68)&gt;40,"Gift Message Line 1 exceeds 40 characters. ","")&amp;IF(LEN($P68)&gt;40,"Gift Message Line 2 exceeds 40 characters. ","")&amp;IF(LEN($Q68)&gt;40,"Gift Message Line 3 exceeds 40 characters. ","")&amp;IF(LEN($R68)&gt;40,"Gift Message Line 4 exceeds 40 characters. ","")&amp;IF(LEN($S68)&gt;40,"Gift Message Line 5 exceeds 40 characters. ","")&amp;IF(LEN($T68)&gt;40,"Gift Message Line 6 exceeds 40 characters. ","")&amp;IF(LEN($U68)&gt;40,"Gift Message Line 7 exceeds 40 characters. ",""))</f>
        <v/>
      </c>
      <c r="Y68" s="44" t="str">
        <f t="shared" si="1"/>
        <v/>
      </c>
      <c r="Z68" s="44"/>
      <c r="AA68" s="44"/>
      <c r="AB68" s="32" t="str">
        <f t="shared" si="2"/>
        <v/>
      </c>
      <c r="AC68" s="32" t="str">
        <f>IF($A68="","",IFERROR(LEFT(INDEX('PRODUCT DATA'!$NO$2:$NO$25,MATCH($A68,'PRODUCT DATA'!$NP$2:$NP$25,0)),FIND("|",INDEX('PRODUCT DATA'!$NO$2:$NO$25,MATCH($A68,'PRODUCT DATA'!$NP$2:$NP$25,0)))-1),$A68))</f>
        <v/>
      </c>
      <c r="AD68" s="45"/>
      <c r="AE68" s="45" t="str">
        <f t="shared" si="3"/>
        <v/>
      </c>
    </row>
    <row r="69" spans="1:31" ht="15" customHeight="1" x14ac:dyDescent="0.25">
      <c r="A69" s="40"/>
      <c r="B69" s="43" t="str">
        <f>IF($A69="","",IFERROR(VLOOKUP($AC69,'PRODUCT DATA'!$NR$2:$NS$374,2,FALSE()),"UNKNOWN ITEM CODE - please check"))</f>
        <v/>
      </c>
      <c r="C69" s="39">
        <v>1</v>
      </c>
      <c r="D69" s="39"/>
      <c r="E69" s="40"/>
      <c r="F69" s="41"/>
      <c r="G69" s="39"/>
      <c r="H69" s="41"/>
      <c r="I69" s="41"/>
      <c r="J69" s="39"/>
      <c r="K69" s="41"/>
      <c r="L69" s="40"/>
      <c r="M69" s="40"/>
      <c r="N69" s="42" t="str">
        <f>IF($M69="","",IFERROR(INDEX('PRODUCT DATA'!$B$2:$B$58,MATCH(IF(UPPER($M69)="UK","GB",$M69),'PRODUCT DATA'!$B$2:$B$58,0)),IFERROR(INDEX('PRODUCT DATA'!$B$2:$B$58,MATCH(IF(UPPER($M69)="UK","GB",$M69),'PRODUCT DATA'!$A$2:$A$58,0)),"UNKNOWN COUNTRY - please check")))</f>
        <v/>
      </c>
      <c r="O69" s="41"/>
      <c r="P69" s="41"/>
      <c r="Q69" s="41"/>
      <c r="R69" s="41"/>
      <c r="S69" s="41"/>
      <c r="T69" s="41"/>
      <c r="U69" s="41"/>
      <c r="V69" s="43" t="str">
        <f t="shared" si="0"/>
        <v/>
      </c>
      <c r="W69" s="44" t="str">
        <f ca="1">IF(COUNTA($A69,$D69:$M69,$O69:$U69)=0,"",IF($A69="","Item Code; ","")&amp;IF(AND($A69&lt;&gt;"",ISNA(MATCH($AC69,'PRODUCT DATA'!$D$2:$D$394,0))),"Item Code; ","")&amp;IF($M69="","Country; ","")&amp;IF(AND($M69&lt;&gt;"",NOT(OR(NOT(ISNA(MATCH(IF(UPPER($M69)="UK","GB",$M69),'PRODUCT DATA'!$A$2:$A$58,0))),NOT(ISNA(MATCH(IF(UPPER($M69)="UK","GB",$M69),'PRODUCT DATA'!$B$2:$B$58,0)))))),"Country; ","")&amp;IF(AND($A69&lt;&gt;"",$M69&lt;&gt;"",NOT(ISNA(MATCH($AC69,'PRODUCT DATA'!$D$2:$D$394,0))),OR(NOT(ISNA(MATCH(IF(UPPER($M69)="UK","GB",$M69),'PRODUCT DATA'!$A$2:$A$58,0))),NOT(ISNA(MATCH(IF(UPPER($M69)="UK","GB",$M69),'PRODUCT DATA'!$B$2:$B$58,0)))),NOT(IFERROR(COUNTIF(OFFSET('PRODUCT DATA'!$F$2,0,MATCH($AC69,'PRODUCT DATA'!$F$1:$NN$1,0)-1,114,1),$N69)&gt;0,FALSE()))),IF(UPPER(IFERROR(OFFSET('PRODUCT DATA'!$C$2,MATCH($N69,'PRODUCT DATA'!$B$2:$B$58,0)-1,0),""))="NO","Alcohol Restriction; ","Item Code / Country combination; "),"")&amp;IF($C69="","Quantity; ","")&amp;IF(AND($C69&lt;&gt;"",OR(NOT(ISNUMBER($C69)),$C69&lt;1,$C69&gt;999,MOD($C69,1)&lt;&gt;0)),"Quantity; ","")&amp;IF($D69="","Recipient Name; ","")&amp;IF(LEN($D69)&gt;35,"Recipient Name; ","")&amp;IF($E69="","Recipient Phone; ","")&amp;IF(AND($E69&lt;&gt;"",OR(LEN($E69)&lt;6,LEN($E69)&gt;20,NOT(IFERROR(ISNUMBER(1*$E69),FALSE())))),"Recipient Phone; ","")&amp;IF(LEN($F69)&gt;35,"Recipient Company Name; ","")&amp;IF($G69="","Address Line 1; ","")&amp;IF(LEN($G69)&gt;35,"Address Line 1; ","")&amp;IF(LEN($H69)&gt;35,"Address Line 2; ","")&amp;IF(LEN($I69)&gt;35,"Address Line 3; ","")&amp;IF($J69="","Town; ","")&amp;IF(LEN($J69)&gt;35,"Town; ","")&amp;IF(AND($N69="IE",$K69=""),"County; ","")&amp;IF(LEN($AB69)&gt;35,"County; ","")&amp;IF(AND($L69="",AND($N69&lt;&gt;"AE",$N69&lt;&gt;"QA")),"Postcode; ","")&amp;IF(LEN($L69)&gt;35,"Postcode; ","")&amp;IF($AE69&lt;&gt;"","Postcode; ","")&amp;IF(LEN($O69)&gt;40,"Gift Message 1; ","")&amp;IF(LEN($P69)&gt;40,"Gift Message 2; ","")&amp;IF(LEN($Q69)&gt;40,"Gift Message 3; ","")&amp;IF(LEN($R69)&gt;40,"Gift Message 4; ","")&amp;IF(LEN($S69)&gt;40,"Gift Message 5; ","")&amp;IF(LEN($T69)&gt;40,"Gift Message 6; ","")&amp;IF(LEN($U69)&gt;40,"Gift Message 7; ",""))</f>
        <v/>
      </c>
      <c r="X69" s="44" t="str">
        <f ca="1">IF(COUNTA($A69,$D69:$M69,$O69:$U69)=0,"",IF($A69="","Enter the Item Code (hamper) - type it, paste it, or choose it from the dropdown. ","")&amp;IF(AND($A69&lt;&gt;"",ISNA(MATCH($AC69,'PRODUCT DATA'!$D$2:$D$394,0))),"This Item Code is not recognised. Check the code (case does not matter, but spelling and digits must match exactly) or choose it from the dropdown. ","")&amp;IF($M69="","Enter the Country after the Item Code - type or paste the name or the 2-letter code, or choose it from the dropdown. ","")&amp;IF(AND($M69&lt;&gt;"",NOT(OR(NOT(ISNA(MATCH(IF(UPPER($M69)="UK","GB",$M69),'PRODUCT DATA'!$A$2:$A$58,0))),NOT(ISNA(MATCH(IF(UPPER($M69)="UK","GB",$M69),'PRODUCT DATA'!$B$2:$B$58,0)))))),"This Country is not recognised as either a full name or a 2-letter code. Check the spelling (case does not matter) or choose it from the dropdown. ","")&amp;IF(AND($A69&lt;&gt;"",$M69&lt;&gt;"",NOT(ISNA(MATCH($AC69,'PRODUCT DATA'!$D$2:$D$394,0))),OR(NOT(ISNA(MATCH(IF(UPPER($M69)="UK","GB",$M69),'PRODUCT DATA'!$A$2:$A$58,0))),NOT(ISNA(MATCH(IF(UPPER($M69)="UK","GB",$M69),'PRODUCT DATA'!$B$2:$B$58,0)))),NOT(IFERROR(COUNTIF(OFFSET('PRODUCT DATA'!$F$2,0,MATCH($AC69,'PRODUCT DATA'!$F$1:$NN$1,0)-1,114,1),$N69)&gt;0,FALSE()))),IF(UPPER(IFERROR(OFFSET('PRODUCT DATA'!$C$2,MATCH($N69,'PRODUCT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"),"")&amp;IF($C69="","Enter Quantity. ","")&amp;IF(AND($C69&lt;&gt;"",OR(NOT(ISNUMBER($C69)),$C69&lt;1,$C69&gt;999,MOD($C69,1)&lt;&gt;0)),"Quantity must be a whole number from 1 to 999 (use a quantity above 1 only for a genuine bulk order of identical items to ONE address — otherwise use a separate row per recipient). ","")&amp;IF($D69="","Enter Recipient Name. ","")&amp;IF(LEN($D69)&gt;35,"Recipient Name exceeds 35 characters. ","")&amp;IF($E69="","Enter Recipient Phone. ","")&amp;IF(AND($E69&lt;&gt;"",OR(LEN($E69)&lt;6,LEN($E69)&gt;20,NOT(IFERROR(ISNUMBER(1*$E69),FALSE())))),"Phone must be the LOCAL number for the destination country: digits only, no +, spaces, or country code, 6 to 20 digits. ","")&amp;IF(LEN($F69)&gt;35,"Recipient Company Name exceeds 35 characters. ","")&amp;IF($G69="","Enter Address Line 1. ","")&amp;IF(LEN($G69)&gt;35,"Address Line 1 exceeds the 35-character SAP limit. ","")&amp;IF(LEN($H69)&gt;35,"Address Line 2 exceeds the 35-character SAP limit. ","")&amp;IF(LEN($I69)&gt;35,"Address Line 3 exceeds the 35-character SAP limit. ","")&amp;IF($J69="","Enter Town. This must never be left blank, even if there is no conventional town name. ","")&amp;IF(LEN($J69)&gt;35,"Town exceeds 35 characters. ","")&amp;IF(AND($N69="IE",$K69=""),"County is required for deliveries within the Republic of Ireland. ","")&amp;IF(LEN($AB69)&gt;35,"County exceeds 35 characters. ","")&amp;IF(AND($L69="",AND($N69&lt;&gt;"AE",$N69&lt;&gt;"QA")),"Postcode is required for the selected country. If there is genuinely no postcode, enter the first 3 characters of the area (e.g. D15). ","")&amp;IF(LEN($L69)&gt;35,"Postcode exceeds 35 characters. ","")&amp;IF($AE69&lt;&gt;"",$AE69,"")&amp;IF(LEN($O69)&gt;40,"Gift Message Line 1 exceeds 40 characters. ","")&amp;IF(LEN($P69)&gt;40,"Gift Message Line 2 exceeds 40 characters. ","")&amp;IF(LEN($Q69)&gt;40,"Gift Message Line 3 exceeds 40 characters. ","")&amp;IF(LEN($R69)&gt;40,"Gift Message Line 4 exceeds 40 characters. ","")&amp;IF(LEN($S69)&gt;40,"Gift Message Line 5 exceeds 40 characters. ","")&amp;IF(LEN($T69)&gt;40,"Gift Message Line 6 exceeds 40 characters. ","")&amp;IF(LEN($U69)&gt;40,"Gift Message Line 7 exceeds 40 characters. ",""))</f>
        <v/>
      </c>
      <c r="Y69" s="44" t="str">
        <f t="shared" si="1"/>
        <v/>
      </c>
      <c r="Z69" s="44"/>
      <c r="AA69" s="44"/>
      <c r="AB69" s="32" t="str">
        <f t="shared" si="2"/>
        <v/>
      </c>
      <c r="AC69" s="32" t="str">
        <f>IF($A69="","",IFERROR(LEFT(INDEX('PRODUCT DATA'!$NO$2:$NO$25,MATCH($A69,'PRODUCT DATA'!$NP$2:$NP$25,0)),FIND("|",INDEX('PRODUCT DATA'!$NO$2:$NO$25,MATCH($A69,'PRODUCT DATA'!$NP$2:$NP$25,0)))-1),$A69))</f>
        <v/>
      </c>
      <c r="AD69" s="45"/>
      <c r="AE69" s="45" t="str">
        <f t="shared" si="3"/>
        <v/>
      </c>
    </row>
    <row r="70" spans="1:31" ht="15" customHeight="1" x14ac:dyDescent="0.25">
      <c r="A70" s="40"/>
      <c r="B70" s="43" t="str">
        <f>IF($A70="","",IFERROR(VLOOKUP($AC70,'PRODUCT DATA'!$NR$2:$NS$374,2,FALSE()),"UNKNOWN ITEM CODE - please check"))</f>
        <v/>
      </c>
      <c r="C70" s="39">
        <v>1</v>
      </c>
      <c r="D70" s="39"/>
      <c r="E70" s="40"/>
      <c r="F70" s="41"/>
      <c r="G70" s="39"/>
      <c r="H70" s="41"/>
      <c r="I70" s="41"/>
      <c r="J70" s="39"/>
      <c r="K70" s="41"/>
      <c r="L70" s="40"/>
      <c r="M70" s="40"/>
      <c r="N70" s="42" t="str">
        <f>IF($M70="","",IFERROR(INDEX('PRODUCT DATA'!$B$2:$B$58,MATCH(IF(UPPER($M70)="UK","GB",$M70),'PRODUCT DATA'!$B$2:$B$58,0)),IFERROR(INDEX('PRODUCT DATA'!$B$2:$B$58,MATCH(IF(UPPER($M70)="UK","GB",$M70),'PRODUCT DATA'!$A$2:$A$58,0)),"UNKNOWN COUNTRY - please check")))</f>
        <v/>
      </c>
      <c r="O70" s="41"/>
      <c r="P70" s="41"/>
      <c r="Q70" s="41"/>
      <c r="R70" s="41"/>
      <c r="S70" s="41"/>
      <c r="T70" s="41"/>
      <c r="U70" s="41"/>
      <c r="V70" s="43" t="str">
        <f t="shared" ref="V70:V133" si="4">IF(COUNTA($A70,$D70:$M70,$O70:$U70)=0,"",IF($X70="","OK","FIX"))</f>
        <v/>
      </c>
      <c r="W70" s="44" t="str">
        <f ca="1">IF(COUNTA($A70,$D70:$M70,$O70:$U70)=0,"",IF($A70="","Item Code; ","")&amp;IF(AND($A70&lt;&gt;"",ISNA(MATCH($AC70,'PRODUCT DATA'!$D$2:$D$394,0))),"Item Code; ","")&amp;IF($M70="","Country; ","")&amp;IF(AND($M70&lt;&gt;"",NOT(OR(NOT(ISNA(MATCH(IF(UPPER($M70)="UK","GB",$M70),'PRODUCT DATA'!$A$2:$A$58,0))),NOT(ISNA(MATCH(IF(UPPER($M70)="UK","GB",$M70),'PRODUCT DATA'!$B$2:$B$58,0)))))),"Country; ","")&amp;IF(AND($A70&lt;&gt;"",$M70&lt;&gt;"",NOT(ISNA(MATCH($AC70,'PRODUCT DATA'!$D$2:$D$394,0))),OR(NOT(ISNA(MATCH(IF(UPPER($M70)="UK","GB",$M70),'PRODUCT DATA'!$A$2:$A$58,0))),NOT(ISNA(MATCH(IF(UPPER($M70)="UK","GB",$M70),'PRODUCT DATA'!$B$2:$B$58,0)))),NOT(IFERROR(COUNTIF(OFFSET('PRODUCT DATA'!$F$2,0,MATCH($AC70,'PRODUCT DATA'!$F$1:$NN$1,0)-1,114,1),$N70)&gt;0,FALSE()))),IF(UPPER(IFERROR(OFFSET('PRODUCT DATA'!$C$2,MATCH($N70,'PRODUCT DATA'!$B$2:$B$58,0)-1,0),""))="NO","Alcohol Restriction; ","Item Code / Country combination; "),"")&amp;IF($C70="","Quantity; ","")&amp;IF(AND($C70&lt;&gt;"",OR(NOT(ISNUMBER($C70)),$C70&lt;1,$C70&gt;999,MOD($C70,1)&lt;&gt;0)),"Quantity; ","")&amp;IF($D70="","Recipient Name; ","")&amp;IF(LEN($D70)&gt;35,"Recipient Name; ","")&amp;IF($E70="","Recipient Phone; ","")&amp;IF(AND($E70&lt;&gt;"",OR(LEN($E70)&lt;6,LEN($E70)&gt;20,NOT(IFERROR(ISNUMBER(1*$E70),FALSE())))),"Recipient Phone; ","")&amp;IF(LEN($F70)&gt;35,"Recipient Company Name; ","")&amp;IF($G70="","Address Line 1; ","")&amp;IF(LEN($G70)&gt;35,"Address Line 1; ","")&amp;IF(LEN($H70)&gt;35,"Address Line 2; ","")&amp;IF(LEN($I70)&gt;35,"Address Line 3; ","")&amp;IF($J70="","Town; ","")&amp;IF(LEN($J70)&gt;35,"Town; ","")&amp;IF(AND($N70="IE",$K70=""),"County; ","")&amp;IF(LEN($AB70)&gt;35,"County; ","")&amp;IF(AND($L70="",AND($N70&lt;&gt;"AE",$N70&lt;&gt;"QA")),"Postcode; ","")&amp;IF(LEN($L70)&gt;35,"Postcode; ","")&amp;IF($AE70&lt;&gt;"","Postcode; ","")&amp;IF(LEN($O70)&gt;40,"Gift Message 1; ","")&amp;IF(LEN($P70)&gt;40,"Gift Message 2; ","")&amp;IF(LEN($Q70)&gt;40,"Gift Message 3; ","")&amp;IF(LEN($R70)&gt;40,"Gift Message 4; ","")&amp;IF(LEN($S70)&gt;40,"Gift Message 5; ","")&amp;IF(LEN($T70)&gt;40,"Gift Message 6; ","")&amp;IF(LEN($U70)&gt;40,"Gift Message 7; ",""))</f>
        <v/>
      </c>
      <c r="X70" s="44" t="str">
        <f ca="1">IF(COUNTA($A70,$D70:$M70,$O70:$U70)=0,"",IF($A70="","Enter the Item Code (hamper) - type it, paste it, or choose it from the dropdown. ","")&amp;IF(AND($A70&lt;&gt;"",ISNA(MATCH($AC70,'PRODUCT DATA'!$D$2:$D$394,0))),"This Item Code is not recognised. Check the code (case does not matter, but spelling and digits must match exactly) or choose it from the dropdown. ","")&amp;IF($M70="","Enter the Country after the Item Code - type or paste the name or the 2-letter code, or choose it from the dropdown. ","")&amp;IF(AND($M70&lt;&gt;"",NOT(OR(NOT(ISNA(MATCH(IF(UPPER($M70)="UK","GB",$M70),'PRODUCT DATA'!$A$2:$A$58,0))),NOT(ISNA(MATCH(IF(UPPER($M70)="UK","GB",$M70),'PRODUCT DATA'!$B$2:$B$58,0)))))),"This Country is not recognised as either a full name or a 2-letter code. Check the spelling (case does not matter) or choose it from the dropdown. ","")&amp;IF(AND($A70&lt;&gt;"",$M70&lt;&gt;"",NOT(ISNA(MATCH($AC70,'PRODUCT DATA'!$D$2:$D$394,0))),OR(NOT(ISNA(MATCH(IF(UPPER($M70)="UK","GB",$M70),'PRODUCT DATA'!$A$2:$A$58,0))),NOT(ISNA(MATCH(IF(UPPER($M70)="UK","GB",$M70),'PRODUCT DATA'!$B$2:$B$58,0)))),NOT(IFERROR(COUNTIF(OFFSET('PRODUCT DATA'!$F$2,0,MATCH($AC70,'PRODUCT DATA'!$F$1:$NN$1,0)-1,114,1),$N70)&gt;0,FALSE()))),IF(UPPER(IFERROR(OFFSET('PRODUCT DATA'!$C$2,MATCH($N70,'PRODUCT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"),"")&amp;IF($C70="","Enter Quantity. ","")&amp;IF(AND($C70&lt;&gt;"",OR(NOT(ISNUMBER($C70)),$C70&lt;1,$C70&gt;999,MOD($C70,1)&lt;&gt;0)),"Quantity must be a whole number from 1 to 999 (use a quantity above 1 only for a genuine bulk order of identical items to ONE address — otherwise use a separate row per recipient). ","")&amp;IF($D70="","Enter Recipient Name. ","")&amp;IF(LEN($D70)&gt;35,"Recipient Name exceeds 35 characters. ","")&amp;IF($E70="","Enter Recipient Phone. ","")&amp;IF(AND($E70&lt;&gt;"",OR(LEN($E70)&lt;6,LEN($E70)&gt;20,NOT(IFERROR(ISNUMBER(1*$E70),FALSE())))),"Phone must be the LOCAL number for the destination country: digits only, no +, spaces, or country code, 6 to 20 digits. ","")&amp;IF(LEN($F70)&gt;35,"Recipient Company Name exceeds 35 characters. ","")&amp;IF($G70="","Enter Address Line 1. ","")&amp;IF(LEN($G70)&gt;35,"Address Line 1 exceeds the 35-character SAP limit. ","")&amp;IF(LEN($H70)&gt;35,"Address Line 2 exceeds the 35-character SAP limit. ","")&amp;IF(LEN($I70)&gt;35,"Address Line 3 exceeds the 35-character SAP limit. ","")&amp;IF($J70="","Enter Town. This must never be left blank, even if there is no conventional town name. ","")&amp;IF(LEN($J70)&gt;35,"Town exceeds 35 characters. ","")&amp;IF(AND($N70="IE",$K70=""),"County is required for deliveries within the Republic of Ireland. ","")&amp;IF(LEN($AB70)&gt;35,"County exceeds 35 characters. ","")&amp;IF(AND($L70="",AND($N70&lt;&gt;"AE",$N70&lt;&gt;"QA")),"Postcode is required for the selected country. If there is genuinely no postcode, enter the first 3 characters of the area (e.g. D15). ","")&amp;IF(LEN($L70)&gt;35,"Postcode exceeds 35 characters. ","")&amp;IF($AE70&lt;&gt;"",$AE70,"")&amp;IF(LEN($O70)&gt;40,"Gift Message Line 1 exceeds 40 characters. ","")&amp;IF(LEN($P70)&gt;40,"Gift Message Line 2 exceeds 40 characters. ","")&amp;IF(LEN($Q70)&gt;40,"Gift Message Line 3 exceeds 40 characters. ","")&amp;IF(LEN($R70)&gt;40,"Gift Message Line 4 exceeds 40 characters. ","")&amp;IF(LEN($S70)&gt;40,"Gift Message Line 5 exceeds 40 characters. ","")&amp;IF(LEN($T70)&gt;40,"Gift Message Line 6 exceeds 40 characters. ","")&amp;IF(LEN($U70)&gt;40,"Gift Message Line 7 exceeds 40 characters. ",""))</f>
        <v/>
      </c>
      <c r="Y70" s="44" t="str">
        <f t="shared" ref="Y70:Y133" si="5">IF(AND(NOT(COUNTA($A70,$D70:$M70,$O70:$U70)=0),ISNUMBER($C70),$C70&gt;1),"Quantity is more than 1 - confirm this is a genuine bulk order to ONE address before SAP entry. ","")&amp;IF(AND(NOT(COUNTA($A70,$D70:$M70,$O70:$U70)=0),AND($O70="",$P70="",$Q70="",$R70="",$S70="",$T70="",$U70="")),"No gift message entered - add our standard message before this goes to SAP. ","")&amp;IF(AND(NOT(COUNTA($A70,$D70:$M70,$O70:$U70)=0),AND($N70&lt;&gt;"AT",$N70&lt;&gt;"BE",$N70&lt;&gt;"BG",$N70&lt;&gt;"CY",$N70&lt;&gt;"CZ",$N70&lt;&gt;"DE",$N70&lt;&gt;"DK",$N70&lt;&gt;"EE",$N70&lt;&gt;"ES",$N70&lt;&gt;"FI",$N70&lt;&gt;"FR",$N70&lt;&gt;"GB",$N70&lt;&gt;"GR",$N70&lt;&gt;"HR",$N70&lt;&gt;"HU",$N70&lt;&gt;"IC",$N70&lt;&gt;"IE",$N70&lt;&gt;"IT",$N70&lt;&gt;"LT",$N70&lt;&gt;"LU",$N70&lt;&gt;"LV",$N70&lt;&gt;"MT",$N70&lt;&gt;"NL",$N70&lt;&gt;"PL",$N70&lt;&gt;"PT",$N70&lt;&gt;"RO",$N70&lt;&gt;"SE",$N70&lt;&gt;"SI",$N70&lt;&gt;"SK",$N70&lt;&gt;"VA"),$K70&lt;&gt;""),"Non-EU/UK/Ireland delivery with County filled in - check the SAP Town/Address-3 field-swap rule (State goes in Town, City goes in Address Line 3) before SAP entry. ","")&amp;IF($AA70&lt;&gt;"",$AA70&amp;" ","")</f>
        <v/>
      </c>
      <c r="Z70" s="44"/>
      <c r="AA70" s="44"/>
      <c r="AB70" s="32" t="str">
        <f t="shared" ref="AB70:AB133" si="6">IF(TRIM($K70)="","",IF(LEFT(UPPER(TRIM($K70)),4)="CO. ",TRIM(MID(TRIM($K70),5,255)),IF(LEFT(UPPER(TRIM($K70)),3)="CO ",TRIM(MID(TRIM($K70),4,255)),IF(LEFT(UPPER(TRIM($K70)),7)="COUNTY ",TRIM(MID(TRIM($K70),8,255)),TRIM($K70)))))</f>
        <v/>
      </c>
      <c r="AC70" s="32" t="str">
        <f>IF($A70="","",IFERROR(LEFT(INDEX('PRODUCT DATA'!$NO$2:$NO$25,MATCH($A70,'PRODUCT DATA'!$NP$2:$NP$25,0)),FIND("|",INDEX('PRODUCT DATA'!$NO$2:$NO$25,MATCH($A70,'PRODUCT DATA'!$NP$2:$NP$25,0)))-1),$A70))</f>
        <v/>
      </c>
      <c r="AD70" s="45"/>
      <c r="AE70" s="45" t="str">
        <f t="shared" ref="AE70:AE133" si="7">IF(OR($L70="",$N70=""),"",IF($N70="US",IF(OR(AND(LEN((SUBSTITUTE(TRIM($L70)," ","")))=5,ISNUMBER(VALUE((SUBSTITUTE(TRIM($L70)," ",""))))),AND(LEN((SUBSTITUTE(TRIM($L70)," ","")))=9,ISNUMBER(VALUE((SUBSTITUTE(TRIM($L70)," ",""))))),AND(LEN((SUBSTITUTE(TRIM($L70)," ","")))=10,MID((SUBSTITUTE(TRIM($L70)," ","")),6,1)="-",ISNUMBER(VALUE(LEFT((SUBSTITUTE(TRIM($L70)," ","")),5))),ISNUMBER(VALUE(RIGHT((SUBSTITUTE(TRIM($L70)," ","")),4))))),"","Postcode '"&amp;$L70&amp;"' doesn't look like a valid "&amp;$N70&amp;" postcode - please check it. "),IF($N70="CA",IF(AND(LEN((SUBSTITUTE(TRIM($L70)," ","")))=6,AND(CODE(UPPER(MID((SUBSTITUTE(TRIM($L70)," ","")),1,1)))&gt;=65,CODE(UPPER(MID((SUBSTITUTE(TRIM($L70)," ","")),1,1)))&lt;=90),ISNUMBER(VALUE(MID((SUBSTITUTE(TRIM($L70)," ","")),2,1))),AND(CODE(UPPER(MID((SUBSTITUTE(TRIM($L70)," ","")),3,1)))&gt;=65,CODE(UPPER(MID((SUBSTITUTE(TRIM($L70)," ","")),3,1)))&lt;=90),ISNUMBER(VALUE(MID((SUBSTITUTE(TRIM($L70)," ","")),4,1))),AND(CODE(UPPER(MID((SUBSTITUTE(TRIM($L70)," ","")),5,1)))&gt;=65,CODE(UPPER(MID((SUBSTITUTE(TRIM($L70)," ","")),5,1)))&lt;=90),ISNUMBER(VALUE(MID((SUBSTITUTE(TRIM($L70)," ","")),6,1)))),"","Postcode '"&amp;$L70&amp;"' doesn't look like a valid "&amp;$N70&amp;" postcode - please check it. "),IF($N70="NL",IF(AND(LEN((SUBSTITUTE(TRIM($L70)," ","")))=6,ISNUMBER(VALUE(LEFT((SUBSTITUTE(TRIM($L70)," ","")),4))),AND(CODE(UPPER(MID((SUBSTITUTE(TRIM($L70)," ","")),5,1)))&gt;=65,CODE(UPPER(MID((SUBSTITUTE(TRIM($L70)," ","")),5,1)))&lt;=90),AND(CODE(UPPER(MID((SUBSTITUTE(TRIM($L70)," ","")),6,1)))&gt;=65,CODE(UPPER(MID((SUBSTITUTE(TRIM($L70)," ","")),6,1)))&lt;=90)),"","Postcode '"&amp;$L70&amp;"' doesn't look like a valid "&amp;$N70&amp;" postcode - please check it. "),IF($N70="IE",IF(AND(LEN((SUBSTITUTE(TRIM($L70)," ","")))=7,AND(CODE(UPPER(MID((SUBSTITUTE(TRIM($L70)," ","")),1,1)))&gt;=65,CODE(UPPER(MID((SUBSTITUTE(TRIM($L70)," ","")),1,1)))&lt;=90),ISNUMBER(VALUE(MID((SUBSTITUTE(TRIM($L70)," ","")),2,1))),OR(ISNUMBER(VALUE(MID((SUBSTITUTE(TRIM($L70)," ","")),3,1))),AND(CODE(UPPER(MID((SUBSTITUTE(TRIM($L70)," ","")),3,1)))&gt;=65,CODE(UPPER(MID((SUBSTITUTE(TRIM($L70)," ","")),3,1)))&lt;=90)),OR(ISNUMBER(VALUE(MID((SUBSTITUTE(TRIM($L70)," ","")),4,1))),AND(CODE(UPPER(MID((SUBSTITUTE(TRIM($L70)," ","")),4,1)))&gt;=65,CODE(UPPER(MID((SUBSTITUTE(TRIM($L70)," ","")),4,1)))&lt;=90)),OR(ISNUMBER(VALUE(MID((SUBSTITUTE(TRIM($L70)," ","")),5,1))),AND(CODE(UPPER(MID((SUBSTITUTE(TRIM($L70)," ","")),5,1)))&gt;=65,CODE(UPPER(MID((SUBSTITUTE(TRIM($L70)," ","")),5,1)))&lt;=90)),OR(ISNUMBER(VALUE(MID((SUBSTITUTE(TRIM($L70)," ","")),6,1))),AND(CODE(UPPER(MID((SUBSTITUTE(TRIM($L70)," ","")),6,1)))&gt;=65,CODE(UPPER(MID((SUBSTITUTE(TRIM($L70)," ","")),6,1)))&lt;=90)),OR(ISNUMBER(VALUE(MID((SUBSTITUTE(TRIM($L70)," ","")),7,1))),AND(CODE(UPPER(MID((SUBSTITUTE(TRIM($L70)," ","")),7,1)))&gt;=65,CODE(UPPER(MID((SUBSTITUTE(TRIM($L70)," ","")),7,1)))&lt;=90))),"","Postcode '"&amp;$L70&amp;"' doesn't look like a valid "&amp;$N70&amp;" postcode - please check it. "),IF($N70="GB",IF(AND(OR(LEN((SUBSTITUTE(TRIM($L70)," ","")))=5,LEN((SUBSTITUTE(TRIM($L70)," ","")))=6,LEN((SUBSTITUTE(TRIM($L70)," ","")))=7),AND(ISNUMBER(VALUE(MID((SUBSTITUTE(TRIM($L70)," ","")),LEN((SUBSTITUTE(TRIM($L70)," ","")))-2,1))),AND(CODE(UPPER(MID((SUBSTITUTE(TRIM($L70)," ","")),LEN((SUBSTITUTE(TRIM($L70)," ","")))-1,1)))&gt;=65,CODE(UPPER(MID((SUBSTITUTE(TRIM($L70)," ","")),LEN((SUBSTITUTE(TRIM($L70)," ","")))-1,1)))&lt;=90),AND(CODE(UPPER(MID((SUBSTITUTE(TRIM($L70)," ","")),LEN((SUBSTITUTE(TRIM($L70)," ",""))),1)))&gt;=65,CODE(UPPER(MID((SUBSTITUTE(TRIM($L70)," ","")),LEN((SUBSTITUTE(TRIM($L70)," ",""))),1)))&lt;=90)),IF(LEN((SUBSTITUTE(TRIM($L70)," ","")))-3=2,AND(AND(CODE(UPPER(MID((SUBSTITUTE(TRIM($L70)," ","")),1,1)))&gt;=65,CODE(UPPER(MID((SUBSTITUTE(TRIM($L70)," ","")),1,1)))&lt;=90),ISNUMBER(VALUE(MID((SUBSTITUTE(TRIM($L70)," ","")),2,1)))),IF(LEN((SUBSTITUTE(TRIM($L70)," ","")))-3=3,OR(AND(AND(CODE(UPPER(MID((SUBSTITUTE(TRIM($L70)," ","")),1,1)))&gt;=65,CODE(UPPER(MID((SUBSTITUTE(TRIM($L70)," ","")),1,1)))&lt;=90),ISNUMBER(VALUE(MID((SUBSTITUTE(TRIM($L70)," ","")),2,1))),OR(ISNUMBER(VALUE(MID((SUBSTITUTE(TRIM($L70)," ","")),3,1))),AND(CODE(UPPER(MID((SUBSTITUTE(TRIM($L70)," ","")),3,1)))&gt;=65,CODE(UPPER(MID((SUBSTITUTE(TRIM($L70)," ","")),3,1)))&lt;=90))),AND(AND(CODE(UPPER(MID((SUBSTITUTE(TRIM($L70)," ","")),1,1)))&gt;=65,CODE(UPPER(MID((SUBSTITUTE(TRIM($L70)," ","")),1,1)))&lt;=90),AND(CODE(UPPER(MID((SUBSTITUTE(TRIM($L70)," ","")),2,1)))&gt;=65,CODE(UPPER(MID((SUBSTITUTE(TRIM($L70)," ","")),2,1)))&lt;=90),ISNUMBER(VALUE(MID((SUBSTITUTE(TRIM($L70)," ","")),3,1))))),AND(AND(CODE(UPPER(MID((SUBSTITUTE(TRIM($L70)," ","")),1,1)))&gt;=65,CODE(UPPER(MID((SUBSTITUTE(TRIM($L70)," ","")),1,1)))&lt;=90),AND(CODE(UPPER(MID((SUBSTITUTE(TRIM($L70)," ","")),2,1)))&gt;=65,CODE(UPPER(MID((SUBSTITUTE(TRIM($L70)," ","")),2,1)))&lt;=90),ISNUMBER(VALUE(MID((SUBSTITUTE(TRIM($L70)," ","")),3,1))),OR(ISNUMBER(VALUE(MID((SUBSTITUTE(TRIM($L70)," ","")),4,1))),AND(CODE(UPPER(MID((SUBSTITUTE(TRIM($L70)," ","")),4,1)))&gt;=65,CODE(UPPER(MID((SUBSTITUTE(TRIM($L70)," ","")),4,1)))&lt;=90)))))),"","Postcode '"&amp;$L70&amp;"' doesn't look like a valid "&amp;$N70&amp;" postcode - please check it. "),""))))))</f>
        <v/>
      </c>
    </row>
    <row r="71" spans="1:31" ht="15" customHeight="1" x14ac:dyDescent="0.25">
      <c r="A71" s="40"/>
      <c r="B71" s="43" t="str">
        <f>IF($A71="","",IFERROR(VLOOKUP($AC71,'PRODUCT DATA'!$NR$2:$NS$374,2,FALSE()),"UNKNOWN ITEM CODE - please check"))</f>
        <v/>
      </c>
      <c r="C71" s="39">
        <v>1</v>
      </c>
      <c r="D71" s="39"/>
      <c r="E71" s="40"/>
      <c r="F71" s="41"/>
      <c r="G71" s="39"/>
      <c r="H71" s="41"/>
      <c r="I71" s="41"/>
      <c r="J71" s="39"/>
      <c r="K71" s="41"/>
      <c r="L71" s="40"/>
      <c r="M71" s="40"/>
      <c r="N71" s="42" t="str">
        <f>IF($M71="","",IFERROR(INDEX('PRODUCT DATA'!$B$2:$B$58,MATCH(IF(UPPER($M71)="UK","GB",$M71),'PRODUCT DATA'!$B$2:$B$58,0)),IFERROR(INDEX('PRODUCT DATA'!$B$2:$B$58,MATCH(IF(UPPER($M71)="UK","GB",$M71),'PRODUCT DATA'!$A$2:$A$58,0)),"UNKNOWN COUNTRY - please check")))</f>
        <v/>
      </c>
      <c r="O71" s="41"/>
      <c r="P71" s="41"/>
      <c r="Q71" s="41"/>
      <c r="R71" s="41"/>
      <c r="S71" s="41"/>
      <c r="T71" s="41"/>
      <c r="U71" s="41"/>
      <c r="V71" s="43" t="str">
        <f t="shared" si="4"/>
        <v/>
      </c>
      <c r="W71" s="44" t="str">
        <f ca="1">IF(COUNTA($A71,$D71:$M71,$O71:$U71)=0,"",IF($A71="","Item Code; ","")&amp;IF(AND($A71&lt;&gt;"",ISNA(MATCH($AC71,'PRODUCT DATA'!$D$2:$D$394,0))),"Item Code; ","")&amp;IF($M71="","Country; ","")&amp;IF(AND($M71&lt;&gt;"",NOT(OR(NOT(ISNA(MATCH(IF(UPPER($M71)="UK","GB",$M71),'PRODUCT DATA'!$A$2:$A$58,0))),NOT(ISNA(MATCH(IF(UPPER($M71)="UK","GB",$M71),'PRODUCT DATA'!$B$2:$B$58,0)))))),"Country; ","")&amp;IF(AND($A71&lt;&gt;"",$M71&lt;&gt;"",NOT(ISNA(MATCH($AC71,'PRODUCT DATA'!$D$2:$D$394,0))),OR(NOT(ISNA(MATCH(IF(UPPER($M71)="UK","GB",$M71),'PRODUCT DATA'!$A$2:$A$58,0))),NOT(ISNA(MATCH(IF(UPPER($M71)="UK","GB",$M71),'PRODUCT DATA'!$B$2:$B$58,0)))),NOT(IFERROR(COUNTIF(OFFSET('PRODUCT DATA'!$F$2,0,MATCH($AC71,'PRODUCT DATA'!$F$1:$NN$1,0)-1,114,1),$N71)&gt;0,FALSE()))),IF(UPPER(IFERROR(OFFSET('PRODUCT DATA'!$C$2,MATCH($N71,'PRODUCT DATA'!$B$2:$B$58,0)-1,0),""))="NO","Alcohol Restriction; ","Item Code / Country combination; "),"")&amp;IF($C71="","Quantity; ","")&amp;IF(AND($C71&lt;&gt;"",OR(NOT(ISNUMBER($C71)),$C71&lt;1,$C71&gt;999,MOD($C71,1)&lt;&gt;0)),"Quantity; ","")&amp;IF($D71="","Recipient Name; ","")&amp;IF(LEN($D71)&gt;35,"Recipient Name; ","")&amp;IF($E71="","Recipient Phone; ","")&amp;IF(AND($E71&lt;&gt;"",OR(LEN($E71)&lt;6,LEN($E71)&gt;20,NOT(IFERROR(ISNUMBER(1*$E71),FALSE())))),"Recipient Phone; ","")&amp;IF(LEN($F71)&gt;35,"Recipient Company Name; ","")&amp;IF($G71="","Address Line 1; ","")&amp;IF(LEN($G71)&gt;35,"Address Line 1; ","")&amp;IF(LEN($H71)&gt;35,"Address Line 2; ","")&amp;IF(LEN($I71)&gt;35,"Address Line 3; ","")&amp;IF($J71="","Town; ","")&amp;IF(LEN($J71)&gt;35,"Town; ","")&amp;IF(AND($N71="IE",$K71=""),"County; ","")&amp;IF(LEN($AB71)&gt;35,"County; ","")&amp;IF(AND($L71="",AND($N71&lt;&gt;"AE",$N71&lt;&gt;"QA")),"Postcode; ","")&amp;IF(LEN($L71)&gt;35,"Postcode; ","")&amp;IF($AE71&lt;&gt;"","Postcode; ","")&amp;IF(LEN($O71)&gt;40,"Gift Message 1; ","")&amp;IF(LEN($P71)&gt;40,"Gift Message 2; ","")&amp;IF(LEN($Q71)&gt;40,"Gift Message 3; ","")&amp;IF(LEN($R71)&gt;40,"Gift Message 4; ","")&amp;IF(LEN($S71)&gt;40,"Gift Message 5; ","")&amp;IF(LEN($T71)&gt;40,"Gift Message 6; ","")&amp;IF(LEN($U71)&gt;40,"Gift Message 7; ",""))</f>
        <v/>
      </c>
      <c r="X71" s="44" t="str">
        <f ca="1">IF(COUNTA($A71,$D71:$M71,$O71:$U71)=0,"",IF($A71="","Enter the Item Code (hamper) - type it, paste it, or choose it from the dropdown. ","")&amp;IF(AND($A71&lt;&gt;"",ISNA(MATCH($AC71,'PRODUCT DATA'!$D$2:$D$394,0))),"This Item Code is not recognised. Check the code (case does not matter, but spelling and digits must match exactly) or choose it from the dropdown. ","")&amp;IF($M71="","Enter the Country after the Item Code - type or paste the name or the 2-letter code, or choose it from the dropdown. ","")&amp;IF(AND($M71&lt;&gt;"",NOT(OR(NOT(ISNA(MATCH(IF(UPPER($M71)="UK","GB",$M71),'PRODUCT DATA'!$A$2:$A$58,0))),NOT(ISNA(MATCH(IF(UPPER($M71)="UK","GB",$M71),'PRODUCT DATA'!$B$2:$B$58,0)))))),"This Country is not recognised as either a full name or a 2-letter code. Check the spelling (case does not matter) or choose it from the dropdown. ","")&amp;IF(AND($A71&lt;&gt;"",$M71&lt;&gt;"",NOT(ISNA(MATCH($AC71,'PRODUCT DATA'!$D$2:$D$394,0))),OR(NOT(ISNA(MATCH(IF(UPPER($M71)="UK","GB",$M71),'PRODUCT DATA'!$A$2:$A$58,0))),NOT(ISNA(MATCH(IF(UPPER($M71)="UK","GB",$M71),'PRODUCT DATA'!$B$2:$B$58,0)))),NOT(IFERROR(COUNTIF(OFFSET('PRODUCT DATA'!$F$2,0,MATCH($AC71,'PRODUCT DATA'!$F$1:$NN$1,0)-1,114,1),$N71)&gt;0,FALSE()))),IF(UPPER(IFERROR(OFFSET('PRODUCT DATA'!$C$2,MATCH($N71,'PRODUCT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"),"")&amp;IF($C71="","Enter Quantity. ","")&amp;IF(AND($C71&lt;&gt;"",OR(NOT(ISNUMBER($C71)),$C71&lt;1,$C71&gt;999,MOD($C71,1)&lt;&gt;0)),"Quantity must be a whole number from 1 to 999 (use a quantity above 1 only for a genuine bulk order of identical items to ONE address — otherwise use a separate row per recipient). ","")&amp;IF($D71="","Enter Recipient Name. ","")&amp;IF(LEN($D71)&gt;35,"Recipient Name exceeds 35 characters. ","")&amp;IF($E71="","Enter Recipient Phone. ","")&amp;IF(AND($E71&lt;&gt;"",OR(LEN($E71)&lt;6,LEN($E71)&gt;20,NOT(IFERROR(ISNUMBER(1*$E71),FALSE())))),"Phone must be the LOCAL number for the destination country: digits only, no +, spaces, or country code, 6 to 20 digits. ","")&amp;IF(LEN($F71)&gt;35,"Recipient Company Name exceeds 35 characters. ","")&amp;IF($G71="","Enter Address Line 1. ","")&amp;IF(LEN($G71)&gt;35,"Address Line 1 exceeds the 35-character SAP limit. ","")&amp;IF(LEN($H71)&gt;35,"Address Line 2 exceeds the 35-character SAP limit. ","")&amp;IF(LEN($I71)&gt;35,"Address Line 3 exceeds the 35-character SAP limit. ","")&amp;IF($J71="","Enter Town. This must never be left blank, even if there is no conventional town name. ","")&amp;IF(LEN($J71)&gt;35,"Town exceeds 35 characters. ","")&amp;IF(AND($N71="IE",$K71=""),"County is required for deliveries within the Republic of Ireland. ","")&amp;IF(LEN($AB71)&gt;35,"County exceeds 35 characters. ","")&amp;IF(AND($L71="",AND($N71&lt;&gt;"AE",$N71&lt;&gt;"QA")),"Postcode is required for the selected country. If there is genuinely no postcode, enter the first 3 characters of the area (e.g. D15). ","")&amp;IF(LEN($L71)&gt;35,"Postcode exceeds 35 characters. ","")&amp;IF($AE71&lt;&gt;"",$AE71,"")&amp;IF(LEN($O71)&gt;40,"Gift Message Line 1 exceeds 40 characters. ","")&amp;IF(LEN($P71)&gt;40,"Gift Message Line 2 exceeds 40 characters. ","")&amp;IF(LEN($Q71)&gt;40,"Gift Message Line 3 exceeds 40 characters. ","")&amp;IF(LEN($R71)&gt;40,"Gift Message Line 4 exceeds 40 characters. ","")&amp;IF(LEN($S71)&gt;40,"Gift Message Line 5 exceeds 40 characters. ","")&amp;IF(LEN($T71)&gt;40,"Gift Message Line 6 exceeds 40 characters. ","")&amp;IF(LEN($U71)&gt;40,"Gift Message Line 7 exceeds 40 characters. ",""))</f>
        <v/>
      </c>
      <c r="Y71" s="44" t="str">
        <f t="shared" si="5"/>
        <v/>
      </c>
      <c r="Z71" s="44"/>
      <c r="AA71" s="44"/>
      <c r="AB71" s="32" t="str">
        <f t="shared" si="6"/>
        <v/>
      </c>
      <c r="AC71" s="32" t="str">
        <f>IF($A71="","",IFERROR(LEFT(INDEX('PRODUCT DATA'!$NO$2:$NO$25,MATCH($A71,'PRODUCT DATA'!$NP$2:$NP$25,0)),FIND("|",INDEX('PRODUCT DATA'!$NO$2:$NO$25,MATCH($A71,'PRODUCT DATA'!$NP$2:$NP$25,0)))-1),$A71))</f>
        <v/>
      </c>
      <c r="AD71" s="45"/>
      <c r="AE71" s="45" t="str">
        <f t="shared" si="7"/>
        <v/>
      </c>
    </row>
    <row r="72" spans="1:31" ht="15" customHeight="1" x14ac:dyDescent="0.25">
      <c r="A72" s="40"/>
      <c r="B72" s="43" t="str">
        <f>IF($A72="","",IFERROR(VLOOKUP($AC72,'PRODUCT DATA'!$NR$2:$NS$374,2,FALSE()),"UNKNOWN ITEM CODE - please check"))</f>
        <v/>
      </c>
      <c r="C72" s="39">
        <v>1</v>
      </c>
      <c r="D72" s="39"/>
      <c r="E72" s="40"/>
      <c r="F72" s="41"/>
      <c r="G72" s="39"/>
      <c r="H72" s="41"/>
      <c r="I72" s="41"/>
      <c r="J72" s="39"/>
      <c r="K72" s="41"/>
      <c r="L72" s="40"/>
      <c r="M72" s="40"/>
      <c r="N72" s="42" t="str">
        <f>IF($M72="","",IFERROR(INDEX('PRODUCT DATA'!$B$2:$B$58,MATCH(IF(UPPER($M72)="UK","GB",$M72),'PRODUCT DATA'!$B$2:$B$58,0)),IFERROR(INDEX('PRODUCT DATA'!$B$2:$B$58,MATCH(IF(UPPER($M72)="UK","GB",$M72),'PRODUCT DATA'!$A$2:$A$58,0)),"UNKNOWN COUNTRY - please check")))</f>
        <v/>
      </c>
      <c r="O72" s="41"/>
      <c r="P72" s="41"/>
      <c r="Q72" s="41"/>
      <c r="R72" s="41"/>
      <c r="S72" s="41"/>
      <c r="T72" s="41"/>
      <c r="U72" s="41"/>
      <c r="V72" s="43" t="str">
        <f t="shared" si="4"/>
        <v/>
      </c>
      <c r="W72" s="44" t="str">
        <f ca="1">IF(COUNTA($A72,$D72:$M72,$O72:$U72)=0,"",IF($A72="","Item Code; ","")&amp;IF(AND($A72&lt;&gt;"",ISNA(MATCH($AC72,'PRODUCT DATA'!$D$2:$D$394,0))),"Item Code; ","")&amp;IF($M72="","Country; ","")&amp;IF(AND($M72&lt;&gt;"",NOT(OR(NOT(ISNA(MATCH(IF(UPPER($M72)="UK","GB",$M72),'PRODUCT DATA'!$A$2:$A$58,0))),NOT(ISNA(MATCH(IF(UPPER($M72)="UK","GB",$M72),'PRODUCT DATA'!$B$2:$B$58,0)))))),"Country; ","")&amp;IF(AND($A72&lt;&gt;"",$M72&lt;&gt;"",NOT(ISNA(MATCH($AC72,'PRODUCT DATA'!$D$2:$D$394,0))),OR(NOT(ISNA(MATCH(IF(UPPER($M72)="UK","GB",$M72),'PRODUCT DATA'!$A$2:$A$58,0))),NOT(ISNA(MATCH(IF(UPPER($M72)="UK","GB",$M72),'PRODUCT DATA'!$B$2:$B$58,0)))),NOT(IFERROR(COUNTIF(OFFSET('PRODUCT DATA'!$F$2,0,MATCH($AC72,'PRODUCT DATA'!$F$1:$NN$1,0)-1,114,1),$N72)&gt;0,FALSE()))),IF(UPPER(IFERROR(OFFSET('PRODUCT DATA'!$C$2,MATCH($N72,'PRODUCT DATA'!$B$2:$B$58,0)-1,0),""))="NO","Alcohol Restriction; ","Item Code / Country combination; "),"")&amp;IF($C72="","Quantity; ","")&amp;IF(AND($C72&lt;&gt;"",OR(NOT(ISNUMBER($C72)),$C72&lt;1,$C72&gt;999,MOD($C72,1)&lt;&gt;0)),"Quantity; ","")&amp;IF($D72="","Recipient Name; ","")&amp;IF(LEN($D72)&gt;35,"Recipient Name; ","")&amp;IF($E72="","Recipient Phone; ","")&amp;IF(AND($E72&lt;&gt;"",OR(LEN($E72)&lt;6,LEN($E72)&gt;20,NOT(IFERROR(ISNUMBER(1*$E72),FALSE())))),"Recipient Phone; ","")&amp;IF(LEN($F72)&gt;35,"Recipient Company Name; ","")&amp;IF($G72="","Address Line 1; ","")&amp;IF(LEN($G72)&gt;35,"Address Line 1; ","")&amp;IF(LEN($H72)&gt;35,"Address Line 2; ","")&amp;IF(LEN($I72)&gt;35,"Address Line 3; ","")&amp;IF($J72="","Town; ","")&amp;IF(LEN($J72)&gt;35,"Town; ","")&amp;IF(AND($N72="IE",$K72=""),"County; ","")&amp;IF(LEN($AB72)&gt;35,"County; ","")&amp;IF(AND($L72="",AND($N72&lt;&gt;"AE",$N72&lt;&gt;"QA")),"Postcode; ","")&amp;IF(LEN($L72)&gt;35,"Postcode; ","")&amp;IF($AE72&lt;&gt;"","Postcode; ","")&amp;IF(LEN($O72)&gt;40,"Gift Message 1; ","")&amp;IF(LEN($P72)&gt;40,"Gift Message 2; ","")&amp;IF(LEN($Q72)&gt;40,"Gift Message 3; ","")&amp;IF(LEN($R72)&gt;40,"Gift Message 4; ","")&amp;IF(LEN($S72)&gt;40,"Gift Message 5; ","")&amp;IF(LEN($T72)&gt;40,"Gift Message 6; ","")&amp;IF(LEN($U72)&gt;40,"Gift Message 7; ",""))</f>
        <v/>
      </c>
      <c r="X72" s="44" t="str">
        <f ca="1">IF(COUNTA($A72,$D72:$M72,$O72:$U72)=0,"",IF($A72="","Enter the Item Code (hamper) - type it, paste it, or choose it from the dropdown. ","")&amp;IF(AND($A72&lt;&gt;"",ISNA(MATCH($AC72,'PRODUCT DATA'!$D$2:$D$394,0))),"This Item Code is not recognised. Check the code (case does not matter, but spelling and digits must match exactly) or choose it from the dropdown. ","")&amp;IF($M72="","Enter the Country after the Item Code - type or paste the name or the 2-letter code, or choose it from the dropdown. ","")&amp;IF(AND($M72&lt;&gt;"",NOT(OR(NOT(ISNA(MATCH(IF(UPPER($M72)="UK","GB",$M72),'PRODUCT DATA'!$A$2:$A$58,0))),NOT(ISNA(MATCH(IF(UPPER($M72)="UK","GB",$M72),'PRODUCT DATA'!$B$2:$B$58,0)))))),"This Country is not recognised as either a full name or a 2-letter code. Check the spelling (case does not matter) or choose it from the dropdown. ","")&amp;IF(AND($A72&lt;&gt;"",$M72&lt;&gt;"",NOT(ISNA(MATCH($AC72,'PRODUCT DATA'!$D$2:$D$394,0))),OR(NOT(ISNA(MATCH(IF(UPPER($M72)="UK","GB",$M72),'PRODUCT DATA'!$A$2:$A$58,0))),NOT(ISNA(MATCH(IF(UPPER($M72)="UK","GB",$M72),'PRODUCT DATA'!$B$2:$B$58,0)))),NOT(IFERROR(COUNTIF(OFFSET('PRODUCT DATA'!$F$2,0,MATCH($AC72,'PRODUCT DATA'!$F$1:$NN$1,0)-1,114,1),$N72)&gt;0,FALSE()))),IF(UPPER(IFERROR(OFFSET('PRODUCT DATA'!$C$2,MATCH($N72,'PRODUCT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"),"")&amp;IF($C72="","Enter Quantity. ","")&amp;IF(AND($C72&lt;&gt;"",OR(NOT(ISNUMBER($C72)),$C72&lt;1,$C72&gt;999,MOD($C72,1)&lt;&gt;0)),"Quantity must be a whole number from 1 to 999 (use a quantity above 1 only for a genuine bulk order of identical items to ONE address — otherwise use a separate row per recipient). ","")&amp;IF($D72="","Enter Recipient Name. ","")&amp;IF(LEN($D72)&gt;35,"Recipient Name exceeds 35 characters. ","")&amp;IF($E72="","Enter Recipient Phone. ","")&amp;IF(AND($E72&lt;&gt;"",OR(LEN($E72)&lt;6,LEN($E72)&gt;20,NOT(IFERROR(ISNUMBER(1*$E72),FALSE())))),"Phone must be the LOCAL number for the destination country: digits only, no +, spaces, or country code, 6 to 20 digits. ","")&amp;IF(LEN($F72)&gt;35,"Recipient Company Name exceeds 35 characters. ","")&amp;IF($G72="","Enter Address Line 1. ","")&amp;IF(LEN($G72)&gt;35,"Address Line 1 exceeds the 35-character SAP limit. ","")&amp;IF(LEN($H72)&gt;35,"Address Line 2 exceeds the 35-character SAP limit. ","")&amp;IF(LEN($I72)&gt;35,"Address Line 3 exceeds the 35-character SAP limit. ","")&amp;IF($J72="","Enter Town. This must never be left blank, even if there is no conventional town name. ","")&amp;IF(LEN($J72)&gt;35,"Town exceeds 35 characters. ","")&amp;IF(AND($N72="IE",$K72=""),"County is required for deliveries within the Republic of Ireland. ","")&amp;IF(LEN($AB72)&gt;35,"County exceeds 35 characters. ","")&amp;IF(AND($L72="",AND($N72&lt;&gt;"AE",$N72&lt;&gt;"QA")),"Postcode is required for the selected country. If there is genuinely no postcode, enter the first 3 characters of the area (e.g. D15). ","")&amp;IF(LEN($L72)&gt;35,"Postcode exceeds 35 characters. ","")&amp;IF($AE72&lt;&gt;"",$AE72,"")&amp;IF(LEN($O72)&gt;40,"Gift Message Line 1 exceeds 40 characters. ","")&amp;IF(LEN($P72)&gt;40,"Gift Message Line 2 exceeds 40 characters. ","")&amp;IF(LEN($Q72)&gt;40,"Gift Message Line 3 exceeds 40 characters. ","")&amp;IF(LEN($R72)&gt;40,"Gift Message Line 4 exceeds 40 characters. ","")&amp;IF(LEN($S72)&gt;40,"Gift Message Line 5 exceeds 40 characters. ","")&amp;IF(LEN($T72)&gt;40,"Gift Message Line 6 exceeds 40 characters. ","")&amp;IF(LEN($U72)&gt;40,"Gift Message Line 7 exceeds 40 characters. ",""))</f>
        <v/>
      </c>
      <c r="Y72" s="44" t="str">
        <f t="shared" si="5"/>
        <v/>
      </c>
      <c r="Z72" s="44"/>
      <c r="AA72" s="44"/>
      <c r="AB72" s="32" t="str">
        <f t="shared" si="6"/>
        <v/>
      </c>
      <c r="AC72" s="32" t="str">
        <f>IF($A72="","",IFERROR(LEFT(INDEX('PRODUCT DATA'!$NO$2:$NO$25,MATCH($A72,'PRODUCT DATA'!$NP$2:$NP$25,0)),FIND("|",INDEX('PRODUCT DATA'!$NO$2:$NO$25,MATCH($A72,'PRODUCT DATA'!$NP$2:$NP$25,0)))-1),$A72))</f>
        <v/>
      </c>
      <c r="AD72" s="45"/>
      <c r="AE72" s="45" t="str">
        <f t="shared" si="7"/>
        <v/>
      </c>
    </row>
    <row r="73" spans="1:31" ht="15" customHeight="1" x14ac:dyDescent="0.25">
      <c r="A73" s="40"/>
      <c r="B73" s="43" t="str">
        <f>IF($A73="","",IFERROR(VLOOKUP($AC73,'PRODUCT DATA'!$NR$2:$NS$374,2,FALSE()),"UNKNOWN ITEM CODE - please check"))</f>
        <v/>
      </c>
      <c r="C73" s="39">
        <v>1</v>
      </c>
      <c r="D73" s="39"/>
      <c r="E73" s="40"/>
      <c r="F73" s="41"/>
      <c r="G73" s="39"/>
      <c r="H73" s="41"/>
      <c r="I73" s="41"/>
      <c r="J73" s="39"/>
      <c r="K73" s="41"/>
      <c r="L73" s="40"/>
      <c r="M73" s="40"/>
      <c r="N73" s="42" t="str">
        <f>IF($M73="","",IFERROR(INDEX('PRODUCT DATA'!$B$2:$B$58,MATCH(IF(UPPER($M73)="UK","GB",$M73),'PRODUCT DATA'!$B$2:$B$58,0)),IFERROR(INDEX('PRODUCT DATA'!$B$2:$B$58,MATCH(IF(UPPER($M73)="UK","GB",$M73),'PRODUCT DATA'!$A$2:$A$58,0)),"UNKNOWN COUNTRY - please check")))</f>
        <v/>
      </c>
      <c r="O73" s="41"/>
      <c r="P73" s="41"/>
      <c r="Q73" s="41"/>
      <c r="R73" s="41"/>
      <c r="S73" s="41"/>
      <c r="T73" s="41"/>
      <c r="U73" s="41"/>
      <c r="V73" s="43" t="str">
        <f t="shared" si="4"/>
        <v/>
      </c>
      <c r="W73" s="44" t="str">
        <f ca="1">IF(COUNTA($A73,$D73:$M73,$O73:$U73)=0,"",IF($A73="","Item Code; ","")&amp;IF(AND($A73&lt;&gt;"",ISNA(MATCH($AC73,'PRODUCT DATA'!$D$2:$D$394,0))),"Item Code; ","")&amp;IF($M73="","Country; ","")&amp;IF(AND($M73&lt;&gt;"",NOT(OR(NOT(ISNA(MATCH(IF(UPPER($M73)="UK","GB",$M73),'PRODUCT DATA'!$A$2:$A$58,0))),NOT(ISNA(MATCH(IF(UPPER($M73)="UK","GB",$M73),'PRODUCT DATA'!$B$2:$B$58,0)))))),"Country; ","")&amp;IF(AND($A73&lt;&gt;"",$M73&lt;&gt;"",NOT(ISNA(MATCH($AC73,'PRODUCT DATA'!$D$2:$D$394,0))),OR(NOT(ISNA(MATCH(IF(UPPER($M73)="UK","GB",$M73),'PRODUCT DATA'!$A$2:$A$58,0))),NOT(ISNA(MATCH(IF(UPPER($M73)="UK","GB",$M73),'PRODUCT DATA'!$B$2:$B$58,0)))),NOT(IFERROR(COUNTIF(OFFSET('PRODUCT DATA'!$F$2,0,MATCH($AC73,'PRODUCT DATA'!$F$1:$NN$1,0)-1,114,1),$N73)&gt;0,FALSE()))),IF(UPPER(IFERROR(OFFSET('PRODUCT DATA'!$C$2,MATCH($N73,'PRODUCT DATA'!$B$2:$B$58,0)-1,0),""))="NO","Alcohol Restriction; ","Item Code / Country combination; "),"")&amp;IF($C73="","Quantity; ","")&amp;IF(AND($C73&lt;&gt;"",OR(NOT(ISNUMBER($C73)),$C73&lt;1,$C73&gt;999,MOD($C73,1)&lt;&gt;0)),"Quantity; ","")&amp;IF($D73="","Recipient Name; ","")&amp;IF(LEN($D73)&gt;35,"Recipient Name; ","")&amp;IF($E73="","Recipient Phone; ","")&amp;IF(AND($E73&lt;&gt;"",OR(LEN($E73)&lt;6,LEN($E73)&gt;20,NOT(IFERROR(ISNUMBER(1*$E73),FALSE())))),"Recipient Phone; ","")&amp;IF(LEN($F73)&gt;35,"Recipient Company Name; ","")&amp;IF($G73="","Address Line 1; ","")&amp;IF(LEN($G73)&gt;35,"Address Line 1; ","")&amp;IF(LEN($H73)&gt;35,"Address Line 2; ","")&amp;IF(LEN($I73)&gt;35,"Address Line 3; ","")&amp;IF($J73="","Town; ","")&amp;IF(LEN($J73)&gt;35,"Town; ","")&amp;IF(AND($N73="IE",$K73=""),"County; ","")&amp;IF(LEN($AB73)&gt;35,"County; ","")&amp;IF(AND($L73="",AND($N73&lt;&gt;"AE",$N73&lt;&gt;"QA")),"Postcode; ","")&amp;IF(LEN($L73)&gt;35,"Postcode; ","")&amp;IF($AE73&lt;&gt;"","Postcode; ","")&amp;IF(LEN($O73)&gt;40,"Gift Message 1; ","")&amp;IF(LEN($P73)&gt;40,"Gift Message 2; ","")&amp;IF(LEN($Q73)&gt;40,"Gift Message 3; ","")&amp;IF(LEN($R73)&gt;40,"Gift Message 4; ","")&amp;IF(LEN($S73)&gt;40,"Gift Message 5; ","")&amp;IF(LEN($T73)&gt;40,"Gift Message 6; ","")&amp;IF(LEN($U73)&gt;40,"Gift Message 7; ",""))</f>
        <v/>
      </c>
      <c r="X73" s="44" t="str">
        <f ca="1">IF(COUNTA($A73,$D73:$M73,$O73:$U73)=0,"",IF($A73="","Enter the Item Code (hamper) - type it, paste it, or choose it from the dropdown. ","")&amp;IF(AND($A73&lt;&gt;"",ISNA(MATCH($AC73,'PRODUCT DATA'!$D$2:$D$394,0))),"This Item Code is not recognised. Check the code (case does not matter, but spelling and digits must match exactly) or choose it from the dropdown. ","")&amp;IF($M73="","Enter the Country after the Item Code - type or paste the name or the 2-letter code, or choose it from the dropdown. ","")&amp;IF(AND($M73&lt;&gt;"",NOT(OR(NOT(ISNA(MATCH(IF(UPPER($M73)="UK","GB",$M73),'PRODUCT DATA'!$A$2:$A$58,0))),NOT(ISNA(MATCH(IF(UPPER($M73)="UK","GB",$M73),'PRODUCT DATA'!$B$2:$B$58,0)))))),"This Country is not recognised as either a full name or a 2-letter code. Check the spelling (case does not matter) or choose it from the dropdown. ","")&amp;IF(AND($A73&lt;&gt;"",$M73&lt;&gt;"",NOT(ISNA(MATCH($AC73,'PRODUCT DATA'!$D$2:$D$394,0))),OR(NOT(ISNA(MATCH(IF(UPPER($M73)="UK","GB",$M73),'PRODUCT DATA'!$A$2:$A$58,0))),NOT(ISNA(MATCH(IF(UPPER($M73)="UK","GB",$M73),'PRODUCT DATA'!$B$2:$B$58,0)))),NOT(IFERROR(COUNTIF(OFFSET('PRODUCT DATA'!$F$2,0,MATCH($AC73,'PRODUCT DATA'!$F$1:$NN$1,0)-1,114,1),$N73)&gt;0,FALSE()))),IF(UPPER(IFERROR(OFFSET('PRODUCT DATA'!$C$2,MATCH($N73,'PRODUCT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"),"")&amp;IF($C73="","Enter Quantity. ","")&amp;IF(AND($C73&lt;&gt;"",OR(NOT(ISNUMBER($C73)),$C73&lt;1,$C73&gt;999,MOD($C73,1)&lt;&gt;0)),"Quantity must be a whole number from 1 to 999 (use a quantity above 1 only for a genuine bulk order of identical items to ONE address — otherwise use a separate row per recipient). ","")&amp;IF($D73="","Enter Recipient Name. ","")&amp;IF(LEN($D73)&gt;35,"Recipient Name exceeds 35 characters. ","")&amp;IF($E73="","Enter Recipient Phone. ","")&amp;IF(AND($E73&lt;&gt;"",OR(LEN($E73)&lt;6,LEN($E73)&gt;20,NOT(IFERROR(ISNUMBER(1*$E73),FALSE())))),"Phone must be the LOCAL number for the destination country: digits only, no +, spaces, or country code, 6 to 20 digits. ","")&amp;IF(LEN($F73)&gt;35,"Recipient Company Name exceeds 35 characters. ","")&amp;IF($G73="","Enter Address Line 1. ","")&amp;IF(LEN($G73)&gt;35,"Address Line 1 exceeds the 35-character SAP limit. ","")&amp;IF(LEN($H73)&gt;35,"Address Line 2 exceeds the 35-character SAP limit. ","")&amp;IF(LEN($I73)&gt;35,"Address Line 3 exceeds the 35-character SAP limit. ","")&amp;IF($J73="","Enter Town. This must never be left blank, even if there is no conventional town name. ","")&amp;IF(LEN($J73)&gt;35,"Town exceeds 35 characters. ","")&amp;IF(AND($N73="IE",$K73=""),"County is required for deliveries within the Republic of Ireland. ","")&amp;IF(LEN($AB73)&gt;35,"County exceeds 35 characters. ","")&amp;IF(AND($L73="",AND($N73&lt;&gt;"AE",$N73&lt;&gt;"QA")),"Postcode is required for the selected country. If there is genuinely no postcode, enter the first 3 characters of the area (e.g. D15). ","")&amp;IF(LEN($L73)&gt;35,"Postcode exceeds 35 characters. ","")&amp;IF($AE73&lt;&gt;"",$AE73,"")&amp;IF(LEN($O73)&gt;40,"Gift Message Line 1 exceeds 40 characters. ","")&amp;IF(LEN($P73)&gt;40,"Gift Message Line 2 exceeds 40 characters. ","")&amp;IF(LEN($Q73)&gt;40,"Gift Message Line 3 exceeds 40 characters. ","")&amp;IF(LEN($R73)&gt;40,"Gift Message Line 4 exceeds 40 characters. ","")&amp;IF(LEN($S73)&gt;40,"Gift Message Line 5 exceeds 40 characters. ","")&amp;IF(LEN($T73)&gt;40,"Gift Message Line 6 exceeds 40 characters. ","")&amp;IF(LEN($U73)&gt;40,"Gift Message Line 7 exceeds 40 characters. ",""))</f>
        <v/>
      </c>
      <c r="Y73" s="44" t="str">
        <f t="shared" si="5"/>
        <v/>
      </c>
      <c r="Z73" s="44"/>
      <c r="AA73" s="44"/>
      <c r="AB73" s="32" t="str">
        <f t="shared" si="6"/>
        <v/>
      </c>
      <c r="AC73" s="32" t="str">
        <f>IF($A73="","",IFERROR(LEFT(INDEX('PRODUCT DATA'!$NO$2:$NO$25,MATCH($A73,'PRODUCT DATA'!$NP$2:$NP$25,0)),FIND("|",INDEX('PRODUCT DATA'!$NO$2:$NO$25,MATCH($A73,'PRODUCT DATA'!$NP$2:$NP$25,0)))-1),$A73))</f>
        <v/>
      </c>
      <c r="AD73" s="45"/>
      <c r="AE73" s="45" t="str">
        <f t="shared" si="7"/>
        <v/>
      </c>
    </row>
    <row r="74" spans="1:31" ht="15" customHeight="1" x14ac:dyDescent="0.25">
      <c r="A74" s="40"/>
      <c r="B74" s="43" t="str">
        <f>IF($A74="","",IFERROR(VLOOKUP($AC74,'PRODUCT DATA'!$NR$2:$NS$374,2,FALSE()),"UNKNOWN ITEM CODE - please check"))</f>
        <v/>
      </c>
      <c r="C74" s="39">
        <v>1</v>
      </c>
      <c r="D74" s="39"/>
      <c r="E74" s="40"/>
      <c r="F74" s="41"/>
      <c r="G74" s="39"/>
      <c r="H74" s="41"/>
      <c r="I74" s="41"/>
      <c r="J74" s="39"/>
      <c r="K74" s="41"/>
      <c r="L74" s="40"/>
      <c r="M74" s="40"/>
      <c r="N74" s="42" t="str">
        <f>IF($M74="","",IFERROR(INDEX('PRODUCT DATA'!$B$2:$B$58,MATCH(IF(UPPER($M74)="UK","GB",$M74),'PRODUCT DATA'!$B$2:$B$58,0)),IFERROR(INDEX('PRODUCT DATA'!$B$2:$B$58,MATCH(IF(UPPER($M74)="UK","GB",$M74),'PRODUCT DATA'!$A$2:$A$58,0)),"UNKNOWN COUNTRY - please check")))</f>
        <v/>
      </c>
      <c r="O74" s="41"/>
      <c r="P74" s="41"/>
      <c r="Q74" s="41"/>
      <c r="R74" s="41"/>
      <c r="S74" s="41"/>
      <c r="T74" s="41"/>
      <c r="U74" s="41"/>
      <c r="V74" s="43" t="str">
        <f t="shared" si="4"/>
        <v/>
      </c>
      <c r="W74" s="44" t="str">
        <f ca="1">IF(COUNTA($A74,$D74:$M74,$O74:$U74)=0,"",IF($A74="","Item Code; ","")&amp;IF(AND($A74&lt;&gt;"",ISNA(MATCH($AC74,'PRODUCT DATA'!$D$2:$D$394,0))),"Item Code; ","")&amp;IF($M74="","Country; ","")&amp;IF(AND($M74&lt;&gt;"",NOT(OR(NOT(ISNA(MATCH(IF(UPPER($M74)="UK","GB",$M74),'PRODUCT DATA'!$A$2:$A$58,0))),NOT(ISNA(MATCH(IF(UPPER($M74)="UK","GB",$M74),'PRODUCT DATA'!$B$2:$B$58,0)))))),"Country; ","")&amp;IF(AND($A74&lt;&gt;"",$M74&lt;&gt;"",NOT(ISNA(MATCH($AC74,'PRODUCT DATA'!$D$2:$D$394,0))),OR(NOT(ISNA(MATCH(IF(UPPER($M74)="UK","GB",$M74),'PRODUCT DATA'!$A$2:$A$58,0))),NOT(ISNA(MATCH(IF(UPPER($M74)="UK","GB",$M74),'PRODUCT DATA'!$B$2:$B$58,0)))),NOT(IFERROR(COUNTIF(OFFSET('PRODUCT DATA'!$F$2,0,MATCH($AC74,'PRODUCT DATA'!$F$1:$NN$1,0)-1,114,1),$N74)&gt;0,FALSE()))),IF(UPPER(IFERROR(OFFSET('PRODUCT DATA'!$C$2,MATCH($N74,'PRODUCT DATA'!$B$2:$B$58,0)-1,0),""))="NO","Alcohol Restriction; ","Item Code / Country combination; "),"")&amp;IF($C74="","Quantity; ","")&amp;IF(AND($C74&lt;&gt;"",OR(NOT(ISNUMBER($C74)),$C74&lt;1,$C74&gt;999,MOD($C74,1)&lt;&gt;0)),"Quantity; ","")&amp;IF($D74="","Recipient Name; ","")&amp;IF(LEN($D74)&gt;35,"Recipient Name; ","")&amp;IF($E74="","Recipient Phone; ","")&amp;IF(AND($E74&lt;&gt;"",OR(LEN($E74)&lt;6,LEN($E74)&gt;20,NOT(IFERROR(ISNUMBER(1*$E74),FALSE())))),"Recipient Phone; ","")&amp;IF(LEN($F74)&gt;35,"Recipient Company Name; ","")&amp;IF($G74="","Address Line 1; ","")&amp;IF(LEN($G74)&gt;35,"Address Line 1; ","")&amp;IF(LEN($H74)&gt;35,"Address Line 2; ","")&amp;IF(LEN($I74)&gt;35,"Address Line 3; ","")&amp;IF($J74="","Town; ","")&amp;IF(LEN($J74)&gt;35,"Town; ","")&amp;IF(AND($N74="IE",$K74=""),"County; ","")&amp;IF(LEN($AB74)&gt;35,"County; ","")&amp;IF(AND($L74="",AND($N74&lt;&gt;"AE",$N74&lt;&gt;"QA")),"Postcode; ","")&amp;IF(LEN($L74)&gt;35,"Postcode; ","")&amp;IF($AE74&lt;&gt;"","Postcode; ","")&amp;IF(LEN($O74)&gt;40,"Gift Message 1; ","")&amp;IF(LEN($P74)&gt;40,"Gift Message 2; ","")&amp;IF(LEN($Q74)&gt;40,"Gift Message 3; ","")&amp;IF(LEN($R74)&gt;40,"Gift Message 4; ","")&amp;IF(LEN($S74)&gt;40,"Gift Message 5; ","")&amp;IF(LEN($T74)&gt;40,"Gift Message 6; ","")&amp;IF(LEN($U74)&gt;40,"Gift Message 7; ",""))</f>
        <v/>
      </c>
      <c r="X74" s="44" t="str">
        <f ca="1">IF(COUNTA($A74,$D74:$M74,$O74:$U74)=0,"",IF($A74="","Enter the Item Code (hamper) - type it, paste it, or choose it from the dropdown. ","")&amp;IF(AND($A74&lt;&gt;"",ISNA(MATCH($AC74,'PRODUCT DATA'!$D$2:$D$394,0))),"This Item Code is not recognised. Check the code (case does not matter, but spelling and digits must match exactly) or choose it from the dropdown. ","")&amp;IF($M74="","Enter the Country after the Item Code - type or paste the name or the 2-letter code, or choose it from the dropdown. ","")&amp;IF(AND($M74&lt;&gt;"",NOT(OR(NOT(ISNA(MATCH(IF(UPPER($M74)="UK","GB",$M74),'PRODUCT DATA'!$A$2:$A$58,0))),NOT(ISNA(MATCH(IF(UPPER($M74)="UK","GB",$M74),'PRODUCT DATA'!$B$2:$B$58,0)))))),"This Country is not recognised as either a full name or a 2-letter code. Check the spelling (case does not matter) or choose it from the dropdown. ","")&amp;IF(AND($A74&lt;&gt;"",$M74&lt;&gt;"",NOT(ISNA(MATCH($AC74,'PRODUCT DATA'!$D$2:$D$394,0))),OR(NOT(ISNA(MATCH(IF(UPPER($M74)="UK","GB",$M74),'PRODUCT DATA'!$A$2:$A$58,0))),NOT(ISNA(MATCH(IF(UPPER($M74)="UK","GB",$M74),'PRODUCT DATA'!$B$2:$B$58,0)))),NOT(IFERROR(COUNTIF(OFFSET('PRODUCT DATA'!$F$2,0,MATCH($AC74,'PRODUCT DATA'!$F$1:$NN$1,0)-1,114,1),$N74)&gt;0,FALSE()))),IF(UPPER(IFERROR(OFFSET('PRODUCT DATA'!$C$2,MATCH($N74,'PRODUCT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"),"")&amp;IF($C74="","Enter Quantity. ","")&amp;IF(AND($C74&lt;&gt;"",OR(NOT(ISNUMBER($C74)),$C74&lt;1,$C74&gt;999,MOD($C74,1)&lt;&gt;0)),"Quantity must be a whole number from 1 to 999 (use a quantity above 1 only for a genuine bulk order of identical items to ONE address — otherwise use a separate row per recipient). ","")&amp;IF($D74="","Enter Recipient Name. ","")&amp;IF(LEN($D74)&gt;35,"Recipient Name exceeds 35 characters. ","")&amp;IF($E74="","Enter Recipient Phone. ","")&amp;IF(AND($E74&lt;&gt;"",OR(LEN($E74)&lt;6,LEN($E74)&gt;20,NOT(IFERROR(ISNUMBER(1*$E74),FALSE())))),"Phone must be the LOCAL number for the destination country: digits only, no +, spaces, or country code, 6 to 20 digits. ","")&amp;IF(LEN($F74)&gt;35,"Recipient Company Name exceeds 35 characters. ","")&amp;IF($G74="","Enter Address Line 1. ","")&amp;IF(LEN($G74)&gt;35,"Address Line 1 exceeds the 35-character SAP limit. ","")&amp;IF(LEN($H74)&gt;35,"Address Line 2 exceeds the 35-character SAP limit. ","")&amp;IF(LEN($I74)&gt;35,"Address Line 3 exceeds the 35-character SAP limit. ","")&amp;IF($J74="","Enter Town. This must never be left blank, even if there is no conventional town name. ","")&amp;IF(LEN($J74)&gt;35,"Town exceeds 35 characters. ","")&amp;IF(AND($N74="IE",$K74=""),"County is required for deliveries within the Republic of Ireland. ","")&amp;IF(LEN($AB74)&gt;35,"County exceeds 35 characters. ","")&amp;IF(AND($L74="",AND($N74&lt;&gt;"AE",$N74&lt;&gt;"QA")),"Postcode is required for the selected country. If there is genuinely no postcode, enter the first 3 characters of the area (e.g. D15). ","")&amp;IF(LEN($L74)&gt;35,"Postcode exceeds 35 characters. ","")&amp;IF($AE74&lt;&gt;"",$AE74,"")&amp;IF(LEN($O74)&gt;40,"Gift Message Line 1 exceeds 40 characters. ","")&amp;IF(LEN($P74)&gt;40,"Gift Message Line 2 exceeds 40 characters. ","")&amp;IF(LEN($Q74)&gt;40,"Gift Message Line 3 exceeds 40 characters. ","")&amp;IF(LEN($R74)&gt;40,"Gift Message Line 4 exceeds 40 characters. ","")&amp;IF(LEN($S74)&gt;40,"Gift Message Line 5 exceeds 40 characters. ","")&amp;IF(LEN($T74)&gt;40,"Gift Message Line 6 exceeds 40 characters. ","")&amp;IF(LEN($U74)&gt;40,"Gift Message Line 7 exceeds 40 characters. ",""))</f>
        <v/>
      </c>
      <c r="Y74" s="44" t="str">
        <f t="shared" si="5"/>
        <v/>
      </c>
      <c r="Z74" s="44"/>
      <c r="AA74" s="44"/>
      <c r="AB74" s="32" t="str">
        <f t="shared" si="6"/>
        <v/>
      </c>
      <c r="AC74" s="32" t="str">
        <f>IF($A74="","",IFERROR(LEFT(INDEX('PRODUCT DATA'!$NO$2:$NO$25,MATCH($A74,'PRODUCT DATA'!$NP$2:$NP$25,0)),FIND("|",INDEX('PRODUCT DATA'!$NO$2:$NO$25,MATCH($A74,'PRODUCT DATA'!$NP$2:$NP$25,0)))-1),$A74))</f>
        <v/>
      </c>
      <c r="AD74" s="45"/>
      <c r="AE74" s="45" t="str">
        <f t="shared" si="7"/>
        <v/>
      </c>
    </row>
    <row r="75" spans="1:31" ht="15" customHeight="1" x14ac:dyDescent="0.25">
      <c r="A75" s="40"/>
      <c r="B75" s="43" t="str">
        <f>IF($A75="","",IFERROR(VLOOKUP($AC75,'PRODUCT DATA'!$NR$2:$NS$374,2,FALSE()),"UNKNOWN ITEM CODE - please check"))</f>
        <v/>
      </c>
      <c r="C75" s="39">
        <v>1</v>
      </c>
      <c r="D75" s="39"/>
      <c r="E75" s="40"/>
      <c r="F75" s="41"/>
      <c r="G75" s="39"/>
      <c r="H75" s="41"/>
      <c r="I75" s="41"/>
      <c r="J75" s="39"/>
      <c r="K75" s="41"/>
      <c r="L75" s="40"/>
      <c r="M75" s="40"/>
      <c r="N75" s="42" t="str">
        <f>IF($M75="","",IFERROR(INDEX('PRODUCT DATA'!$B$2:$B$58,MATCH(IF(UPPER($M75)="UK","GB",$M75),'PRODUCT DATA'!$B$2:$B$58,0)),IFERROR(INDEX('PRODUCT DATA'!$B$2:$B$58,MATCH(IF(UPPER($M75)="UK","GB",$M75),'PRODUCT DATA'!$A$2:$A$58,0)),"UNKNOWN COUNTRY - please check")))</f>
        <v/>
      </c>
      <c r="O75" s="41"/>
      <c r="P75" s="41"/>
      <c r="Q75" s="41"/>
      <c r="R75" s="41"/>
      <c r="S75" s="41"/>
      <c r="T75" s="41"/>
      <c r="U75" s="41"/>
      <c r="V75" s="43" t="str">
        <f t="shared" si="4"/>
        <v/>
      </c>
      <c r="W75" s="44" t="str">
        <f ca="1">IF(COUNTA($A75,$D75:$M75,$O75:$U75)=0,"",IF($A75="","Item Code; ","")&amp;IF(AND($A75&lt;&gt;"",ISNA(MATCH($AC75,'PRODUCT DATA'!$D$2:$D$394,0))),"Item Code; ","")&amp;IF($M75="","Country; ","")&amp;IF(AND($M75&lt;&gt;"",NOT(OR(NOT(ISNA(MATCH(IF(UPPER($M75)="UK","GB",$M75),'PRODUCT DATA'!$A$2:$A$58,0))),NOT(ISNA(MATCH(IF(UPPER($M75)="UK","GB",$M75),'PRODUCT DATA'!$B$2:$B$58,0)))))),"Country; ","")&amp;IF(AND($A75&lt;&gt;"",$M75&lt;&gt;"",NOT(ISNA(MATCH($AC75,'PRODUCT DATA'!$D$2:$D$394,0))),OR(NOT(ISNA(MATCH(IF(UPPER($M75)="UK","GB",$M75),'PRODUCT DATA'!$A$2:$A$58,0))),NOT(ISNA(MATCH(IF(UPPER($M75)="UK","GB",$M75),'PRODUCT DATA'!$B$2:$B$58,0)))),NOT(IFERROR(COUNTIF(OFFSET('PRODUCT DATA'!$F$2,0,MATCH($AC75,'PRODUCT DATA'!$F$1:$NN$1,0)-1,114,1),$N75)&gt;0,FALSE()))),IF(UPPER(IFERROR(OFFSET('PRODUCT DATA'!$C$2,MATCH($N75,'PRODUCT DATA'!$B$2:$B$58,0)-1,0),""))="NO","Alcohol Restriction; ","Item Code / Country combination; "),"")&amp;IF($C75="","Quantity; ","")&amp;IF(AND($C75&lt;&gt;"",OR(NOT(ISNUMBER($C75)),$C75&lt;1,$C75&gt;999,MOD($C75,1)&lt;&gt;0)),"Quantity; ","")&amp;IF($D75="","Recipient Name; ","")&amp;IF(LEN($D75)&gt;35,"Recipient Name; ","")&amp;IF($E75="","Recipient Phone; ","")&amp;IF(AND($E75&lt;&gt;"",OR(LEN($E75)&lt;6,LEN($E75)&gt;20,NOT(IFERROR(ISNUMBER(1*$E75),FALSE())))),"Recipient Phone; ","")&amp;IF(LEN($F75)&gt;35,"Recipient Company Name; ","")&amp;IF($G75="","Address Line 1; ","")&amp;IF(LEN($G75)&gt;35,"Address Line 1; ","")&amp;IF(LEN($H75)&gt;35,"Address Line 2; ","")&amp;IF(LEN($I75)&gt;35,"Address Line 3; ","")&amp;IF($J75="","Town; ","")&amp;IF(LEN($J75)&gt;35,"Town; ","")&amp;IF(AND($N75="IE",$K75=""),"County; ","")&amp;IF(LEN($AB75)&gt;35,"County; ","")&amp;IF(AND($L75="",AND($N75&lt;&gt;"AE",$N75&lt;&gt;"QA")),"Postcode; ","")&amp;IF(LEN($L75)&gt;35,"Postcode; ","")&amp;IF($AE75&lt;&gt;"","Postcode; ","")&amp;IF(LEN($O75)&gt;40,"Gift Message 1; ","")&amp;IF(LEN($P75)&gt;40,"Gift Message 2; ","")&amp;IF(LEN($Q75)&gt;40,"Gift Message 3; ","")&amp;IF(LEN($R75)&gt;40,"Gift Message 4; ","")&amp;IF(LEN($S75)&gt;40,"Gift Message 5; ","")&amp;IF(LEN($T75)&gt;40,"Gift Message 6; ","")&amp;IF(LEN($U75)&gt;40,"Gift Message 7; ",""))</f>
        <v/>
      </c>
      <c r="X75" s="44" t="str">
        <f ca="1">IF(COUNTA($A75,$D75:$M75,$O75:$U75)=0,"",IF($A75="","Enter the Item Code (hamper) - type it, paste it, or choose it from the dropdown. ","")&amp;IF(AND($A75&lt;&gt;"",ISNA(MATCH($AC75,'PRODUCT DATA'!$D$2:$D$394,0))),"This Item Code is not recognised. Check the code (case does not matter, but spelling and digits must match exactly) or choose it from the dropdown. ","")&amp;IF($M75="","Enter the Country after the Item Code - type or paste the name or the 2-letter code, or choose it from the dropdown. ","")&amp;IF(AND($M75&lt;&gt;"",NOT(OR(NOT(ISNA(MATCH(IF(UPPER($M75)="UK","GB",$M75),'PRODUCT DATA'!$A$2:$A$58,0))),NOT(ISNA(MATCH(IF(UPPER($M75)="UK","GB",$M75),'PRODUCT DATA'!$B$2:$B$58,0)))))),"This Country is not recognised as either a full name or a 2-letter code. Check the spelling (case does not matter) or choose it from the dropdown. ","")&amp;IF(AND($A75&lt;&gt;"",$M75&lt;&gt;"",NOT(ISNA(MATCH($AC75,'PRODUCT DATA'!$D$2:$D$394,0))),OR(NOT(ISNA(MATCH(IF(UPPER($M75)="UK","GB",$M75),'PRODUCT DATA'!$A$2:$A$58,0))),NOT(ISNA(MATCH(IF(UPPER($M75)="UK","GB",$M75),'PRODUCT DATA'!$B$2:$B$58,0)))),NOT(IFERROR(COUNTIF(OFFSET('PRODUCT DATA'!$F$2,0,MATCH($AC75,'PRODUCT DATA'!$F$1:$NN$1,0)-1,114,1),$N75)&gt;0,FALSE()))),IF(UPPER(IFERROR(OFFSET('PRODUCT DATA'!$C$2,MATCH($N75,'PRODUCT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"),"")&amp;IF($C75="","Enter Quantity. ","")&amp;IF(AND($C75&lt;&gt;"",OR(NOT(ISNUMBER($C75)),$C75&lt;1,$C75&gt;999,MOD($C75,1)&lt;&gt;0)),"Quantity must be a whole number from 1 to 999 (use a quantity above 1 only for a genuine bulk order of identical items to ONE address — otherwise use a separate row per recipient). ","")&amp;IF($D75="","Enter Recipient Name. ","")&amp;IF(LEN($D75)&gt;35,"Recipient Name exceeds 35 characters. ","")&amp;IF($E75="","Enter Recipient Phone. ","")&amp;IF(AND($E75&lt;&gt;"",OR(LEN($E75)&lt;6,LEN($E75)&gt;20,NOT(IFERROR(ISNUMBER(1*$E75),FALSE())))),"Phone must be the LOCAL number for the destination country: digits only, no +, spaces, or country code, 6 to 20 digits. ","")&amp;IF(LEN($F75)&gt;35,"Recipient Company Name exceeds 35 characters. ","")&amp;IF($G75="","Enter Address Line 1. ","")&amp;IF(LEN($G75)&gt;35,"Address Line 1 exceeds the 35-character SAP limit. ","")&amp;IF(LEN($H75)&gt;35,"Address Line 2 exceeds the 35-character SAP limit. ","")&amp;IF(LEN($I75)&gt;35,"Address Line 3 exceeds the 35-character SAP limit. ","")&amp;IF($J75="","Enter Town. This must never be left blank, even if there is no conventional town name. ","")&amp;IF(LEN($J75)&gt;35,"Town exceeds 35 characters. ","")&amp;IF(AND($N75="IE",$K75=""),"County is required for deliveries within the Republic of Ireland. ","")&amp;IF(LEN($AB75)&gt;35,"County exceeds 35 characters. ","")&amp;IF(AND($L75="",AND($N75&lt;&gt;"AE",$N75&lt;&gt;"QA")),"Postcode is required for the selected country. If there is genuinely no postcode, enter the first 3 characters of the area (e.g. D15). ","")&amp;IF(LEN($L75)&gt;35,"Postcode exceeds 35 characters. ","")&amp;IF($AE75&lt;&gt;"",$AE75,"")&amp;IF(LEN($O75)&gt;40,"Gift Message Line 1 exceeds 40 characters. ","")&amp;IF(LEN($P75)&gt;40,"Gift Message Line 2 exceeds 40 characters. ","")&amp;IF(LEN($Q75)&gt;40,"Gift Message Line 3 exceeds 40 characters. ","")&amp;IF(LEN($R75)&gt;40,"Gift Message Line 4 exceeds 40 characters. ","")&amp;IF(LEN($S75)&gt;40,"Gift Message Line 5 exceeds 40 characters. ","")&amp;IF(LEN($T75)&gt;40,"Gift Message Line 6 exceeds 40 characters. ","")&amp;IF(LEN($U75)&gt;40,"Gift Message Line 7 exceeds 40 characters. ",""))</f>
        <v/>
      </c>
      <c r="Y75" s="44" t="str">
        <f t="shared" si="5"/>
        <v/>
      </c>
      <c r="Z75" s="44"/>
      <c r="AA75" s="44"/>
      <c r="AB75" s="32" t="str">
        <f t="shared" si="6"/>
        <v/>
      </c>
      <c r="AC75" s="32" t="str">
        <f>IF($A75="","",IFERROR(LEFT(INDEX('PRODUCT DATA'!$NO$2:$NO$25,MATCH($A75,'PRODUCT DATA'!$NP$2:$NP$25,0)),FIND("|",INDEX('PRODUCT DATA'!$NO$2:$NO$25,MATCH($A75,'PRODUCT DATA'!$NP$2:$NP$25,0)))-1),$A75))</f>
        <v/>
      </c>
      <c r="AD75" s="45"/>
      <c r="AE75" s="45" t="str">
        <f t="shared" si="7"/>
        <v/>
      </c>
    </row>
    <row r="76" spans="1:31" ht="15" customHeight="1" x14ac:dyDescent="0.25">
      <c r="A76" s="40"/>
      <c r="B76" s="43" t="str">
        <f>IF($A76="","",IFERROR(VLOOKUP($AC76,'PRODUCT DATA'!$NR$2:$NS$374,2,FALSE()),"UNKNOWN ITEM CODE - please check"))</f>
        <v/>
      </c>
      <c r="C76" s="39">
        <v>1</v>
      </c>
      <c r="D76" s="39"/>
      <c r="E76" s="40"/>
      <c r="F76" s="41"/>
      <c r="G76" s="39"/>
      <c r="H76" s="41"/>
      <c r="I76" s="41"/>
      <c r="J76" s="39"/>
      <c r="K76" s="41"/>
      <c r="L76" s="40"/>
      <c r="M76" s="40"/>
      <c r="N76" s="42" t="str">
        <f>IF($M76="","",IFERROR(INDEX('PRODUCT DATA'!$B$2:$B$58,MATCH(IF(UPPER($M76)="UK","GB",$M76),'PRODUCT DATA'!$B$2:$B$58,0)),IFERROR(INDEX('PRODUCT DATA'!$B$2:$B$58,MATCH(IF(UPPER($M76)="UK","GB",$M76),'PRODUCT DATA'!$A$2:$A$58,0)),"UNKNOWN COUNTRY - please check")))</f>
        <v/>
      </c>
      <c r="O76" s="41"/>
      <c r="P76" s="41"/>
      <c r="Q76" s="41"/>
      <c r="R76" s="41"/>
      <c r="S76" s="41"/>
      <c r="T76" s="41"/>
      <c r="U76" s="41"/>
      <c r="V76" s="43" t="str">
        <f t="shared" si="4"/>
        <v/>
      </c>
      <c r="W76" s="44" t="str">
        <f ca="1">IF(COUNTA($A76,$D76:$M76,$O76:$U76)=0,"",IF($A76="","Item Code; ","")&amp;IF(AND($A76&lt;&gt;"",ISNA(MATCH($AC76,'PRODUCT DATA'!$D$2:$D$394,0))),"Item Code; ","")&amp;IF($M76="","Country; ","")&amp;IF(AND($M76&lt;&gt;"",NOT(OR(NOT(ISNA(MATCH(IF(UPPER($M76)="UK","GB",$M76),'PRODUCT DATA'!$A$2:$A$58,0))),NOT(ISNA(MATCH(IF(UPPER($M76)="UK","GB",$M76),'PRODUCT DATA'!$B$2:$B$58,0)))))),"Country; ","")&amp;IF(AND($A76&lt;&gt;"",$M76&lt;&gt;"",NOT(ISNA(MATCH($AC76,'PRODUCT DATA'!$D$2:$D$394,0))),OR(NOT(ISNA(MATCH(IF(UPPER($M76)="UK","GB",$M76),'PRODUCT DATA'!$A$2:$A$58,0))),NOT(ISNA(MATCH(IF(UPPER($M76)="UK","GB",$M76),'PRODUCT DATA'!$B$2:$B$58,0)))),NOT(IFERROR(COUNTIF(OFFSET('PRODUCT DATA'!$F$2,0,MATCH($AC76,'PRODUCT DATA'!$F$1:$NN$1,0)-1,114,1),$N76)&gt;0,FALSE()))),IF(UPPER(IFERROR(OFFSET('PRODUCT DATA'!$C$2,MATCH($N76,'PRODUCT DATA'!$B$2:$B$58,0)-1,0),""))="NO","Alcohol Restriction; ","Item Code / Country combination; "),"")&amp;IF($C76="","Quantity; ","")&amp;IF(AND($C76&lt;&gt;"",OR(NOT(ISNUMBER($C76)),$C76&lt;1,$C76&gt;999,MOD($C76,1)&lt;&gt;0)),"Quantity; ","")&amp;IF($D76="","Recipient Name; ","")&amp;IF(LEN($D76)&gt;35,"Recipient Name; ","")&amp;IF($E76="","Recipient Phone; ","")&amp;IF(AND($E76&lt;&gt;"",OR(LEN($E76)&lt;6,LEN($E76)&gt;20,NOT(IFERROR(ISNUMBER(1*$E76),FALSE())))),"Recipient Phone; ","")&amp;IF(LEN($F76)&gt;35,"Recipient Company Name; ","")&amp;IF($G76="","Address Line 1; ","")&amp;IF(LEN($G76)&gt;35,"Address Line 1; ","")&amp;IF(LEN($H76)&gt;35,"Address Line 2; ","")&amp;IF(LEN($I76)&gt;35,"Address Line 3; ","")&amp;IF($J76="","Town; ","")&amp;IF(LEN($J76)&gt;35,"Town; ","")&amp;IF(AND($N76="IE",$K76=""),"County; ","")&amp;IF(LEN($AB76)&gt;35,"County; ","")&amp;IF(AND($L76="",AND($N76&lt;&gt;"AE",$N76&lt;&gt;"QA")),"Postcode; ","")&amp;IF(LEN($L76)&gt;35,"Postcode; ","")&amp;IF($AE76&lt;&gt;"","Postcode; ","")&amp;IF(LEN($O76)&gt;40,"Gift Message 1; ","")&amp;IF(LEN($P76)&gt;40,"Gift Message 2; ","")&amp;IF(LEN($Q76)&gt;40,"Gift Message 3; ","")&amp;IF(LEN($R76)&gt;40,"Gift Message 4; ","")&amp;IF(LEN($S76)&gt;40,"Gift Message 5; ","")&amp;IF(LEN($T76)&gt;40,"Gift Message 6; ","")&amp;IF(LEN($U76)&gt;40,"Gift Message 7; ",""))</f>
        <v/>
      </c>
      <c r="X76" s="44" t="str">
        <f ca="1">IF(COUNTA($A76,$D76:$M76,$O76:$U76)=0,"",IF($A76="","Enter the Item Code (hamper) - type it, paste it, or choose it from the dropdown. ","")&amp;IF(AND($A76&lt;&gt;"",ISNA(MATCH($AC76,'PRODUCT DATA'!$D$2:$D$394,0))),"This Item Code is not recognised. Check the code (case does not matter, but spelling and digits must match exactly) or choose it from the dropdown. ","")&amp;IF($M76="","Enter the Country after the Item Code - type or paste the name or the 2-letter code, or choose it from the dropdown. ","")&amp;IF(AND($M76&lt;&gt;"",NOT(OR(NOT(ISNA(MATCH(IF(UPPER($M76)="UK","GB",$M76),'PRODUCT DATA'!$A$2:$A$58,0))),NOT(ISNA(MATCH(IF(UPPER($M76)="UK","GB",$M76),'PRODUCT DATA'!$B$2:$B$58,0)))))),"This Country is not recognised as either a full name or a 2-letter code. Check the spelling (case does not matter) or choose it from the dropdown. ","")&amp;IF(AND($A76&lt;&gt;"",$M76&lt;&gt;"",NOT(ISNA(MATCH($AC76,'PRODUCT DATA'!$D$2:$D$394,0))),OR(NOT(ISNA(MATCH(IF(UPPER($M76)="UK","GB",$M76),'PRODUCT DATA'!$A$2:$A$58,0))),NOT(ISNA(MATCH(IF(UPPER($M76)="UK","GB",$M76),'PRODUCT DATA'!$B$2:$B$58,0)))),NOT(IFERROR(COUNTIF(OFFSET('PRODUCT DATA'!$F$2,0,MATCH($AC76,'PRODUCT DATA'!$F$1:$NN$1,0)-1,114,1),$N76)&gt;0,FALSE()))),IF(UPPER(IFERROR(OFFSET('PRODUCT DATA'!$C$2,MATCH($N76,'PRODUCT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"),"")&amp;IF($C76="","Enter Quantity. ","")&amp;IF(AND($C76&lt;&gt;"",OR(NOT(ISNUMBER($C76)),$C76&lt;1,$C76&gt;999,MOD($C76,1)&lt;&gt;0)),"Quantity must be a whole number from 1 to 999 (use a quantity above 1 only for a genuine bulk order of identical items to ONE address — otherwise use a separate row per recipient). ","")&amp;IF($D76="","Enter Recipient Name. ","")&amp;IF(LEN($D76)&gt;35,"Recipient Name exceeds 35 characters. ","")&amp;IF($E76="","Enter Recipient Phone. ","")&amp;IF(AND($E76&lt;&gt;"",OR(LEN($E76)&lt;6,LEN($E76)&gt;20,NOT(IFERROR(ISNUMBER(1*$E76),FALSE())))),"Phone must be the LOCAL number for the destination country: digits only, no +, spaces, or country code, 6 to 20 digits. ","")&amp;IF(LEN($F76)&gt;35,"Recipient Company Name exceeds 35 characters. ","")&amp;IF($G76="","Enter Address Line 1. ","")&amp;IF(LEN($G76)&gt;35,"Address Line 1 exceeds the 35-character SAP limit. ","")&amp;IF(LEN($H76)&gt;35,"Address Line 2 exceeds the 35-character SAP limit. ","")&amp;IF(LEN($I76)&gt;35,"Address Line 3 exceeds the 35-character SAP limit. ","")&amp;IF($J76="","Enter Town. This must never be left blank, even if there is no conventional town name. ","")&amp;IF(LEN($J76)&gt;35,"Town exceeds 35 characters. ","")&amp;IF(AND($N76="IE",$K76=""),"County is required for deliveries within the Republic of Ireland. ","")&amp;IF(LEN($AB76)&gt;35,"County exceeds 35 characters. ","")&amp;IF(AND($L76="",AND($N76&lt;&gt;"AE",$N76&lt;&gt;"QA")),"Postcode is required for the selected country. If there is genuinely no postcode, enter the first 3 characters of the area (e.g. D15). ","")&amp;IF(LEN($L76)&gt;35,"Postcode exceeds 35 characters. ","")&amp;IF($AE76&lt;&gt;"",$AE76,"")&amp;IF(LEN($O76)&gt;40,"Gift Message Line 1 exceeds 40 characters. ","")&amp;IF(LEN($P76)&gt;40,"Gift Message Line 2 exceeds 40 characters. ","")&amp;IF(LEN($Q76)&gt;40,"Gift Message Line 3 exceeds 40 characters. ","")&amp;IF(LEN($R76)&gt;40,"Gift Message Line 4 exceeds 40 characters. ","")&amp;IF(LEN($S76)&gt;40,"Gift Message Line 5 exceeds 40 characters. ","")&amp;IF(LEN($T76)&gt;40,"Gift Message Line 6 exceeds 40 characters. ","")&amp;IF(LEN($U76)&gt;40,"Gift Message Line 7 exceeds 40 characters. ",""))</f>
        <v/>
      </c>
      <c r="Y76" s="44" t="str">
        <f t="shared" si="5"/>
        <v/>
      </c>
      <c r="Z76" s="44"/>
      <c r="AA76" s="44"/>
      <c r="AB76" s="32" t="str">
        <f t="shared" si="6"/>
        <v/>
      </c>
      <c r="AC76" s="32" t="str">
        <f>IF($A76="","",IFERROR(LEFT(INDEX('PRODUCT DATA'!$NO$2:$NO$25,MATCH($A76,'PRODUCT DATA'!$NP$2:$NP$25,0)),FIND("|",INDEX('PRODUCT DATA'!$NO$2:$NO$25,MATCH($A76,'PRODUCT DATA'!$NP$2:$NP$25,0)))-1),$A76))</f>
        <v/>
      </c>
      <c r="AD76" s="45"/>
      <c r="AE76" s="45" t="str">
        <f t="shared" si="7"/>
        <v/>
      </c>
    </row>
    <row r="77" spans="1:31" ht="15" customHeight="1" x14ac:dyDescent="0.25">
      <c r="A77" s="40"/>
      <c r="B77" s="43" t="str">
        <f>IF($A77="","",IFERROR(VLOOKUP($AC77,'PRODUCT DATA'!$NR$2:$NS$374,2,FALSE()),"UNKNOWN ITEM CODE - please check"))</f>
        <v/>
      </c>
      <c r="C77" s="39">
        <v>1</v>
      </c>
      <c r="D77" s="39"/>
      <c r="E77" s="40"/>
      <c r="F77" s="41"/>
      <c r="G77" s="39"/>
      <c r="H77" s="41"/>
      <c r="I77" s="41"/>
      <c r="J77" s="39"/>
      <c r="K77" s="41"/>
      <c r="L77" s="40"/>
      <c r="M77" s="40"/>
      <c r="N77" s="42" t="str">
        <f>IF($M77="","",IFERROR(INDEX('PRODUCT DATA'!$B$2:$B$58,MATCH(IF(UPPER($M77)="UK","GB",$M77),'PRODUCT DATA'!$B$2:$B$58,0)),IFERROR(INDEX('PRODUCT DATA'!$B$2:$B$58,MATCH(IF(UPPER($M77)="UK","GB",$M77),'PRODUCT DATA'!$A$2:$A$58,0)),"UNKNOWN COUNTRY - please check")))</f>
        <v/>
      </c>
      <c r="O77" s="41"/>
      <c r="P77" s="41"/>
      <c r="Q77" s="41"/>
      <c r="R77" s="41"/>
      <c r="S77" s="41"/>
      <c r="T77" s="41"/>
      <c r="U77" s="41"/>
      <c r="V77" s="43" t="str">
        <f t="shared" si="4"/>
        <v/>
      </c>
      <c r="W77" s="44" t="str">
        <f ca="1">IF(COUNTA($A77,$D77:$M77,$O77:$U77)=0,"",IF($A77="","Item Code; ","")&amp;IF(AND($A77&lt;&gt;"",ISNA(MATCH($AC77,'PRODUCT DATA'!$D$2:$D$394,0))),"Item Code; ","")&amp;IF($M77="","Country; ","")&amp;IF(AND($M77&lt;&gt;"",NOT(OR(NOT(ISNA(MATCH(IF(UPPER($M77)="UK","GB",$M77),'PRODUCT DATA'!$A$2:$A$58,0))),NOT(ISNA(MATCH(IF(UPPER($M77)="UK","GB",$M77),'PRODUCT DATA'!$B$2:$B$58,0)))))),"Country; ","")&amp;IF(AND($A77&lt;&gt;"",$M77&lt;&gt;"",NOT(ISNA(MATCH($AC77,'PRODUCT DATA'!$D$2:$D$394,0))),OR(NOT(ISNA(MATCH(IF(UPPER($M77)="UK","GB",$M77),'PRODUCT DATA'!$A$2:$A$58,0))),NOT(ISNA(MATCH(IF(UPPER($M77)="UK","GB",$M77),'PRODUCT DATA'!$B$2:$B$58,0)))),NOT(IFERROR(COUNTIF(OFFSET('PRODUCT DATA'!$F$2,0,MATCH($AC77,'PRODUCT DATA'!$F$1:$NN$1,0)-1,114,1),$N77)&gt;0,FALSE()))),IF(UPPER(IFERROR(OFFSET('PRODUCT DATA'!$C$2,MATCH($N77,'PRODUCT DATA'!$B$2:$B$58,0)-1,0),""))="NO","Alcohol Restriction; ","Item Code / Country combination; "),"")&amp;IF($C77="","Quantity; ","")&amp;IF(AND($C77&lt;&gt;"",OR(NOT(ISNUMBER($C77)),$C77&lt;1,$C77&gt;999,MOD($C77,1)&lt;&gt;0)),"Quantity; ","")&amp;IF($D77="","Recipient Name; ","")&amp;IF(LEN($D77)&gt;35,"Recipient Name; ","")&amp;IF($E77="","Recipient Phone; ","")&amp;IF(AND($E77&lt;&gt;"",OR(LEN($E77)&lt;6,LEN($E77)&gt;20,NOT(IFERROR(ISNUMBER(1*$E77),FALSE())))),"Recipient Phone; ","")&amp;IF(LEN($F77)&gt;35,"Recipient Company Name; ","")&amp;IF($G77="","Address Line 1; ","")&amp;IF(LEN($G77)&gt;35,"Address Line 1; ","")&amp;IF(LEN($H77)&gt;35,"Address Line 2; ","")&amp;IF(LEN($I77)&gt;35,"Address Line 3; ","")&amp;IF($J77="","Town; ","")&amp;IF(LEN($J77)&gt;35,"Town; ","")&amp;IF(AND($N77="IE",$K77=""),"County; ","")&amp;IF(LEN($AB77)&gt;35,"County; ","")&amp;IF(AND($L77="",AND($N77&lt;&gt;"AE",$N77&lt;&gt;"QA")),"Postcode; ","")&amp;IF(LEN($L77)&gt;35,"Postcode; ","")&amp;IF($AE77&lt;&gt;"","Postcode; ","")&amp;IF(LEN($O77)&gt;40,"Gift Message 1; ","")&amp;IF(LEN($P77)&gt;40,"Gift Message 2; ","")&amp;IF(LEN($Q77)&gt;40,"Gift Message 3; ","")&amp;IF(LEN($R77)&gt;40,"Gift Message 4; ","")&amp;IF(LEN($S77)&gt;40,"Gift Message 5; ","")&amp;IF(LEN($T77)&gt;40,"Gift Message 6; ","")&amp;IF(LEN($U77)&gt;40,"Gift Message 7; ",""))</f>
        <v/>
      </c>
      <c r="X77" s="44" t="str">
        <f ca="1">IF(COUNTA($A77,$D77:$M77,$O77:$U77)=0,"",IF($A77="","Enter the Item Code (hamper) - type it, paste it, or choose it from the dropdown. ","")&amp;IF(AND($A77&lt;&gt;"",ISNA(MATCH($AC77,'PRODUCT DATA'!$D$2:$D$394,0))),"This Item Code is not recognised. Check the code (case does not matter, but spelling and digits must match exactly) or choose it from the dropdown. ","")&amp;IF($M77="","Enter the Country after the Item Code - type or paste the name or the 2-letter code, or choose it from the dropdown. ","")&amp;IF(AND($M77&lt;&gt;"",NOT(OR(NOT(ISNA(MATCH(IF(UPPER($M77)="UK","GB",$M77),'PRODUCT DATA'!$A$2:$A$58,0))),NOT(ISNA(MATCH(IF(UPPER($M77)="UK","GB",$M77),'PRODUCT DATA'!$B$2:$B$58,0)))))),"This Country is not recognised as either a full name or a 2-letter code. Check the spelling (case does not matter) or choose it from the dropdown. ","")&amp;IF(AND($A77&lt;&gt;"",$M77&lt;&gt;"",NOT(ISNA(MATCH($AC77,'PRODUCT DATA'!$D$2:$D$394,0))),OR(NOT(ISNA(MATCH(IF(UPPER($M77)="UK","GB",$M77),'PRODUCT DATA'!$A$2:$A$58,0))),NOT(ISNA(MATCH(IF(UPPER($M77)="UK","GB",$M77),'PRODUCT DATA'!$B$2:$B$58,0)))),NOT(IFERROR(COUNTIF(OFFSET('PRODUCT DATA'!$F$2,0,MATCH($AC77,'PRODUCT DATA'!$F$1:$NN$1,0)-1,114,1),$N77)&gt;0,FALSE()))),IF(UPPER(IFERROR(OFFSET('PRODUCT DATA'!$C$2,MATCH($N77,'PRODUCT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"),"")&amp;IF($C77="","Enter Quantity. ","")&amp;IF(AND($C77&lt;&gt;"",OR(NOT(ISNUMBER($C77)),$C77&lt;1,$C77&gt;999,MOD($C77,1)&lt;&gt;0)),"Quantity must be a whole number from 1 to 999 (use a quantity above 1 only for a genuine bulk order of identical items to ONE address — otherwise use a separate row per recipient). ","")&amp;IF($D77="","Enter Recipient Name. ","")&amp;IF(LEN($D77)&gt;35,"Recipient Name exceeds 35 characters. ","")&amp;IF($E77="","Enter Recipient Phone. ","")&amp;IF(AND($E77&lt;&gt;"",OR(LEN($E77)&lt;6,LEN($E77)&gt;20,NOT(IFERROR(ISNUMBER(1*$E77),FALSE())))),"Phone must be the LOCAL number for the destination country: digits only, no +, spaces, or country code, 6 to 20 digits. ","")&amp;IF(LEN($F77)&gt;35,"Recipient Company Name exceeds 35 characters. ","")&amp;IF($G77="","Enter Address Line 1. ","")&amp;IF(LEN($G77)&gt;35,"Address Line 1 exceeds the 35-character SAP limit. ","")&amp;IF(LEN($H77)&gt;35,"Address Line 2 exceeds the 35-character SAP limit. ","")&amp;IF(LEN($I77)&gt;35,"Address Line 3 exceeds the 35-character SAP limit. ","")&amp;IF($J77="","Enter Town. This must never be left blank, even if there is no conventional town name. ","")&amp;IF(LEN($J77)&gt;35,"Town exceeds 35 characters. ","")&amp;IF(AND($N77="IE",$K77=""),"County is required for deliveries within the Republic of Ireland. ","")&amp;IF(LEN($AB77)&gt;35,"County exceeds 35 characters. ","")&amp;IF(AND($L77="",AND($N77&lt;&gt;"AE",$N77&lt;&gt;"QA")),"Postcode is required for the selected country. If there is genuinely no postcode, enter the first 3 characters of the area (e.g. D15). ","")&amp;IF(LEN($L77)&gt;35,"Postcode exceeds 35 characters. ","")&amp;IF($AE77&lt;&gt;"",$AE77,"")&amp;IF(LEN($O77)&gt;40,"Gift Message Line 1 exceeds 40 characters. ","")&amp;IF(LEN($P77)&gt;40,"Gift Message Line 2 exceeds 40 characters. ","")&amp;IF(LEN($Q77)&gt;40,"Gift Message Line 3 exceeds 40 characters. ","")&amp;IF(LEN($R77)&gt;40,"Gift Message Line 4 exceeds 40 characters. ","")&amp;IF(LEN($S77)&gt;40,"Gift Message Line 5 exceeds 40 characters. ","")&amp;IF(LEN($T77)&gt;40,"Gift Message Line 6 exceeds 40 characters. ","")&amp;IF(LEN($U77)&gt;40,"Gift Message Line 7 exceeds 40 characters. ",""))</f>
        <v/>
      </c>
      <c r="Y77" s="44" t="str">
        <f t="shared" si="5"/>
        <v/>
      </c>
      <c r="Z77" s="44"/>
      <c r="AA77" s="44"/>
      <c r="AB77" s="32" t="str">
        <f t="shared" si="6"/>
        <v/>
      </c>
      <c r="AC77" s="32" t="str">
        <f>IF($A77="","",IFERROR(LEFT(INDEX('PRODUCT DATA'!$NO$2:$NO$25,MATCH($A77,'PRODUCT DATA'!$NP$2:$NP$25,0)),FIND("|",INDEX('PRODUCT DATA'!$NO$2:$NO$25,MATCH($A77,'PRODUCT DATA'!$NP$2:$NP$25,0)))-1),$A77))</f>
        <v/>
      </c>
      <c r="AD77" s="45"/>
      <c r="AE77" s="45" t="str">
        <f t="shared" si="7"/>
        <v/>
      </c>
    </row>
    <row r="78" spans="1:31" ht="15" customHeight="1" x14ac:dyDescent="0.25">
      <c r="A78" s="40"/>
      <c r="B78" s="43" t="str">
        <f>IF($A78="","",IFERROR(VLOOKUP($AC78,'PRODUCT DATA'!$NR$2:$NS$374,2,FALSE()),"UNKNOWN ITEM CODE - please check"))</f>
        <v/>
      </c>
      <c r="C78" s="39">
        <v>1</v>
      </c>
      <c r="D78" s="39"/>
      <c r="E78" s="40"/>
      <c r="F78" s="41"/>
      <c r="G78" s="39"/>
      <c r="H78" s="41"/>
      <c r="I78" s="41"/>
      <c r="J78" s="39"/>
      <c r="K78" s="41"/>
      <c r="L78" s="40"/>
      <c r="M78" s="40"/>
      <c r="N78" s="42" t="str">
        <f>IF($M78="","",IFERROR(INDEX('PRODUCT DATA'!$B$2:$B$58,MATCH(IF(UPPER($M78)="UK","GB",$M78),'PRODUCT DATA'!$B$2:$B$58,0)),IFERROR(INDEX('PRODUCT DATA'!$B$2:$B$58,MATCH(IF(UPPER($M78)="UK","GB",$M78),'PRODUCT DATA'!$A$2:$A$58,0)),"UNKNOWN COUNTRY - please check")))</f>
        <v/>
      </c>
      <c r="O78" s="41"/>
      <c r="P78" s="41"/>
      <c r="Q78" s="41"/>
      <c r="R78" s="41"/>
      <c r="S78" s="41"/>
      <c r="T78" s="41"/>
      <c r="U78" s="41"/>
      <c r="V78" s="43" t="str">
        <f t="shared" si="4"/>
        <v/>
      </c>
      <c r="W78" s="44" t="str">
        <f ca="1">IF(COUNTA($A78,$D78:$M78,$O78:$U78)=0,"",IF($A78="","Item Code; ","")&amp;IF(AND($A78&lt;&gt;"",ISNA(MATCH($AC78,'PRODUCT DATA'!$D$2:$D$394,0))),"Item Code; ","")&amp;IF($M78="","Country; ","")&amp;IF(AND($M78&lt;&gt;"",NOT(OR(NOT(ISNA(MATCH(IF(UPPER($M78)="UK","GB",$M78),'PRODUCT DATA'!$A$2:$A$58,0))),NOT(ISNA(MATCH(IF(UPPER($M78)="UK","GB",$M78),'PRODUCT DATA'!$B$2:$B$58,0)))))),"Country; ","")&amp;IF(AND($A78&lt;&gt;"",$M78&lt;&gt;"",NOT(ISNA(MATCH($AC78,'PRODUCT DATA'!$D$2:$D$394,0))),OR(NOT(ISNA(MATCH(IF(UPPER($M78)="UK","GB",$M78),'PRODUCT DATA'!$A$2:$A$58,0))),NOT(ISNA(MATCH(IF(UPPER($M78)="UK","GB",$M78),'PRODUCT DATA'!$B$2:$B$58,0)))),NOT(IFERROR(COUNTIF(OFFSET('PRODUCT DATA'!$F$2,0,MATCH($AC78,'PRODUCT DATA'!$F$1:$NN$1,0)-1,114,1),$N78)&gt;0,FALSE()))),IF(UPPER(IFERROR(OFFSET('PRODUCT DATA'!$C$2,MATCH($N78,'PRODUCT DATA'!$B$2:$B$58,0)-1,0),""))="NO","Alcohol Restriction; ","Item Code / Country combination; "),"")&amp;IF($C78="","Quantity; ","")&amp;IF(AND($C78&lt;&gt;"",OR(NOT(ISNUMBER($C78)),$C78&lt;1,$C78&gt;999,MOD($C78,1)&lt;&gt;0)),"Quantity; ","")&amp;IF($D78="","Recipient Name; ","")&amp;IF(LEN($D78)&gt;35,"Recipient Name; ","")&amp;IF($E78="","Recipient Phone; ","")&amp;IF(AND($E78&lt;&gt;"",OR(LEN($E78)&lt;6,LEN($E78)&gt;20,NOT(IFERROR(ISNUMBER(1*$E78),FALSE())))),"Recipient Phone; ","")&amp;IF(LEN($F78)&gt;35,"Recipient Company Name; ","")&amp;IF($G78="","Address Line 1; ","")&amp;IF(LEN($G78)&gt;35,"Address Line 1; ","")&amp;IF(LEN($H78)&gt;35,"Address Line 2; ","")&amp;IF(LEN($I78)&gt;35,"Address Line 3; ","")&amp;IF($J78="","Town; ","")&amp;IF(LEN($J78)&gt;35,"Town; ","")&amp;IF(AND($N78="IE",$K78=""),"County; ","")&amp;IF(LEN($AB78)&gt;35,"County; ","")&amp;IF(AND($L78="",AND($N78&lt;&gt;"AE",$N78&lt;&gt;"QA")),"Postcode; ","")&amp;IF(LEN($L78)&gt;35,"Postcode; ","")&amp;IF($AE78&lt;&gt;"","Postcode; ","")&amp;IF(LEN($O78)&gt;40,"Gift Message 1; ","")&amp;IF(LEN($P78)&gt;40,"Gift Message 2; ","")&amp;IF(LEN($Q78)&gt;40,"Gift Message 3; ","")&amp;IF(LEN($R78)&gt;40,"Gift Message 4; ","")&amp;IF(LEN($S78)&gt;40,"Gift Message 5; ","")&amp;IF(LEN($T78)&gt;40,"Gift Message 6; ","")&amp;IF(LEN($U78)&gt;40,"Gift Message 7; ",""))</f>
        <v/>
      </c>
      <c r="X78" s="44" t="str">
        <f ca="1">IF(COUNTA($A78,$D78:$M78,$O78:$U78)=0,"",IF($A78="","Enter the Item Code (hamper) - type it, paste it, or choose it from the dropdown. ","")&amp;IF(AND($A78&lt;&gt;"",ISNA(MATCH($AC78,'PRODUCT DATA'!$D$2:$D$394,0))),"This Item Code is not recognised. Check the code (case does not matter, but spelling and digits must match exactly) or choose it from the dropdown. ","")&amp;IF($M78="","Enter the Country after the Item Code - type or paste the name or the 2-letter code, or choose it from the dropdown. ","")&amp;IF(AND($M78&lt;&gt;"",NOT(OR(NOT(ISNA(MATCH(IF(UPPER($M78)="UK","GB",$M78),'PRODUCT DATA'!$A$2:$A$58,0))),NOT(ISNA(MATCH(IF(UPPER($M78)="UK","GB",$M78),'PRODUCT DATA'!$B$2:$B$58,0)))))),"This Country is not recognised as either a full name or a 2-letter code. Check the spelling (case does not matter) or choose it from the dropdown. ","")&amp;IF(AND($A78&lt;&gt;"",$M78&lt;&gt;"",NOT(ISNA(MATCH($AC78,'PRODUCT DATA'!$D$2:$D$394,0))),OR(NOT(ISNA(MATCH(IF(UPPER($M78)="UK","GB",$M78),'PRODUCT DATA'!$A$2:$A$58,0))),NOT(ISNA(MATCH(IF(UPPER($M78)="UK","GB",$M78),'PRODUCT DATA'!$B$2:$B$58,0)))),NOT(IFERROR(COUNTIF(OFFSET('PRODUCT DATA'!$F$2,0,MATCH($AC78,'PRODUCT DATA'!$F$1:$NN$1,0)-1,114,1),$N78)&gt;0,FALSE()))),IF(UPPER(IFERROR(OFFSET('PRODUCT DATA'!$C$2,MATCH($N78,'PRODUCT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"),"")&amp;IF($C78="","Enter Quantity. ","")&amp;IF(AND($C78&lt;&gt;"",OR(NOT(ISNUMBER($C78)),$C78&lt;1,$C78&gt;999,MOD($C78,1)&lt;&gt;0)),"Quantity must be a whole number from 1 to 999 (use a quantity above 1 only for a genuine bulk order of identical items to ONE address — otherwise use a separate row per recipient). ","")&amp;IF($D78="","Enter Recipient Name. ","")&amp;IF(LEN($D78)&gt;35,"Recipient Name exceeds 35 characters. ","")&amp;IF($E78="","Enter Recipient Phone. ","")&amp;IF(AND($E78&lt;&gt;"",OR(LEN($E78)&lt;6,LEN($E78)&gt;20,NOT(IFERROR(ISNUMBER(1*$E78),FALSE())))),"Phone must be the LOCAL number for the destination country: digits only, no +, spaces, or country code, 6 to 20 digits. ","")&amp;IF(LEN($F78)&gt;35,"Recipient Company Name exceeds 35 characters. ","")&amp;IF($G78="","Enter Address Line 1. ","")&amp;IF(LEN($G78)&gt;35,"Address Line 1 exceeds the 35-character SAP limit. ","")&amp;IF(LEN($H78)&gt;35,"Address Line 2 exceeds the 35-character SAP limit. ","")&amp;IF(LEN($I78)&gt;35,"Address Line 3 exceeds the 35-character SAP limit. ","")&amp;IF($J78="","Enter Town. This must never be left blank, even if there is no conventional town name. ","")&amp;IF(LEN($J78)&gt;35,"Town exceeds 35 characters. ","")&amp;IF(AND($N78="IE",$K78=""),"County is required for deliveries within the Republic of Ireland. ","")&amp;IF(LEN($AB78)&gt;35,"County exceeds 35 characters. ","")&amp;IF(AND($L78="",AND($N78&lt;&gt;"AE",$N78&lt;&gt;"QA")),"Postcode is required for the selected country. If there is genuinely no postcode, enter the first 3 characters of the area (e.g. D15). ","")&amp;IF(LEN($L78)&gt;35,"Postcode exceeds 35 characters. ","")&amp;IF($AE78&lt;&gt;"",$AE78,"")&amp;IF(LEN($O78)&gt;40,"Gift Message Line 1 exceeds 40 characters. ","")&amp;IF(LEN($P78)&gt;40,"Gift Message Line 2 exceeds 40 characters. ","")&amp;IF(LEN($Q78)&gt;40,"Gift Message Line 3 exceeds 40 characters. ","")&amp;IF(LEN($R78)&gt;40,"Gift Message Line 4 exceeds 40 characters. ","")&amp;IF(LEN($S78)&gt;40,"Gift Message Line 5 exceeds 40 characters. ","")&amp;IF(LEN($T78)&gt;40,"Gift Message Line 6 exceeds 40 characters. ","")&amp;IF(LEN($U78)&gt;40,"Gift Message Line 7 exceeds 40 characters. ",""))</f>
        <v/>
      </c>
      <c r="Y78" s="44" t="str">
        <f t="shared" si="5"/>
        <v/>
      </c>
      <c r="Z78" s="44"/>
      <c r="AA78" s="44"/>
      <c r="AB78" s="32" t="str">
        <f t="shared" si="6"/>
        <v/>
      </c>
      <c r="AC78" s="32" t="str">
        <f>IF($A78="","",IFERROR(LEFT(INDEX('PRODUCT DATA'!$NO$2:$NO$25,MATCH($A78,'PRODUCT DATA'!$NP$2:$NP$25,0)),FIND("|",INDEX('PRODUCT DATA'!$NO$2:$NO$25,MATCH($A78,'PRODUCT DATA'!$NP$2:$NP$25,0)))-1),$A78))</f>
        <v/>
      </c>
      <c r="AD78" s="45"/>
      <c r="AE78" s="45" t="str">
        <f t="shared" si="7"/>
        <v/>
      </c>
    </row>
    <row r="79" spans="1:31" ht="15" customHeight="1" x14ac:dyDescent="0.25">
      <c r="A79" s="40"/>
      <c r="B79" s="43" t="str">
        <f>IF($A79="","",IFERROR(VLOOKUP($AC79,'PRODUCT DATA'!$NR$2:$NS$374,2,FALSE()),"UNKNOWN ITEM CODE - please check"))</f>
        <v/>
      </c>
      <c r="C79" s="39">
        <v>1</v>
      </c>
      <c r="D79" s="39"/>
      <c r="E79" s="40"/>
      <c r="F79" s="41"/>
      <c r="G79" s="39"/>
      <c r="H79" s="41"/>
      <c r="I79" s="41"/>
      <c r="J79" s="39"/>
      <c r="K79" s="41"/>
      <c r="L79" s="40"/>
      <c r="M79" s="40"/>
      <c r="N79" s="42" t="str">
        <f>IF($M79="","",IFERROR(INDEX('PRODUCT DATA'!$B$2:$B$58,MATCH(IF(UPPER($M79)="UK","GB",$M79),'PRODUCT DATA'!$B$2:$B$58,0)),IFERROR(INDEX('PRODUCT DATA'!$B$2:$B$58,MATCH(IF(UPPER($M79)="UK","GB",$M79),'PRODUCT DATA'!$A$2:$A$58,0)),"UNKNOWN COUNTRY - please check")))</f>
        <v/>
      </c>
      <c r="O79" s="41"/>
      <c r="P79" s="41"/>
      <c r="Q79" s="41"/>
      <c r="R79" s="41"/>
      <c r="S79" s="41"/>
      <c r="T79" s="41"/>
      <c r="U79" s="41"/>
      <c r="V79" s="43" t="str">
        <f t="shared" si="4"/>
        <v/>
      </c>
      <c r="W79" s="44" t="str">
        <f ca="1">IF(COUNTA($A79,$D79:$M79,$O79:$U79)=0,"",IF($A79="","Item Code; ","")&amp;IF(AND($A79&lt;&gt;"",ISNA(MATCH($AC79,'PRODUCT DATA'!$D$2:$D$394,0))),"Item Code; ","")&amp;IF($M79="","Country; ","")&amp;IF(AND($M79&lt;&gt;"",NOT(OR(NOT(ISNA(MATCH(IF(UPPER($M79)="UK","GB",$M79),'PRODUCT DATA'!$A$2:$A$58,0))),NOT(ISNA(MATCH(IF(UPPER($M79)="UK","GB",$M79),'PRODUCT DATA'!$B$2:$B$58,0)))))),"Country; ","")&amp;IF(AND($A79&lt;&gt;"",$M79&lt;&gt;"",NOT(ISNA(MATCH($AC79,'PRODUCT DATA'!$D$2:$D$394,0))),OR(NOT(ISNA(MATCH(IF(UPPER($M79)="UK","GB",$M79),'PRODUCT DATA'!$A$2:$A$58,0))),NOT(ISNA(MATCH(IF(UPPER($M79)="UK","GB",$M79),'PRODUCT DATA'!$B$2:$B$58,0)))),NOT(IFERROR(COUNTIF(OFFSET('PRODUCT DATA'!$F$2,0,MATCH($AC79,'PRODUCT DATA'!$F$1:$NN$1,0)-1,114,1),$N79)&gt;0,FALSE()))),IF(UPPER(IFERROR(OFFSET('PRODUCT DATA'!$C$2,MATCH($N79,'PRODUCT DATA'!$B$2:$B$58,0)-1,0),""))="NO","Alcohol Restriction; ","Item Code / Country combination; "),"")&amp;IF($C79="","Quantity; ","")&amp;IF(AND($C79&lt;&gt;"",OR(NOT(ISNUMBER($C79)),$C79&lt;1,$C79&gt;999,MOD($C79,1)&lt;&gt;0)),"Quantity; ","")&amp;IF($D79="","Recipient Name; ","")&amp;IF(LEN($D79)&gt;35,"Recipient Name; ","")&amp;IF($E79="","Recipient Phone; ","")&amp;IF(AND($E79&lt;&gt;"",OR(LEN($E79)&lt;6,LEN($E79)&gt;20,NOT(IFERROR(ISNUMBER(1*$E79),FALSE())))),"Recipient Phone; ","")&amp;IF(LEN($F79)&gt;35,"Recipient Company Name; ","")&amp;IF($G79="","Address Line 1; ","")&amp;IF(LEN($G79)&gt;35,"Address Line 1; ","")&amp;IF(LEN($H79)&gt;35,"Address Line 2; ","")&amp;IF(LEN($I79)&gt;35,"Address Line 3; ","")&amp;IF($J79="","Town; ","")&amp;IF(LEN($J79)&gt;35,"Town; ","")&amp;IF(AND($N79="IE",$K79=""),"County; ","")&amp;IF(LEN($AB79)&gt;35,"County; ","")&amp;IF(AND($L79="",AND($N79&lt;&gt;"AE",$N79&lt;&gt;"QA")),"Postcode; ","")&amp;IF(LEN($L79)&gt;35,"Postcode; ","")&amp;IF($AE79&lt;&gt;"","Postcode; ","")&amp;IF(LEN($O79)&gt;40,"Gift Message 1; ","")&amp;IF(LEN($P79)&gt;40,"Gift Message 2; ","")&amp;IF(LEN($Q79)&gt;40,"Gift Message 3; ","")&amp;IF(LEN($R79)&gt;40,"Gift Message 4; ","")&amp;IF(LEN($S79)&gt;40,"Gift Message 5; ","")&amp;IF(LEN($T79)&gt;40,"Gift Message 6; ","")&amp;IF(LEN($U79)&gt;40,"Gift Message 7; ",""))</f>
        <v/>
      </c>
      <c r="X79" s="44" t="str">
        <f ca="1">IF(COUNTA($A79,$D79:$M79,$O79:$U79)=0,"",IF($A79="","Enter the Item Code (hamper) - type it, paste it, or choose it from the dropdown. ","")&amp;IF(AND($A79&lt;&gt;"",ISNA(MATCH($AC79,'PRODUCT DATA'!$D$2:$D$394,0))),"This Item Code is not recognised. Check the code (case does not matter, but spelling and digits must match exactly) or choose it from the dropdown. ","")&amp;IF($M79="","Enter the Country after the Item Code - type or paste the name or the 2-letter code, or choose it from the dropdown. ","")&amp;IF(AND($M79&lt;&gt;"",NOT(OR(NOT(ISNA(MATCH(IF(UPPER($M79)="UK","GB",$M79),'PRODUCT DATA'!$A$2:$A$58,0))),NOT(ISNA(MATCH(IF(UPPER($M79)="UK","GB",$M79),'PRODUCT DATA'!$B$2:$B$58,0)))))),"This Country is not recognised as either a full name or a 2-letter code. Check the spelling (case does not matter) or choose it from the dropdown. ","")&amp;IF(AND($A79&lt;&gt;"",$M79&lt;&gt;"",NOT(ISNA(MATCH($AC79,'PRODUCT DATA'!$D$2:$D$394,0))),OR(NOT(ISNA(MATCH(IF(UPPER($M79)="UK","GB",$M79),'PRODUCT DATA'!$A$2:$A$58,0))),NOT(ISNA(MATCH(IF(UPPER($M79)="UK","GB",$M79),'PRODUCT DATA'!$B$2:$B$58,0)))),NOT(IFERROR(COUNTIF(OFFSET('PRODUCT DATA'!$F$2,0,MATCH($AC79,'PRODUCT DATA'!$F$1:$NN$1,0)-1,114,1),$N79)&gt;0,FALSE()))),IF(UPPER(IFERROR(OFFSET('PRODUCT DATA'!$C$2,MATCH($N79,'PRODUCT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"),"")&amp;IF($C79="","Enter Quantity. ","")&amp;IF(AND($C79&lt;&gt;"",OR(NOT(ISNUMBER($C79)),$C79&lt;1,$C79&gt;999,MOD($C79,1)&lt;&gt;0)),"Quantity must be a whole number from 1 to 999 (use a quantity above 1 only for a genuine bulk order of identical items to ONE address — otherwise use a separate row per recipient). ","")&amp;IF($D79="","Enter Recipient Name. ","")&amp;IF(LEN($D79)&gt;35,"Recipient Name exceeds 35 characters. ","")&amp;IF($E79="","Enter Recipient Phone. ","")&amp;IF(AND($E79&lt;&gt;"",OR(LEN($E79)&lt;6,LEN($E79)&gt;20,NOT(IFERROR(ISNUMBER(1*$E79),FALSE())))),"Phone must be the LOCAL number for the destination country: digits only, no +, spaces, or country code, 6 to 20 digits. ","")&amp;IF(LEN($F79)&gt;35,"Recipient Company Name exceeds 35 characters. ","")&amp;IF($G79="","Enter Address Line 1. ","")&amp;IF(LEN($G79)&gt;35,"Address Line 1 exceeds the 35-character SAP limit. ","")&amp;IF(LEN($H79)&gt;35,"Address Line 2 exceeds the 35-character SAP limit. ","")&amp;IF(LEN($I79)&gt;35,"Address Line 3 exceeds the 35-character SAP limit. ","")&amp;IF($J79="","Enter Town. This must never be left blank, even if there is no conventional town name. ","")&amp;IF(LEN($J79)&gt;35,"Town exceeds 35 characters. ","")&amp;IF(AND($N79="IE",$K79=""),"County is required for deliveries within the Republic of Ireland. ","")&amp;IF(LEN($AB79)&gt;35,"County exceeds 35 characters. ","")&amp;IF(AND($L79="",AND($N79&lt;&gt;"AE",$N79&lt;&gt;"QA")),"Postcode is required for the selected country. If there is genuinely no postcode, enter the first 3 characters of the area (e.g. D15). ","")&amp;IF(LEN($L79)&gt;35,"Postcode exceeds 35 characters. ","")&amp;IF($AE79&lt;&gt;"",$AE79,"")&amp;IF(LEN($O79)&gt;40,"Gift Message Line 1 exceeds 40 characters. ","")&amp;IF(LEN($P79)&gt;40,"Gift Message Line 2 exceeds 40 characters. ","")&amp;IF(LEN($Q79)&gt;40,"Gift Message Line 3 exceeds 40 characters. ","")&amp;IF(LEN($R79)&gt;40,"Gift Message Line 4 exceeds 40 characters. ","")&amp;IF(LEN($S79)&gt;40,"Gift Message Line 5 exceeds 40 characters. ","")&amp;IF(LEN($T79)&gt;40,"Gift Message Line 6 exceeds 40 characters. ","")&amp;IF(LEN($U79)&gt;40,"Gift Message Line 7 exceeds 40 characters. ",""))</f>
        <v/>
      </c>
      <c r="Y79" s="44" t="str">
        <f t="shared" si="5"/>
        <v/>
      </c>
      <c r="Z79" s="44"/>
      <c r="AA79" s="44"/>
      <c r="AB79" s="32" t="str">
        <f t="shared" si="6"/>
        <v/>
      </c>
      <c r="AC79" s="32" t="str">
        <f>IF($A79="","",IFERROR(LEFT(INDEX('PRODUCT DATA'!$NO$2:$NO$25,MATCH($A79,'PRODUCT DATA'!$NP$2:$NP$25,0)),FIND("|",INDEX('PRODUCT DATA'!$NO$2:$NO$25,MATCH($A79,'PRODUCT DATA'!$NP$2:$NP$25,0)))-1),$A79))</f>
        <v/>
      </c>
      <c r="AD79" s="45"/>
      <c r="AE79" s="45" t="str">
        <f t="shared" si="7"/>
        <v/>
      </c>
    </row>
    <row r="80" spans="1:31" ht="15" customHeight="1" x14ac:dyDescent="0.25">
      <c r="A80" s="40"/>
      <c r="B80" s="43" t="str">
        <f>IF($A80="","",IFERROR(VLOOKUP($AC80,'PRODUCT DATA'!$NR$2:$NS$374,2,FALSE()),"UNKNOWN ITEM CODE - please check"))</f>
        <v/>
      </c>
      <c r="C80" s="39">
        <v>1</v>
      </c>
      <c r="D80" s="39"/>
      <c r="E80" s="40"/>
      <c r="F80" s="41"/>
      <c r="G80" s="39"/>
      <c r="H80" s="41"/>
      <c r="I80" s="41"/>
      <c r="J80" s="39"/>
      <c r="K80" s="41"/>
      <c r="L80" s="40"/>
      <c r="M80" s="40"/>
      <c r="N80" s="42" t="str">
        <f>IF($M80="","",IFERROR(INDEX('PRODUCT DATA'!$B$2:$B$58,MATCH(IF(UPPER($M80)="UK","GB",$M80),'PRODUCT DATA'!$B$2:$B$58,0)),IFERROR(INDEX('PRODUCT DATA'!$B$2:$B$58,MATCH(IF(UPPER($M80)="UK","GB",$M80),'PRODUCT DATA'!$A$2:$A$58,0)),"UNKNOWN COUNTRY - please check")))</f>
        <v/>
      </c>
      <c r="O80" s="41"/>
      <c r="P80" s="41"/>
      <c r="Q80" s="41"/>
      <c r="R80" s="41"/>
      <c r="S80" s="41"/>
      <c r="T80" s="41"/>
      <c r="U80" s="41"/>
      <c r="V80" s="43" t="str">
        <f t="shared" si="4"/>
        <v/>
      </c>
      <c r="W80" s="44" t="str">
        <f ca="1">IF(COUNTA($A80,$D80:$M80,$O80:$U80)=0,"",IF($A80="","Item Code; ","")&amp;IF(AND($A80&lt;&gt;"",ISNA(MATCH($AC80,'PRODUCT DATA'!$D$2:$D$394,0))),"Item Code; ","")&amp;IF($M80="","Country; ","")&amp;IF(AND($M80&lt;&gt;"",NOT(OR(NOT(ISNA(MATCH(IF(UPPER($M80)="UK","GB",$M80),'PRODUCT DATA'!$A$2:$A$58,0))),NOT(ISNA(MATCH(IF(UPPER($M80)="UK","GB",$M80),'PRODUCT DATA'!$B$2:$B$58,0)))))),"Country; ","")&amp;IF(AND($A80&lt;&gt;"",$M80&lt;&gt;"",NOT(ISNA(MATCH($AC80,'PRODUCT DATA'!$D$2:$D$394,0))),OR(NOT(ISNA(MATCH(IF(UPPER($M80)="UK","GB",$M80),'PRODUCT DATA'!$A$2:$A$58,0))),NOT(ISNA(MATCH(IF(UPPER($M80)="UK","GB",$M80),'PRODUCT DATA'!$B$2:$B$58,0)))),NOT(IFERROR(COUNTIF(OFFSET('PRODUCT DATA'!$F$2,0,MATCH($AC80,'PRODUCT DATA'!$F$1:$NN$1,0)-1,114,1),$N80)&gt;0,FALSE()))),IF(UPPER(IFERROR(OFFSET('PRODUCT DATA'!$C$2,MATCH($N80,'PRODUCT DATA'!$B$2:$B$58,0)-1,0),""))="NO","Alcohol Restriction; ","Item Code / Country combination; "),"")&amp;IF($C80="","Quantity; ","")&amp;IF(AND($C80&lt;&gt;"",OR(NOT(ISNUMBER($C80)),$C80&lt;1,$C80&gt;999,MOD($C80,1)&lt;&gt;0)),"Quantity; ","")&amp;IF($D80="","Recipient Name; ","")&amp;IF(LEN($D80)&gt;35,"Recipient Name; ","")&amp;IF($E80="","Recipient Phone; ","")&amp;IF(AND($E80&lt;&gt;"",OR(LEN($E80)&lt;6,LEN($E80)&gt;20,NOT(IFERROR(ISNUMBER(1*$E80),FALSE())))),"Recipient Phone; ","")&amp;IF(LEN($F80)&gt;35,"Recipient Company Name; ","")&amp;IF($G80="","Address Line 1; ","")&amp;IF(LEN($G80)&gt;35,"Address Line 1; ","")&amp;IF(LEN($H80)&gt;35,"Address Line 2; ","")&amp;IF(LEN($I80)&gt;35,"Address Line 3; ","")&amp;IF($J80="","Town; ","")&amp;IF(LEN($J80)&gt;35,"Town; ","")&amp;IF(AND($N80="IE",$K80=""),"County; ","")&amp;IF(LEN($AB80)&gt;35,"County; ","")&amp;IF(AND($L80="",AND($N80&lt;&gt;"AE",$N80&lt;&gt;"QA")),"Postcode; ","")&amp;IF(LEN($L80)&gt;35,"Postcode; ","")&amp;IF($AE80&lt;&gt;"","Postcode; ","")&amp;IF(LEN($O80)&gt;40,"Gift Message 1; ","")&amp;IF(LEN($P80)&gt;40,"Gift Message 2; ","")&amp;IF(LEN($Q80)&gt;40,"Gift Message 3; ","")&amp;IF(LEN($R80)&gt;40,"Gift Message 4; ","")&amp;IF(LEN($S80)&gt;40,"Gift Message 5; ","")&amp;IF(LEN($T80)&gt;40,"Gift Message 6; ","")&amp;IF(LEN($U80)&gt;40,"Gift Message 7; ",""))</f>
        <v/>
      </c>
      <c r="X80" s="44" t="str">
        <f ca="1">IF(COUNTA($A80,$D80:$M80,$O80:$U80)=0,"",IF($A80="","Enter the Item Code (hamper) - type it, paste it, or choose it from the dropdown. ","")&amp;IF(AND($A80&lt;&gt;"",ISNA(MATCH($AC80,'PRODUCT DATA'!$D$2:$D$394,0))),"This Item Code is not recognised. Check the code (case does not matter, but spelling and digits must match exactly) or choose it from the dropdown. ","")&amp;IF($M80="","Enter the Country after the Item Code - type or paste the name or the 2-letter code, or choose it from the dropdown. ","")&amp;IF(AND($M80&lt;&gt;"",NOT(OR(NOT(ISNA(MATCH(IF(UPPER($M80)="UK","GB",$M80),'PRODUCT DATA'!$A$2:$A$58,0))),NOT(ISNA(MATCH(IF(UPPER($M80)="UK","GB",$M80),'PRODUCT DATA'!$B$2:$B$58,0)))))),"This Country is not recognised as either a full name or a 2-letter code. Check the spelling (case does not matter) or choose it from the dropdown. ","")&amp;IF(AND($A80&lt;&gt;"",$M80&lt;&gt;"",NOT(ISNA(MATCH($AC80,'PRODUCT DATA'!$D$2:$D$394,0))),OR(NOT(ISNA(MATCH(IF(UPPER($M80)="UK","GB",$M80),'PRODUCT DATA'!$A$2:$A$58,0))),NOT(ISNA(MATCH(IF(UPPER($M80)="UK","GB",$M80),'PRODUCT DATA'!$B$2:$B$58,0)))),NOT(IFERROR(COUNTIF(OFFSET('PRODUCT DATA'!$F$2,0,MATCH($AC80,'PRODUCT DATA'!$F$1:$NN$1,0)-1,114,1),$N80)&gt;0,FALSE()))),IF(UPPER(IFERROR(OFFSET('PRODUCT DATA'!$C$2,MATCH($N80,'PRODUCT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"),"")&amp;IF($C80="","Enter Quantity. ","")&amp;IF(AND($C80&lt;&gt;"",OR(NOT(ISNUMBER($C80)),$C80&lt;1,$C80&gt;999,MOD($C80,1)&lt;&gt;0)),"Quantity must be a whole number from 1 to 999 (use a quantity above 1 only for a genuine bulk order of identical items to ONE address — otherwise use a separate row per recipient). ","")&amp;IF($D80="","Enter Recipient Name. ","")&amp;IF(LEN($D80)&gt;35,"Recipient Name exceeds 35 characters. ","")&amp;IF($E80="","Enter Recipient Phone. ","")&amp;IF(AND($E80&lt;&gt;"",OR(LEN($E80)&lt;6,LEN($E80)&gt;20,NOT(IFERROR(ISNUMBER(1*$E80),FALSE())))),"Phone must be the LOCAL number for the destination country: digits only, no +, spaces, or country code, 6 to 20 digits. ","")&amp;IF(LEN($F80)&gt;35,"Recipient Company Name exceeds 35 characters. ","")&amp;IF($G80="","Enter Address Line 1. ","")&amp;IF(LEN($G80)&gt;35,"Address Line 1 exceeds the 35-character SAP limit. ","")&amp;IF(LEN($H80)&gt;35,"Address Line 2 exceeds the 35-character SAP limit. ","")&amp;IF(LEN($I80)&gt;35,"Address Line 3 exceeds the 35-character SAP limit. ","")&amp;IF($J80="","Enter Town. This must never be left blank, even if there is no conventional town name. ","")&amp;IF(LEN($J80)&gt;35,"Town exceeds 35 characters. ","")&amp;IF(AND($N80="IE",$K80=""),"County is required for deliveries within the Republic of Ireland. ","")&amp;IF(LEN($AB80)&gt;35,"County exceeds 35 characters. ","")&amp;IF(AND($L80="",AND($N80&lt;&gt;"AE",$N80&lt;&gt;"QA")),"Postcode is required for the selected country. If there is genuinely no postcode, enter the first 3 characters of the area (e.g. D15). ","")&amp;IF(LEN($L80)&gt;35,"Postcode exceeds 35 characters. ","")&amp;IF($AE80&lt;&gt;"",$AE80,"")&amp;IF(LEN($O80)&gt;40,"Gift Message Line 1 exceeds 40 characters. ","")&amp;IF(LEN($P80)&gt;40,"Gift Message Line 2 exceeds 40 characters. ","")&amp;IF(LEN($Q80)&gt;40,"Gift Message Line 3 exceeds 40 characters. ","")&amp;IF(LEN($R80)&gt;40,"Gift Message Line 4 exceeds 40 characters. ","")&amp;IF(LEN($S80)&gt;40,"Gift Message Line 5 exceeds 40 characters. ","")&amp;IF(LEN($T80)&gt;40,"Gift Message Line 6 exceeds 40 characters. ","")&amp;IF(LEN($U80)&gt;40,"Gift Message Line 7 exceeds 40 characters. ",""))</f>
        <v/>
      </c>
      <c r="Y80" s="44" t="str">
        <f t="shared" si="5"/>
        <v/>
      </c>
      <c r="Z80" s="44"/>
      <c r="AA80" s="44"/>
      <c r="AB80" s="32" t="str">
        <f t="shared" si="6"/>
        <v/>
      </c>
      <c r="AC80" s="32" t="str">
        <f>IF($A80="","",IFERROR(LEFT(INDEX('PRODUCT DATA'!$NO$2:$NO$25,MATCH($A80,'PRODUCT DATA'!$NP$2:$NP$25,0)),FIND("|",INDEX('PRODUCT DATA'!$NO$2:$NO$25,MATCH($A80,'PRODUCT DATA'!$NP$2:$NP$25,0)))-1),$A80))</f>
        <v/>
      </c>
      <c r="AD80" s="45"/>
      <c r="AE80" s="45" t="str">
        <f t="shared" si="7"/>
        <v/>
      </c>
    </row>
    <row r="81" spans="1:31" ht="15" customHeight="1" x14ac:dyDescent="0.25">
      <c r="A81" s="40"/>
      <c r="B81" s="43" t="str">
        <f>IF($A81="","",IFERROR(VLOOKUP($AC81,'PRODUCT DATA'!$NR$2:$NS$374,2,FALSE()),"UNKNOWN ITEM CODE - please check"))</f>
        <v/>
      </c>
      <c r="C81" s="39">
        <v>1</v>
      </c>
      <c r="D81" s="39"/>
      <c r="E81" s="40"/>
      <c r="F81" s="41"/>
      <c r="G81" s="39"/>
      <c r="H81" s="41"/>
      <c r="I81" s="41"/>
      <c r="J81" s="39"/>
      <c r="K81" s="41"/>
      <c r="L81" s="40"/>
      <c r="M81" s="40"/>
      <c r="N81" s="42" t="str">
        <f>IF($M81="","",IFERROR(INDEX('PRODUCT DATA'!$B$2:$B$58,MATCH(IF(UPPER($M81)="UK","GB",$M81),'PRODUCT DATA'!$B$2:$B$58,0)),IFERROR(INDEX('PRODUCT DATA'!$B$2:$B$58,MATCH(IF(UPPER($M81)="UK","GB",$M81),'PRODUCT DATA'!$A$2:$A$58,0)),"UNKNOWN COUNTRY - please check")))</f>
        <v/>
      </c>
      <c r="O81" s="41"/>
      <c r="P81" s="41"/>
      <c r="Q81" s="41"/>
      <c r="R81" s="41"/>
      <c r="S81" s="41"/>
      <c r="T81" s="41"/>
      <c r="U81" s="41"/>
      <c r="V81" s="43" t="str">
        <f t="shared" si="4"/>
        <v/>
      </c>
      <c r="W81" s="44" t="str">
        <f ca="1">IF(COUNTA($A81,$D81:$M81,$O81:$U81)=0,"",IF($A81="","Item Code; ","")&amp;IF(AND($A81&lt;&gt;"",ISNA(MATCH($AC81,'PRODUCT DATA'!$D$2:$D$394,0))),"Item Code; ","")&amp;IF($M81="","Country; ","")&amp;IF(AND($M81&lt;&gt;"",NOT(OR(NOT(ISNA(MATCH(IF(UPPER($M81)="UK","GB",$M81),'PRODUCT DATA'!$A$2:$A$58,0))),NOT(ISNA(MATCH(IF(UPPER($M81)="UK","GB",$M81),'PRODUCT DATA'!$B$2:$B$58,0)))))),"Country; ","")&amp;IF(AND($A81&lt;&gt;"",$M81&lt;&gt;"",NOT(ISNA(MATCH($AC81,'PRODUCT DATA'!$D$2:$D$394,0))),OR(NOT(ISNA(MATCH(IF(UPPER($M81)="UK","GB",$M81),'PRODUCT DATA'!$A$2:$A$58,0))),NOT(ISNA(MATCH(IF(UPPER($M81)="UK","GB",$M81),'PRODUCT DATA'!$B$2:$B$58,0)))),NOT(IFERROR(COUNTIF(OFFSET('PRODUCT DATA'!$F$2,0,MATCH($AC81,'PRODUCT DATA'!$F$1:$NN$1,0)-1,114,1),$N81)&gt;0,FALSE()))),IF(UPPER(IFERROR(OFFSET('PRODUCT DATA'!$C$2,MATCH($N81,'PRODUCT DATA'!$B$2:$B$58,0)-1,0),""))="NO","Alcohol Restriction; ","Item Code / Country combination; "),"")&amp;IF($C81="","Quantity; ","")&amp;IF(AND($C81&lt;&gt;"",OR(NOT(ISNUMBER($C81)),$C81&lt;1,$C81&gt;999,MOD($C81,1)&lt;&gt;0)),"Quantity; ","")&amp;IF($D81="","Recipient Name; ","")&amp;IF(LEN($D81)&gt;35,"Recipient Name; ","")&amp;IF($E81="","Recipient Phone; ","")&amp;IF(AND($E81&lt;&gt;"",OR(LEN($E81)&lt;6,LEN($E81)&gt;20,NOT(IFERROR(ISNUMBER(1*$E81),FALSE())))),"Recipient Phone; ","")&amp;IF(LEN($F81)&gt;35,"Recipient Company Name; ","")&amp;IF($G81="","Address Line 1; ","")&amp;IF(LEN($G81)&gt;35,"Address Line 1; ","")&amp;IF(LEN($H81)&gt;35,"Address Line 2; ","")&amp;IF(LEN($I81)&gt;35,"Address Line 3; ","")&amp;IF($J81="","Town; ","")&amp;IF(LEN($J81)&gt;35,"Town; ","")&amp;IF(AND($N81="IE",$K81=""),"County; ","")&amp;IF(LEN($AB81)&gt;35,"County; ","")&amp;IF(AND($L81="",AND($N81&lt;&gt;"AE",$N81&lt;&gt;"QA")),"Postcode; ","")&amp;IF(LEN($L81)&gt;35,"Postcode; ","")&amp;IF($AE81&lt;&gt;"","Postcode; ","")&amp;IF(LEN($O81)&gt;40,"Gift Message 1; ","")&amp;IF(LEN($P81)&gt;40,"Gift Message 2; ","")&amp;IF(LEN($Q81)&gt;40,"Gift Message 3; ","")&amp;IF(LEN($R81)&gt;40,"Gift Message 4; ","")&amp;IF(LEN($S81)&gt;40,"Gift Message 5; ","")&amp;IF(LEN($T81)&gt;40,"Gift Message 6; ","")&amp;IF(LEN($U81)&gt;40,"Gift Message 7; ",""))</f>
        <v/>
      </c>
      <c r="X81" s="44" t="str">
        <f ca="1">IF(COUNTA($A81,$D81:$M81,$O81:$U81)=0,"",IF($A81="","Enter the Item Code (hamper) - type it, paste it, or choose it from the dropdown. ","")&amp;IF(AND($A81&lt;&gt;"",ISNA(MATCH($AC81,'PRODUCT DATA'!$D$2:$D$394,0))),"This Item Code is not recognised. Check the code (case does not matter, but spelling and digits must match exactly) or choose it from the dropdown. ","")&amp;IF($M81="","Enter the Country after the Item Code - type or paste the name or the 2-letter code, or choose it from the dropdown. ","")&amp;IF(AND($M81&lt;&gt;"",NOT(OR(NOT(ISNA(MATCH(IF(UPPER($M81)="UK","GB",$M81),'PRODUCT DATA'!$A$2:$A$58,0))),NOT(ISNA(MATCH(IF(UPPER($M81)="UK","GB",$M81),'PRODUCT DATA'!$B$2:$B$58,0)))))),"This Country is not recognised as either a full name or a 2-letter code. Check the spelling (case does not matter) or choose it from the dropdown. ","")&amp;IF(AND($A81&lt;&gt;"",$M81&lt;&gt;"",NOT(ISNA(MATCH($AC81,'PRODUCT DATA'!$D$2:$D$394,0))),OR(NOT(ISNA(MATCH(IF(UPPER($M81)="UK","GB",$M81),'PRODUCT DATA'!$A$2:$A$58,0))),NOT(ISNA(MATCH(IF(UPPER($M81)="UK","GB",$M81),'PRODUCT DATA'!$B$2:$B$58,0)))),NOT(IFERROR(COUNTIF(OFFSET('PRODUCT DATA'!$F$2,0,MATCH($AC81,'PRODUCT DATA'!$F$1:$NN$1,0)-1,114,1),$N81)&gt;0,FALSE()))),IF(UPPER(IFERROR(OFFSET('PRODUCT DATA'!$C$2,MATCH($N81,'PRODUCT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"),"")&amp;IF($C81="","Enter Quantity. ","")&amp;IF(AND($C81&lt;&gt;"",OR(NOT(ISNUMBER($C81)),$C81&lt;1,$C81&gt;999,MOD($C81,1)&lt;&gt;0)),"Quantity must be a whole number from 1 to 999 (use a quantity above 1 only for a genuine bulk order of identical items to ONE address — otherwise use a separate row per recipient). ","")&amp;IF($D81="","Enter Recipient Name. ","")&amp;IF(LEN($D81)&gt;35,"Recipient Name exceeds 35 characters. ","")&amp;IF($E81="","Enter Recipient Phone. ","")&amp;IF(AND($E81&lt;&gt;"",OR(LEN($E81)&lt;6,LEN($E81)&gt;20,NOT(IFERROR(ISNUMBER(1*$E81),FALSE())))),"Phone must be the LOCAL number for the destination country: digits only, no +, spaces, or country code, 6 to 20 digits. ","")&amp;IF(LEN($F81)&gt;35,"Recipient Company Name exceeds 35 characters. ","")&amp;IF($G81="","Enter Address Line 1. ","")&amp;IF(LEN($G81)&gt;35,"Address Line 1 exceeds the 35-character SAP limit. ","")&amp;IF(LEN($H81)&gt;35,"Address Line 2 exceeds the 35-character SAP limit. ","")&amp;IF(LEN($I81)&gt;35,"Address Line 3 exceeds the 35-character SAP limit. ","")&amp;IF($J81="","Enter Town. This must never be left blank, even if there is no conventional town name. ","")&amp;IF(LEN($J81)&gt;35,"Town exceeds 35 characters. ","")&amp;IF(AND($N81="IE",$K81=""),"County is required for deliveries within the Republic of Ireland. ","")&amp;IF(LEN($AB81)&gt;35,"County exceeds 35 characters. ","")&amp;IF(AND($L81="",AND($N81&lt;&gt;"AE",$N81&lt;&gt;"QA")),"Postcode is required for the selected country. If there is genuinely no postcode, enter the first 3 characters of the area (e.g. D15). ","")&amp;IF(LEN($L81)&gt;35,"Postcode exceeds 35 characters. ","")&amp;IF($AE81&lt;&gt;"",$AE81,"")&amp;IF(LEN($O81)&gt;40,"Gift Message Line 1 exceeds 40 characters. ","")&amp;IF(LEN($P81)&gt;40,"Gift Message Line 2 exceeds 40 characters. ","")&amp;IF(LEN($Q81)&gt;40,"Gift Message Line 3 exceeds 40 characters. ","")&amp;IF(LEN($R81)&gt;40,"Gift Message Line 4 exceeds 40 characters. ","")&amp;IF(LEN($S81)&gt;40,"Gift Message Line 5 exceeds 40 characters. ","")&amp;IF(LEN($T81)&gt;40,"Gift Message Line 6 exceeds 40 characters. ","")&amp;IF(LEN($U81)&gt;40,"Gift Message Line 7 exceeds 40 characters. ",""))</f>
        <v/>
      </c>
      <c r="Y81" s="44" t="str">
        <f t="shared" si="5"/>
        <v/>
      </c>
      <c r="Z81" s="44"/>
      <c r="AA81" s="44"/>
      <c r="AB81" s="32" t="str">
        <f t="shared" si="6"/>
        <v/>
      </c>
      <c r="AC81" s="32" t="str">
        <f>IF($A81="","",IFERROR(LEFT(INDEX('PRODUCT DATA'!$NO$2:$NO$25,MATCH($A81,'PRODUCT DATA'!$NP$2:$NP$25,0)),FIND("|",INDEX('PRODUCT DATA'!$NO$2:$NO$25,MATCH($A81,'PRODUCT DATA'!$NP$2:$NP$25,0)))-1),$A81))</f>
        <v/>
      </c>
      <c r="AD81" s="45"/>
      <c r="AE81" s="45" t="str">
        <f t="shared" si="7"/>
        <v/>
      </c>
    </row>
    <row r="82" spans="1:31" ht="15" customHeight="1" x14ac:dyDescent="0.25">
      <c r="A82" s="40"/>
      <c r="B82" s="43" t="str">
        <f>IF($A82="","",IFERROR(VLOOKUP($AC82,'PRODUCT DATA'!$NR$2:$NS$374,2,FALSE()),"UNKNOWN ITEM CODE - please check"))</f>
        <v/>
      </c>
      <c r="C82" s="39">
        <v>1</v>
      </c>
      <c r="D82" s="39"/>
      <c r="E82" s="40"/>
      <c r="F82" s="41"/>
      <c r="G82" s="39"/>
      <c r="H82" s="41"/>
      <c r="I82" s="41"/>
      <c r="J82" s="39"/>
      <c r="K82" s="41"/>
      <c r="L82" s="40"/>
      <c r="M82" s="40"/>
      <c r="N82" s="42" t="str">
        <f>IF($M82="","",IFERROR(INDEX('PRODUCT DATA'!$B$2:$B$58,MATCH(IF(UPPER($M82)="UK","GB",$M82),'PRODUCT DATA'!$B$2:$B$58,0)),IFERROR(INDEX('PRODUCT DATA'!$B$2:$B$58,MATCH(IF(UPPER($M82)="UK","GB",$M82),'PRODUCT DATA'!$A$2:$A$58,0)),"UNKNOWN COUNTRY - please check")))</f>
        <v/>
      </c>
      <c r="O82" s="41"/>
      <c r="P82" s="41"/>
      <c r="Q82" s="41"/>
      <c r="R82" s="41"/>
      <c r="S82" s="41"/>
      <c r="T82" s="41"/>
      <c r="U82" s="41"/>
      <c r="V82" s="43" t="str">
        <f t="shared" si="4"/>
        <v/>
      </c>
      <c r="W82" s="44" t="str">
        <f ca="1">IF(COUNTA($A82,$D82:$M82,$O82:$U82)=0,"",IF($A82="","Item Code; ","")&amp;IF(AND($A82&lt;&gt;"",ISNA(MATCH($AC82,'PRODUCT DATA'!$D$2:$D$394,0))),"Item Code; ","")&amp;IF($M82="","Country; ","")&amp;IF(AND($M82&lt;&gt;"",NOT(OR(NOT(ISNA(MATCH(IF(UPPER($M82)="UK","GB",$M82),'PRODUCT DATA'!$A$2:$A$58,0))),NOT(ISNA(MATCH(IF(UPPER($M82)="UK","GB",$M82),'PRODUCT DATA'!$B$2:$B$58,0)))))),"Country; ","")&amp;IF(AND($A82&lt;&gt;"",$M82&lt;&gt;"",NOT(ISNA(MATCH($AC82,'PRODUCT DATA'!$D$2:$D$394,0))),OR(NOT(ISNA(MATCH(IF(UPPER($M82)="UK","GB",$M82),'PRODUCT DATA'!$A$2:$A$58,0))),NOT(ISNA(MATCH(IF(UPPER($M82)="UK","GB",$M82),'PRODUCT DATA'!$B$2:$B$58,0)))),NOT(IFERROR(COUNTIF(OFFSET('PRODUCT DATA'!$F$2,0,MATCH($AC82,'PRODUCT DATA'!$F$1:$NN$1,0)-1,114,1),$N82)&gt;0,FALSE()))),IF(UPPER(IFERROR(OFFSET('PRODUCT DATA'!$C$2,MATCH($N82,'PRODUCT DATA'!$B$2:$B$58,0)-1,0),""))="NO","Alcohol Restriction; ","Item Code / Country combination; "),"")&amp;IF($C82="","Quantity; ","")&amp;IF(AND($C82&lt;&gt;"",OR(NOT(ISNUMBER($C82)),$C82&lt;1,$C82&gt;999,MOD($C82,1)&lt;&gt;0)),"Quantity; ","")&amp;IF($D82="","Recipient Name; ","")&amp;IF(LEN($D82)&gt;35,"Recipient Name; ","")&amp;IF($E82="","Recipient Phone; ","")&amp;IF(AND($E82&lt;&gt;"",OR(LEN($E82)&lt;6,LEN($E82)&gt;20,NOT(IFERROR(ISNUMBER(1*$E82),FALSE())))),"Recipient Phone; ","")&amp;IF(LEN($F82)&gt;35,"Recipient Company Name; ","")&amp;IF($G82="","Address Line 1; ","")&amp;IF(LEN($G82)&gt;35,"Address Line 1; ","")&amp;IF(LEN($H82)&gt;35,"Address Line 2; ","")&amp;IF(LEN($I82)&gt;35,"Address Line 3; ","")&amp;IF($J82="","Town; ","")&amp;IF(LEN($J82)&gt;35,"Town; ","")&amp;IF(AND($N82="IE",$K82=""),"County; ","")&amp;IF(LEN($AB82)&gt;35,"County; ","")&amp;IF(AND($L82="",AND($N82&lt;&gt;"AE",$N82&lt;&gt;"QA")),"Postcode; ","")&amp;IF(LEN($L82)&gt;35,"Postcode; ","")&amp;IF($AE82&lt;&gt;"","Postcode; ","")&amp;IF(LEN($O82)&gt;40,"Gift Message 1; ","")&amp;IF(LEN($P82)&gt;40,"Gift Message 2; ","")&amp;IF(LEN($Q82)&gt;40,"Gift Message 3; ","")&amp;IF(LEN($R82)&gt;40,"Gift Message 4; ","")&amp;IF(LEN($S82)&gt;40,"Gift Message 5; ","")&amp;IF(LEN($T82)&gt;40,"Gift Message 6; ","")&amp;IF(LEN($U82)&gt;40,"Gift Message 7; ",""))</f>
        <v/>
      </c>
      <c r="X82" s="44" t="str">
        <f ca="1">IF(COUNTA($A82,$D82:$M82,$O82:$U82)=0,"",IF($A82="","Enter the Item Code (hamper) - type it, paste it, or choose it from the dropdown. ","")&amp;IF(AND($A82&lt;&gt;"",ISNA(MATCH($AC82,'PRODUCT DATA'!$D$2:$D$394,0))),"This Item Code is not recognised. Check the code (case does not matter, but spelling and digits must match exactly) or choose it from the dropdown. ","")&amp;IF($M82="","Enter the Country after the Item Code - type or paste the name or the 2-letter code, or choose it from the dropdown. ","")&amp;IF(AND($M82&lt;&gt;"",NOT(OR(NOT(ISNA(MATCH(IF(UPPER($M82)="UK","GB",$M82),'PRODUCT DATA'!$A$2:$A$58,0))),NOT(ISNA(MATCH(IF(UPPER($M82)="UK","GB",$M82),'PRODUCT DATA'!$B$2:$B$58,0)))))),"This Country is not recognised as either a full name or a 2-letter code. Check the spelling (case does not matter) or choose it from the dropdown. ","")&amp;IF(AND($A82&lt;&gt;"",$M82&lt;&gt;"",NOT(ISNA(MATCH($AC82,'PRODUCT DATA'!$D$2:$D$394,0))),OR(NOT(ISNA(MATCH(IF(UPPER($M82)="UK","GB",$M82),'PRODUCT DATA'!$A$2:$A$58,0))),NOT(ISNA(MATCH(IF(UPPER($M82)="UK","GB",$M82),'PRODUCT DATA'!$B$2:$B$58,0)))),NOT(IFERROR(COUNTIF(OFFSET('PRODUCT DATA'!$F$2,0,MATCH($AC82,'PRODUCT DATA'!$F$1:$NN$1,0)-1,114,1),$N82)&gt;0,FALSE()))),IF(UPPER(IFERROR(OFFSET('PRODUCT DATA'!$C$2,MATCH($N82,'PRODUCT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"),"")&amp;IF($C82="","Enter Quantity. ","")&amp;IF(AND($C82&lt;&gt;"",OR(NOT(ISNUMBER($C82)),$C82&lt;1,$C82&gt;999,MOD($C82,1)&lt;&gt;0)),"Quantity must be a whole number from 1 to 999 (use a quantity above 1 only for a genuine bulk order of identical items to ONE address — otherwise use a separate row per recipient). ","")&amp;IF($D82="","Enter Recipient Name. ","")&amp;IF(LEN($D82)&gt;35,"Recipient Name exceeds 35 characters. ","")&amp;IF($E82="","Enter Recipient Phone. ","")&amp;IF(AND($E82&lt;&gt;"",OR(LEN($E82)&lt;6,LEN($E82)&gt;20,NOT(IFERROR(ISNUMBER(1*$E82),FALSE())))),"Phone must be the LOCAL number for the destination country: digits only, no +, spaces, or country code, 6 to 20 digits. ","")&amp;IF(LEN($F82)&gt;35,"Recipient Company Name exceeds 35 characters. ","")&amp;IF($G82="","Enter Address Line 1. ","")&amp;IF(LEN($G82)&gt;35,"Address Line 1 exceeds the 35-character SAP limit. ","")&amp;IF(LEN($H82)&gt;35,"Address Line 2 exceeds the 35-character SAP limit. ","")&amp;IF(LEN($I82)&gt;35,"Address Line 3 exceeds the 35-character SAP limit. ","")&amp;IF($J82="","Enter Town. This must never be left blank, even if there is no conventional town name. ","")&amp;IF(LEN($J82)&gt;35,"Town exceeds 35 characters. ","")&amp;IF(AND($N82="IE",$K82=""),"County is required for deliveries within the Republic of Ireland. ","")&amp;IF(LEN($AB82)&gt;35,"County exceeds 35 characters. ","")&amp;IF(AND($L82="",AND($N82&lt;&gt;"AE",$N82&lt;&gt;"QA")),"Postcode is required for the selected country. If there is genuinely no postcode, enter the first 3 characters of the area (e.g. D15). ","")&amp;IF(LEN($L82)&gt;35,"Postcode exceeds 35 characters. ","")&amp;IF($AE82&lt;&gt;"",$AE82,"")&amp;IF(LEN($O82)&gt;40,"Gift Message Line 1 exceeds 40 characters. ","")&amp;IF(LEN($P82)&gt;40,"Gift Message Line 2 exceeds 40 characters. ","")&amp;IF(LEN($Q82)&gt;40,"Gift Message Line 3 exceeds 40 characters. ","")&amp;IF(LEN($R82)&gt;40,"Gift Message Line 4 exceeds 40 characters. ","")&amp;IF(LEN($S82)&gt;40,"Gift Message Line 5 exceeds 40 characters. ","")&amp;IF(LEN($T82)&gt;40,"Gift Message Line 6 exceeds 40 characters. ","")&amp;IF(LEN($U82)&gt;40,"Gift Message Line 7 exceeds 40 characters. ",""))</f>
        <v/>
      </c>
      <c r="Y82" s="44" t="str">
        <f t="shared" si="5"/>
        <v/>
      </c>
      <c r="Z82" s="44"/>
      <c r="AA82" s="44"/>
      <c r="AB82" s="32" t="str">
        <f t="shared" si="6"/>
        <v/>
      </c>
      <c r="AC82" s="32" t="str">
        <f>IF($A82="","",IFERROR(LEFT(INDEX('PRODUCT DATA'!$NO$2:$NO$25,MATCH($A82,'PRODUCT DATA'!$NP$2:$NP$25,0)),FIND("|",INDEX('PRODUCT DATA'!$NO$2:$NO$25,MATCH($A82,'PRODUCT DATA'!$NP$2:$NP$25,0)))-1),$A82))</f>
        <v/>
      </c>
      <c r="AD82" s="45"/>
      <c r="AE82" s="45" t="str">
        <f t="shared" si="7"/>
        <v/>
      </c>
    </row>
    <row r="83" spans="1:31" ht="15" customHeight="1" x14ac:dyDescent="0.25">
      <c r="A83" s="40"/>
      <c r="B83" s="43" t="str">
        <f>IF($A83="","",IFERROR(VLOOKUP($AC83,'PRODUCT DATA'!$NR$2:$NS$374,2,FALSE()),"UNKNOWN ITEM CODE - please check"))</f>
        <v/>
      </c>
      <c r="C83" s="39">
        <v>1</v>
      </c>
      <c r="D83" s="39"/>
      <c r="E83" s="40"/>
      <c r="F83" s="41"/>
      <c r="G83" s="39"/>
      <c r="H83" s="41"/>
      <c r="I83" s="41"/>
      <c r="J83" s="39"/>
      <c r="K83" s="41"/>
      <c r="L83" s="40"/>
      <c r="M83" s="40"/>
      <c r="N83" s="42" t="str">
        <f>IF($M83="","",IFERROR(INDEX('PRODUCT DATA'!$B$2:$B$58,MATCH(IF(UPPER($M83)="UK","GB",$M83),'PRODUCT DATA'!$B$2:$B$58,0)),IFERROR(INDEX('PRODUCT DATA'!$B$2:$B$58,MATCH(IF(UPPER($M83)="UK","GB",$M83),'PRODUCT DATA'!$A$2:$A$58,0)),"UNKNOWN COUNTRY - please check")))</f>
        <v/>
      </c>
      <c r="O83" s="41"/>
      <c r="P83" s="41"/>
      <c r="Q83" s="41"/>
      <c r="R83" s="41"/>
      <c r="S83" s="41"/>
      <c r="T83" s="41"/>
      <c r="U83" s="41"/>
      <c r="V83" s="43" t="str">
        <f t="shared" si="4"/>
        <v/>
      </c>
      <c r="W83" s="44" t="str">
        <f ca="1">IF(COUNTA($A83,$D83:$M83,$O83:$U83)=0,"",IF($A83="","Item Code; ","")&amp;IF(AND($A83&lt;&gt;"",ISNA(MATCH($AC83,'PRODUCT DATA'!$D$2:$D$394,0))),"Item Code; ","")&amp;IF($M83="","Country; ","")&amp;IF(AND($M83&lt;&gt;"",NOT(OR(NOT(ISNA(MATCH(IF(UPPER($M83)="UK","GB",$M83),'PRODUCT DATA'!$A$2:$A$58,0))),NOT(ISNA(MATCH(IF(UPPER($M83)="UK","GB",$M83),'PRODUCT DATA'!$B$2:$B$58,0)))))),"Country; ","")&amp;IF(AND($A83&lt;&gt;"",$M83&lt;&gt;"",NOT(ISNA(MATCH($AC83,'PRODUCT DATA'!$D$2:$D$394,0))),OR(NOT(ISNA(MATCH(IF(UPPER($M83)="UK","GB",$M83),'PRODUCT DATA'!$A$2:$A$58,0))),NOT(ISNA(MATCH(IF(UPPER($M83)="UK","GB",$M83),'PRODUCT DATA'!$B$2:$B$58,0)))),NOT(IFERROR(COUNTIF(OFFSET('PRODUCT DATA'!$F$2,0,MATCH($AC83,'PRODUCT DATA'!$F$1:$NN$1,0)-1,114,1),$N83)&gt;0,FALSE()))),IF(UPPER(IFERROR(OFFSET('PRODUCT DATA'!$C$2,MATCH($N83,'PRODUCT DATA'!$B$2:$B$58,0)-1,0),""))="NO","Alcohol Restriction; ","Item Code / Country combination; "),"")&amp;IF($C83="","Quantity; ","")&amp;IF(AND($C83&lt;&gt;"",OR(NOT(ISNUMBER($C83)),$C83&lt;1,$C83&gt;999,MOD($C83,1)&lt;&gt;0)),"Quantity; ","")&amp;IF($D83="","Recipient Name; ","")&amp;IF(LEN($D83)&gt;35,"Recipient Name; ","")&amp;IF($E83="","Recipient Phone; ","")&amp;IF(AND($E83&lt;&gt;"",OR(LEN($E83)&lt;6,LEN($E83)&gt;20,NOT(IFERROR(ISNUMBER(1*$E83),FALSE())))),"Recipient Phone; ","")&amp;IF(LEN($F83)&gt;35,"Recipient Company Name; ","")&amp;IF($G83="","Address Line 1; ","")&amp;IF(LEN($G83)&gt;35,"Address Line 1; ","")&amp;IF(LEN($H83)&gt;35,"Address Line 2; ","")&amp;IF(LEN($I83)&gt;35,"Address Line 3; ","")&amp;IF($J83="","Town; ","")&amp;IF(LEN($J83)&gt;35,"Town; ","")&amp;IF(AND($N83="IE",$K83=""),"County; ","")&amp;IF(LEN($AB83)&gt;35,"County; ","")&amp;IF(AND($L83="",AND($N83&lt;&gt;"AE",$N83&lt;&gt;"QA")),"Postcode; ","")&amp;IF(LEN($L83)&gt;35,"Postcode; ","")&amp;IF($AE83&lt;&gt;"","Postcode; ","")&amp;IF(LEN($O83)&gt;40,"Gift Message 1; ","")&amp;IF(LEN($P83)&gt;40,"Gift Message 2; ","")&amp;IF(LEN($Q83)&gt;40,"Gift Message 3; ","")&amp;IF(LEN($R83)&gt;40,"Gift Message 4; ","")&amp;IF(LEN($S83)&gt;40,"Gift Message 5; ","")&amp;IF(LEN($T83)&gt;40,"Gift Message 6; ","")&amp;IF(LEN($U83)&gt;40,"Gift Message 7; ",""))</f>
        <v/>
      </c>
      <c r="X83" s="44" t="str">
        <f ca="1">IF(COUNTA($A83,$D83:$M83,$O83:$U83)=0,"",IF($A83="","Enter the Item Code (hamper) - type it, paste it, or choose it from the dropdown. ","")&amp;IF(AND($A83&lt;&gt;"",ISNA(MATCH($AC83,'PRODUCT DATA'!$D$2:$D$394,0))),"This Item Code is not recognised. Check the code (case does not matter, but spelling and digits must match exactly) or choose it from the dropdown. ","")&amp;IF($M83="","Enter the Country after the Item Code - type or paste the name or the 2-letter code, or choose it from the dropdown. ","")&amp;IF(AND($M83&lt;&gt;"",NOT(OR(NOT(ISNA(MATCH(IF(UPPER($M83)="UK","GB",$M83),'PRODUCT DATA'!$A$2:$A$58,0))),NOT(ISNA(MATCH(IF(UPPER($M83)="UK","GB",$M83),'PRODUCT DATA'!$B$2:$B$58,0)))))),"This Country is not recognised as either a full name or a 2-letter code. Check the spelling (case does not matter) or choose it from the dropdown. ","")&amp;IF(AND($A83&lt;&gt;"",$M83&lt;&gt;"",NOT(ISNA(MATCH($AC83,'PRODUCT DATA'!$D$2:$D$394,0))),OR(NOT(ISNA(MATCH(IF(UPPER($M83)="UK","GB",$M83),'PRODUCT DATA'!$A$2:$A$58,0))),NOT(ISNA(MATCH(IF(UPPER($M83)="UK","GB",$M83),'PRODUCT DATA'!$B$2:$B$58,0)))),NOT(IFERROR(COUNTIF(OFFSET('PRODUCT DATA'!$F$2,0,MATCH($AC83,'PRODUCT DATA'!$F$1:$NN$1,0)-1,114,1),$N83)&gt;0,FALSE()))),IF(UPPER(IFERROR(OFFSET('PRODUCT DATA'!$C$2,MATCH($N83,'PRODUCT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"),"")&amp;IF($C83="","Enter Quantity. ","")&amp;IF(AND($C83&lt;&gt;"",OR(NOT(ISNUMBER($C83)),$C83&lt;1,$C83&gt;999,MOD($C83,1)&lt;&gt;0)),"Quantity must be a whole number from 1 to 999 (use a quantity above 1 only for a genuine bulk order of identical items to ONE address — otherwise use a separate row per recipient). ","")&amp;IF($D83="","Enter Recipient Name. ","")&amp;IF(LEN($D83)&gt;35,"Recipient Name exceeds 35 characters. ","")&amp;IF($E83="","Enter Recipient Phone. ","")&amp;IF(AND($E83&lt;&gt;"",OR(LEN($E83)&lt;6,LEN($E83)&gt;20,NOT(IFERROR(ISNUMBER(1*$E83),FALSE())))),"Phone must be the LOCAL number for the destination country: digits only, no +, spaces, or country code, 6 to 20 digits. ","")&amp;IF(LEN($F83)&gt;35,"Recipient Company Name exceeds 35 characters. ","")&amp;IF($G83="","Enter Address Line 1. ","")&amp;IF(LEN($G83)&gt;35,"Address Line 1 exceeds the 35-character SAP limit. ","")&amp;IF(LEN($H83)&gt;35,"Address Line 2 exceeds the 35-character SAP limit. ","")&amp;IF(LEN($I83)&gt;35,"Address Line 3 exceeds the 35-character SAP limit. ","")&amp;IF($J83="","Enter Town. This must never be left blank, even if there is no conventional town name. ","")&amp;IF(LEN($J83)&gt;35,"Town exceeds 35 characters. ","")&amp;IF(AND($N83="IE",$K83=""),"County is required for deliveries within the Republic of Ireland. ","")&amp;IF(LEN($AB83)&gt;35,"County exceeds 35 characters. ","")&amp;IF(AND($L83="",AND($N83&lt;&gt;"AE",$N83&lt;&gt;"QA")),"Postcode is required for the selected country. If there is genuinely no postcode, enter the first 3 characters of the area (e.g. D15). ","")&amp;IF(LEN($L83)&gt;35,"Postcode exceeds 35 characters. ","")&amp;IF($AE83&lt;&gt;"",$AE83,"")&amp;IF(LEN($O83)&gt;40,"Gift Message Line 1 exceeds 40 characters. ","")&amp;IF(LEN($P83)&gt;40,"Gift Message Line 2 exceeds 40 characters. ","")&amp;IF(LEN($Q83)&gt;40,"Gift Message Line 3 exceeds 40 characters. ","")&amp;IF(LEN($R83)&gt;40,"Gift Message Line 4 exceeds 40 characters. ","")&amp;IF(LEN($S83)&gt;40,"Gift Message Line 5 exceeds 40 characters. ","")&amp;IF(LEN($T83)&gt;40,"Gift Message Line 6 exceeds 40 characters. ","")&amp;IF(LEN($U83)&gt;40,"Gift Message Line 7 exceeds 40 characters. ",""))</f>
        <v/>
      </c>
      <c r="Y83" s="44" t="str">
        <f t="shared" si="5"/>
        <v/>
      </c>
      <c r="Z83" s="44"/>
      <c r="AA83" s="44"/>
      <c r="AB83" s="32" t="str">
        <f t="shared" si="6"/>
        <v/>
      </c>
      <c r="AC83" s="32" t="str">
        <f>IF($A83="","",IFERROR(LEFT(INDEX('PRODUCT DATA'!$NO$2:$NO$25,MATCH($A83,'PRODUCT DATA'!$NP$2:$NP$25,0)),FIND("|",INDEX('PRODUCT DATA'!$NO$2:$NO$25,MATCH($A83,'PRODUCT DATA'!$NP$2:$NP$25,0)))-1),$A83))</f>
        <v/>
      </c>
      <c r="AD83" s="45"/>
      <c r="AE83" s="45" t="str">
        <f t="shared" si="7"/>
        <v/>
      </c>
    </row>
    <row r="84" spans="1:31" ht="15" customHeight="1" x14ac:dyDescent="0.25">
      <c r="A84" s="40"/>
      <c r="B84" s="43" t="str">
        <f>IF($A84="","",IFERROR(VLOOKUP($AC84,'PRODUCT DATA'!$NR$2:$NS$374,2,FALSE()),"UNKNOWN ITEM CODE - please check"))</f>
        <v/>
      </c>
      <c r="C84" s="39">
        <v>1</v>
      </c>
      <c r="D84" s="39"/>
      <c r="E84" s="40"/>
      <c r="F84" s="41"/>
      <c r="G84" s="39"/>
      <c r="H84" s="41"/>
      <c r="I84" s="41"/>
      <c r="J84" s="39"/>
      <c r="K84" s="41"/>
      <c r="L84" s="40"/>
      <c r="M84" s="40"/>
      <c r="N84" s="42" t="str">
        <f>IF($M84="","",IFERROR(INDEX('PRODUCT DATA'!$B$2:$B$58,MATCH(IF(UPPER($M84)="UK","GB",$M84),'PRODUCT DATA'!$B$2:$B$58,0)),IFERROR(INDEX('PRODUCT DATA'!$B$2:$B$58,MATCH(IF(UPPER($M84)="UK","GB",$M84),'PRODUCT DATA'!$A$2:$A$58,0)),"UNKNOWN COUNTRY - please check")))</f>
        <v/>
      </c>
      <c r="O84" s="41"/>
      <c r="P84" s="41"/>
      <c r="Q84" s="41"/>
      <c r="R84" s="41"/>
      <c r="S84" s="41"/>
      <c r="T84" s="41"/>
      <c r="U84" s="41"/>
      <c r="V84" s="43" t="str">
        <f t="shared" si="4"/>
        <v/>
      </c>
      <c r="W84" s="44" t="str">
        <f ca="1">IF(COUNTA($A84,$D84:$M84,$O84:$U84)=0,"",IF($A84="","Item Code; ","")&amp;IF(AND($A84&lt;&gt;"",ISNA(MATCH($AC84,'PRODUCT DATA'!$D$2:$D$394,0))),"Item Code; ","")&amp;IF($M84="","Country; ","")&amp;IF(AND($M84&lt;&gt;"",NOT(OR(NOT(ISNA(MATCH(IF(UPPER($M84)="UK","GB",$M84),'PRODUCT DATA'!$A$2:$A$58,0))),NOT(ISNA(MATCH(IF(UPPER($M84)="UK","GB",$M84),'PRODUCT DATA'!$B$2:$B$58,0)))))),"Country; ","")&amp;IF(AND($A84&lt;&gt;"",$M84&lt;&gt;"",NOT(ISNA(MATCH($AC84,'PRODUCT DATA'!$D$2:$D$394,0))),OR(NOT(ISNA(MATCH(IF(UPPER($M84)="UK","GB",$M84),'PRODUCT DATA'!$A$2:$A$58,0))),NOT(ISNA(MATCH(IF(UPPER($M84)="UK","GB",$M84),'PRODUCT DATA'!$B$2:$B$58,0)))),NOT(IFERROR(COUNTIF(OFFSET('PRODUCT DATA'!$F$2,0,MATCH($AC84,'PRODUCT DATA'!$F$1:$NN$1,0)-1,114,1),$N84)&gt;0,FALSE()))),IF(UPPER(IFERROR(OFFSET('PRODUCT DATA'!$C$2,MATCH($N84,'PRODUCT DATA'!$B$2:$B$58,0)-1,0),""))="NO","Alcohol Restriction; ","Item Code / Country combination; "),"")&amp;IF($C84="","Quantity; ","")&amp;IF(AND($C84&lt;&gt;"",OR(NOT(ISNUMBER($C84)),$C84&lt;1,$C84&gt;999,MOD($C84,1)&lt;&gt;0)),"Quantity; ","")&amp;IF($D84="","Recipient Name; ","")&amp;IF(LEN($D84)&gt;35,"Recipient Name; ","")&amp;IF($E84="","Recipient Phone; ","")&amp;IF(AND($E84&lt;&gt;"",OR(LEN($E84)&lt;6,LEN($E84)&gt;20,NOT(IFERROR(ISNUMBER(1*$E84),FALSE())))),"Recipient Phone; ","")&amp;IF(LEN($F84)&gt;35,"Recipient Company Name; ","")&amp;IF($G84="","Address Line 1; ","")&amp;IF(LEN($G84)&gt;35,"Address Line 1; ","")&amp;IF(LEN($H84)&gt;35,"Address Line 2; ","")&amp;IF(LEN($I84)&gt;35,"Address Line 3; ","")&amp;IF($J84="","Town; ","")&amp;IF(LEN($J84)&gt;35,"Town; ","")&amp;IF(AND($N84="IE",$K84=""),"County; ","")&amp;IF(LEN($AB84)&gt;35,"County; ","")&amp;IF(AND($L84="",AND($N84&lt;&gt;"AE",$N84&lt;&gt;"QA")),"Postcode; ","")&amp;IF(LEN($L84)&gt;35,"Postcode; ","")&amp;IF($AE84&lt;&gt;"","Postcode; ","")&amp;IF(LEN($O84)&gt;40,"Gift Message 1; ","")&amp;IF(LEN($P84)&gt;40,"Gift Message 2; ","")&amp;IF(LEN($Q84)&gt;40,"Gift Message 3; ","")&amp;IF(LEN($R84)&gt;40,"Gift Message 4; ","")&amp;IF(LEN($S84)&gt;40,"Gift Message 5; ","")&amp;IF(LEN($T84)&gt;40,"Gift Message 6; ","")&amp;IF(LEN($U84)&gt;40,"Gift Message 7; ",""))</f>
        <v/>
      </c>
      <c r="X84" s="44" t="str">
        <f ca="1">IF(COUNTA($A84,$D84:$M84,$O84:$U84)=0,"",IF($A84="","Enter the Item Code (hamper) - type it, paste it, or choose it from the dropdown. ","")&amp;IF(AND($A84&lt;&gt;"",ISNA(MATCH($AC84,'PRODUCT DATA'!$D$2:$D$394,0))),"This Item Code is not recognised. Check the code (case does not matter, but spelling and digits must match exactly) or choose it from the dropdown. ","")&amp;IF($M84="","Enter the Country after the Item Code - type or paste the name or the 2-letter code, or choose it from the dropdown. ","")&amp;IF(AND($M84&lt;&gt;"",NOT(OR(NOT(ISNA(MATCH(IF(UPPER($M84)="UK","GB",$M84),'PRODUCT DATA'!$A$2:$A$58,0))),NOT(ISNA(MATCH(IF(UPPER($M84)="UK","GB",$M84),'PRODUCT DATA'!$B$2:$B$58,0)))))),"This Country is not recognised as either a full name or a 2-letter code. Check the spelling (case does not matter) or choose it from the dropdown. ","")&amp;IF(AND($A84&lt;&gt;"",$M84&lt;&gt;"",NOT(ISNA(MATCH($AC84,'PRODUCT DATA'!$D$2:$D$394,0))),OR(NOT(ISNA(MATCH(IF(UPPER($M84)="UK","GB",$M84),'PRODUCT DATA'!$A$2:$A$58,0))),NOT(ISNA(MATCH(IF(UPPER($M84)="UK","GB",$M84),'PRODUCT DATA'!$B$2:$B$58,0)))),NOT(IFERROR(COUNTIF(OFFSET('PRODUCT DATA'!$F$2,0,MATCH($AC84,'PRODUCT DATA'!$F$1:$NN$1,0)-1,114,1),$N84)&gt;0,FALSE()))),IF(UPPER(IFERROR(OFFSET('PRODUCT DATA'!$C$2,MATCH($N84,'PRODUCT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"),"")&amp;IF($C84="","Enter Quantity. ","")&amp;IF(AND($C84&lt;&gt;"",OR(NOT(ISNUMBER($C84)),$C84&lt;1,$C84&gt;999,MOD($C84,1)&lt;&gt;0)),"Quantity must be a whole number from 1 to 999 (use a quantity above 1 only for a genuine bulk order of identical items to ONE address — otherwise use a separate row per recipient). ","")&amp;IF($D84="","Enter Recipient Name. ","")&amp;IF(LEN($D84)&gt;35,"Recipient Name exceeds 35 characters. ","")&amp;IF($E84="","Enter Recipient Phone. ","")&amp;IF(AND($E84&lt;&gt;"",OR(LEN($E84)&lt;6,LEN($E84)&gt;20,NOT(IFERROR(ISNUMBER(1*$E84),FALSE())))),"Phone must be the LOCAL number for the destination country: digits only, no +, spaces, or country code, 6 to 20 digits. ","")&amp;IF(LEN($F84)&gt;35,"Recipient Company Name exceeds 35 characters. ","")&amp;IF($G84="","Enter Address Line 1. ","")&amp;IF(LEN($G84)&gt;35,"Address Line 1 exceeds the 35-character SAP limit. ","")&amp;IF(LEN($H84)&gt;35,"Address Line 2 exceeds the 35-character SAP limit. ","")&amp;IF(LEN($I84)&gt;35,"Address Line 3 exceeds the 35-character SAP limit. ","")&amp;IF($J84="","Enter Town. This must never be left blank, even if there is no conventional town name. ","")&amp;IF(LEN($J84)&gt;35,"Town exceeds 35 characters. ","")&amp;IF(AND($N84="IE",$K84=""),"County is required for deliveries within the Republic of Ireland. ","")&amp;IF(LEN($AB84)&gt;35,"County exceeds 35 characters. ","")&amp;IF(AND($L84="",AND($N84&lt;&gt;"AE",$N84&lt;&gt;"QA")),"Postcode is required for the selected country. If there is genuinely no postcode, enter the first 3 characters of the area (e.g. D15). ","")&amp;IF(LEN($L84)&gt;35,"Postcode exceeds 35 characters. ","")&amp;IF($AE84&lt;&gt;"",$AE84,"")&amp;IF(LEN($O84)&gt;40,"Gift Message Line 1 exceeds 40 characters. ","")&amp;IF(LEN($P84)&gt;40,"Gift Message Line 2 exceeds 40 characters. ","")&amp;IF(LEN($Q84)&gt;40,"Gift Message Line 3 exceeds 40 characters. ","")&amp;IF(LEN($R84)&gt;40,"Gift Message Line 4 exceeds 40 characters. ","")&amp;IF(LEN($S84)&gt;40,"Gift Message Line 5 exceeds 40 characters. ","")&amp;IF(LEN($T84)&gt;40,"Gift Message Line 6 exceeds 40 characters. ","")&amp;IF(LEN($U84)&gt;40,"Gift Message Line 7 exceeds 40 characters. ",""))</f>
        <v/>
      </c>
      <c r="Y84" s="44" t="str">
        <f t="shared" si="5"/>
        <v/>
      </c>
      <c r="Z84" s="44"/>
      <c r="AA84" s="44"/>
      <c r="AB84" s="32" t="str">
        <f t="shared" si="6"/>
        <v/>
      </c>
      <c r="AC84" s="32" t="str">
        <f>IF($A84="","",IFERROR(LEFT(INDEX('PRODUCT DATA'!$NO$2:$NO$25,MATCH($A84,'PRODUCT DATA'!$NP$2:$NP$25,0)),FIND("|",INDEX('PRODUCT DATA'!$NO$2:$NO$25,MATCH($A84,'PRODUCT DATA'!$NP$2:$NP$25,0)))-1),$A84))</f>
        <v/>
      </c>
      <c r="AD84" s="45"/>
      <c r="AE84" s="45" t="str">
        <f t="shared" si="7"/>
        <v/>
      </c>
    </row>
    <row r="85" spans="1:31" ht="15" customHeight="1" x14ac:dyDescent="0.25">
      <c r="A85" s="40"/>
      <c r="B85" s="43" t="str">
        <f>IF($A85="","",IFERROR(VLOOKUP($AC85,'PRODUCT DATA'!$NR$2:$NS$374,2,FALSE()),"UNKNOWN ITEM CODE - please check"))</f>
        <v/>
      </c>
      <c r="C85" s="39">
        <v>1</v>
      </c>
      <c r="D85" s="39"/>
      <c r="E85" s="40"/>
      <c r="F85" s="41"/>
      <c r="G85" s="39"/>
      <c r="H85" s="41"/>
      <c r="I85" s="41"/>
      <c r="J85" s="39"/>
      <c r="K85" s="41"/>
      <c r="L85" s="40"/>
      <c r="M85" s="40"/>
      <c r="N85" s="42" t="str">
        <f>IF($M85="","",IFERROR(INDEX('PRODUCT DATA'!$B$2:$B$58,MATCH(IF(UPPER($M85)="UK","GB",$M85),'PRODUCT DATA'!$B$2:$B$58,0)),IFERROR(INDEX('PRODUCT DATA'!$B$2:$B$58,MATCH(IF(UPPER($M85)="UK","GB",$M85),'PRODUCT DATA'!$A$2:$A$58,0)),"UNKNOWN COUNTRY - please check")))</f>
        <v/>
      </c>
      <c r="O85" s="41"/>
      <c r="P85" s="41"/>
      <c r="Q85" s="41"/>
      <c r="R85" s="41"/>
      <c r="S85" s="41"/>
      <c r="T85" s="41"/>
      <c r="U85" s="41"/>
      <c r="V85" s="43" t="str">
        <f t="shared" si="4"/>
        <v/>
      </c>
      <c r="W85" s="44" t="str">
        <f ca="1">IF(COUNTA($A85,$D85:$M85,$O85:$U85)=0,"",IF($A85="","Item Code; ","")&amp;IF(AND($A85&lt;&gt;"",ISNA(MATCH($AC85,'PRODUCT DATA'!$D$2:$D$394,0))),"Item Code; ","")&amp;IF($M85="","Country; ","")&amp;IF(AND($M85&lt;&gt;"",NOT(OR(NOT(ISNA(MATCH(IF(UPPER($M85)="UK","GB",$M85),'PRODUCT DATA'!$A$2:$A$58,0))),NOT(ISNA(MATCH(IF(UPPER($M85)="UK","GB",$M85),'PRODUCT DATA'!$B$2:$B$58,0)))))),"Country; ","")&amp;IF(AND($A85&lt;&gt;"",$M85&lt;&gt;"",NOT(ISNA(MATCH($AC85,'PRODUCT DATA'!$D$2:$D$394,0))),OR(NOT(ISNA(MATCH(IF(UPPER($M85)="UK","GB",$M85),'PRODUCT DATA'!$A$2:$A$58,0))),NOT(ISNA(MATCH(IF(UPPER($M85)="UK","GB",$M85),'PRODUCT DATA'!$B$2:$B$58,0)))),NOT(IFERROR(COUNTIF(OFFSET('PRODUCT DATA'!$F$2,0,MATCH($AC85,'PRODUCT DATA'!$F$1:$NN$1,0)-1,114,1),$N85)&gt;0,FALSE()))),IF(UPPER(IFERROR(OFFSET('PRODUCT DATA'!$C$2,MATCH($N85,'PRODUCT DATA'!$B$2:$B$58,0)-1,0),""))="NO","Alcohol Restriction; ","Item Code / Country combination; "),"")&amp;IF($C85="","Quantity; ","")&amp;IF(AND($C85&lt;&gt;"",OR(NOT(ISNUMBER($C85)),$C85&lt;1,$C85&gt;999,MOD($C85,1)&lt;&gt;0)),"Quantity; ","")&amp;IF($D85="","Recipient Name; ","")&amp;IF(LEN($D85)&gt;35,"Recipient Name; ","")&amp;IF($E85="","Recipient Phone; ","")&amp;IF(AND($E85&lt;&gt;"",OR(LEN($E85)&lt;6,LEN($E85)&gt;20,NOT(IFERROR(ISNUMBER(1*$E85),FALSE())))),"Recipient Phone; ","")&amp;IF(LEN($F85)&gt;35,"Recipient Company Name; ","")&amp;IF($G85="","Address Line 1; ","")&amp;IF(LEN($G85)&gt;35,"Address Line 1; ","")&amp;IF(LEN($H85)&gt;35,"Address Line 2; ","")&amp;IF(LEN($I85)&gt;35,"Address Line 3; ","")&amp;IF($J85="","Town; ","")&amp;IF(LEN($J85)&gt;35,"Town; ","")&amp;IF(AND($N85="IE",$K85=""),"County; ","")&amp;IF(LEN($AB85)&gt;35,"County; ","")&amp;IF(AND($L85="",AND($N85&lt;&gt;"AE",$N85&lt;&gt;"QA")),"Postcode; ","")&amp;IF(LEN($L85)&gt;35,"Postcode; ","")&amp;IF($AE85&lt;&gt;"","Postcode; ","")&amp;IF(LEN($O85)&gt;40,"Gift Message 1; ","")&amp;IF(LEN($P85)&gt;40,"Gift Message 2; ","")&amp;IF(LEN($Q85)&gt;40,"Gift Message 3; ","")&amp;IF(LEN($R85)&gt;40,"Gift Message 4; ","")&amp;IF(LEN($S85)&gt;40,"Gift Message 5; ","")&amp;IF(LEN($T85)&gt;40,"Gift Message 6; ","")&amp;IF(LEN($U85)&gt;40,"Gift Message 7; ",""))</f>
        <v/>
      </c>
      <c r="X85" s="44" t="str">
        <f ca="1">IF(COUNTA($A85,$D85:$M85,$O85:$U85)=0,"",IF($A85="","Enter the Item Code (hamper) - type it, paste it, or choose it from the dropdown. ","")&amp;IF(AND($A85&lt;&gt;"",ISNA(MATCH($AC85,'PRODUCT DATA'!$D$2:$D$394,0))),"This Item Code is not recognised. Check the code (case does not matter, but spelling and digits must match exactly) or choose it from the dropdown. ","")&amp;IF($M85="","Enter the Country after the Item Code - type or paste the name or the 2-letter code, or choose it from the dropdown. ","")&amp;IF(AND($M85&lt;&gt;"",NOT(OR(NOT(ISNA(MATCH(IF(UPPER($M85)="UK","GB",$M85),'PRODUCT DATA'!$A$2:$A$58,0))),NOT(ISNA(MATCH(IF(UPPER($M85)="UK","GB",$M85),'PRODUCT DATA'!$B$2:$B$58,0)))))),"This Country is not recognised as either a full name or a 2-letter code. Check the spelling (case does not matter) or choose it from the dropdown. ","")&amp;IF(AND($A85&lt;&gt;"",$M85&lt;&gt;"",NOT(ISNA(MATCH($AC85,'PRODUCT DATA'!$D$2:$D$394,0))),OR(NOT(ISNA(MATCH(IF(UPPER($M85)="UK","GB",$M85),'PRODUCT DATA'!$A$2:$A$58,0))),NOT(ISNA(MATCH(IF(UPPER($M85)="UK","GB",$M85),'PRODUCT DATA'!$B$2:$B$58,0)))),NOT(IFERROR(COUNTIF(OFFSET('PRODUCT DATA'!$F$2,0,MATCH($AC85,'PRODUCT DATA'!$F$1:$NN$1,0)-1,114,1),$N85)&gt;0,FALSE()))),IF(UPPER(IFERROR(OFFSET('PRODUCT DATA'!$C$2,MATCH($N85,'PRODUCT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"),"")&amp;IF($C85="","Enter Quantity. ","")&amp;IF(AND($C85&lt;&gt;"",OR(NOT(ISNUMBER($C85)),$C85&lt;1,$C85&gt;999,MOD($C85,1)&lt;&gt;0)),"Quantity must be a whole number from 1 to 999 (use a quantity above 1 only for a genuine bulk order of identical items to ONE address — otherwise use a separate row per recipient). ","")&amp;IF($D85="","Enter Recipient Name. ","")&amp;IF(LEN($D85)&gt;35,"Recipient Name exceeds 35 characters. ","")&amp;IF($E85="","Enter Recipient Phone. ","")&amp;IF(AND($E85&lt;&gt;"",OR(LEN($E85)&lt;6,LEN($E85)&gt;20,NOT(IFERROR(ISNUMBER(1*$E85),FALSE())))),"Phone must be the LOCAL number for the destination country: digits only, no +, spaces, or country code, 6 to 20 digits. ","")&amp;IF(LEN($F85)&gt;35,"Recipient Company Name exceeds 35 characters. ","")&amp;IF($G85="","Enter Address Line 1. ","")&amp;IF(LEN($G85)&gt;35,"Address Line 1 exceeds the 35-character SAP limit. ","")&amp;IF(LEN($H85)&gt;35,"Address Line 2 exceeds the 35-character SAP limit. ","")&amp;IF(LEN($I85)&gt;35,"Address Line 3 exceeds the 35-character SAP limit. ","")&amp;IF($J85="","Enter Town. This must never be left blank, even if there is no conventional town name. ","")&amp;IF(LEN($J85)&gt;35,"Town exceeds 35 characters. ","")&amp;IF(AND($N85="IE",$K85=""),"County is required for deliveries within the Republic of Ireland. ","")&amp;IF(LEN($AB85)&gt;35,"County exceeds 35 characters. ","")&amp;IF(AND($L85="",AND($N85&lt;&gt;"AE",$N85&lt;&gt;"QA")),"Postcode is required for the selected country. If there is genuinely no postcode, enter the first 3 characters of the area (e.g. D15). ","")&amp;IF(LEN($L85)&gt;35,"Postcode exceeds 35 characters. ","")&amp;IF($AE85&lt;&gt;"",$AE85,"")&amp;IF(LEN($O85)&gt;40,"Gift Message Line 1 exceeds 40 characters. ","")&amp;IF(LEN($P85)&gt;40,"Gift Message Line 2 exceeds 40 characters. ","")&amp;IF(LEN($Q85)&gt;40,"Gift Message Line 3 exceeds 40 characters. ","")&amp;IF(LEN($R85)&gt;40,"Gift Message Line 4 exceeds 40 characters. ","")&amp;IF(LEN($S85)&gt;40,"Gift Message Line 5 exceeds 40 characters. ","")&amp;IF(LEN($T85)&gt;40,"Gift Message Line 6 exceeds 40 characters. ","")&amp;IF(LEN($U85)&gt;40,"Gift Message Line 7 exceeds 40 characters. ",""))</f>
        <v/>
      </c>
      <c r="Y85" s="44" t="str">
        <f t="shared" si="5"/>
        <v/>
      </c>
      <c r="Z85" s="44"/>
      <c r="AA85" s="44"/>
      <c r="AB85" s="32" t="str">
        <f t="shared" si="6"/>
        <v/>
      </c>
      <c r="AC85" s="32" t="str">
        <f>IF($A85="","",IFERROR(LEFT(INDEX('PRODUCT DATA'!$NO$2:$NO$25,MATCH($A85,'PRODUCT DATA'!$NP$2:$NP$25,0)),FIND("|",INDEX('PRODUCT DATA'!$NO$2:$NO$25,MATCH($A85,'PRODUCT DATA'!$NP$2:$NP$25,0)))-1),$A85))</f>
        <v/>
      </c>
      <c r="AD85" s="45"/>
      <c r="AE85" s="45" t="str">
        <f t="shared" si="7"/>
        <v/>
      </c>
    </row>
    <row r="86" spans="1:31" ht="15" customHeight="1" x14ac:dyDescent="0.25">
      <c r="A86" s="40"/>
      <c r="B86" s="43" t="str">
        <f>IF($A86="","",IFERROR(VLOOKUP($AC86,'PRODUCT DATA'!$NR$2:$NS$374,2,FALSE()),"UNKNOWN ITEM CODE - please check"))</f>
        <v/>
      </c>
      <c r="C86" s="39">
        <v>1</v>
      </c>
      <c r="D86" s="39"/>
      <c r="E86" s="40"/>
      <c r="F86" s="41"/>
      <c r="G86" s="39"/>
      <c r="H86" s="41"/>
      <c r="I86" s="41"/>
      <c r="J86" s="39"/>
      <c r="K86" s="41"/>
      <c r="L86" s="40"/>
      <c r="M86" s="40"/>
      <c r="N86" s="42" t="str">
        <f>IF($M86="","",IFERROR(INDEX('PRODUCT DATA'!$B$2:$B$58,MATCH(IF(UPPER($M86)="UK","GB",$M86),'PRODUCT DATA'!$B$2:$B$58,0)),IFERROR(INDEX('PRODUCT DATA'!$B$2:$B$58,MATCH(IF(UPPER($M86)="UK","GB",$M86),'PRODUCT DATA'!$A$2:$A$58,0)),"UNKNOWN COUNTRY - please check")))</f>
        <v/>
      </c>
      <c r="O86" s="41"/>
      <c r="P86" s="41"/>
      <c r="Q86" s="41"/>
      <c r="R86" s="41"/>
      <c r="S86" s="41"/>
      <c r="T86" s="41"/>
      <c r="U86" s="41"/>
      <c r="V86" s="43" t="str">
        <f t="shared" si="4"/>
        <v/>
      </c>
      <c r="W86" s="44" t="str">
        <f ca="1">IF(COUNTA($A86,$D86:$M86,$O86:$U86)=0,"",IF($A86="","Item Code; ","")&amp;IF(AND($A86&lt;&gt;"",ISNA(MATCH($AC86,'PRODUCT DATA'!$D$2:$D$394,0))),"Item Code; ","")&amp;IF($M86="","Country; ","")&amp;IF(AND($M86&lt;&gt;"",NOT(OR(NOT(ISNA(MATCH(IF(UPPER($M86)="UK","GB",$M86),'PRODUCT DATA'!$A$2:$A$58,0))),NOT(ISNA(MATCH(IF(UPPER($M86)="UK","GB",$M86),'PRODUCT DATA'!$B$2:$B$58,0)))))),"Country; ","")&amp;IF(AND($A86&lt;&gt;"",$M86&lt;&gt;"",NOT(ISNA(MATCH($AC86,'PRODUCT DATA'!$D$2:$D$394,0))),OR(NOT(ISNA(MATCH(IF(UPPER($M86)="UK","GB",$M86),'PRODUCT DATA'!$A$2:$A$58,0))),NOT(ISNA(MATCH(IF(UPPER($M86)="UK","GB",$M86),'PRODUCT DATA'!$B$2:$B$58,0)))),NOT(IFERROR(COUNTIF(OFFSET('PRODUCT DATA'!$F$2,0,MATCH($AC86,'PRODUCT DATA'!$F$1:$NN$1,0)-1,114,1),$N86)&gt;0,FALSE()))),IF(UPPER(IFERROR(OFFSET('PRODUCT DATA'!$C$2,MATCH($N86,'PRODUCT DATA'!$B$2:$B$58,0)-1,0),""))="NO","Alcohol Restriction; ","Item Code / Country combination; "),"")&amp;IF($C86="","Quantity; ","")&amp;IF(AND($C86&lt;&gt;"",OR(NOT(ISNUMBER($C86)),$C86&lt;1,$C86&gt;999,MOD($C86,1)&lt;&gt;0)),"Quantity; ","")&amp;IF($D86="","Recipient Name; ","")&amp;IF(LEN($D86)&gt;35,"Recipient Name; ","")&amp;IF($E86="","Recipient Phone; ","")&amp;IF(AND($E86&lt;&gt;"",OR(LEN($E86)&lt;6,LEN($E86)&gt;20,NOT(IFERROR(ISNUMBER(1*$E86),FALSE())))),"Recipient Phone; ","")&amp;IF(LEN($F86)&gt;35,"Recipient Company Name; ","")&amp;IF($G86="","Address Line 1; ","")&amp;IF(LEN($G86)&gt;35,"Address Line 1; ","")&amp;IF(LEN($H86)&gt;35,"Address Line 2; ","")&amp;IF(LEN($I86)&gt;35,"Address Line 3; ","")&amp;IF($J86="","Town; ","")&amp;IF(LEN($J86)&gt;35,"Town; ","")&amp;IF(AND($N86="IE",$K86=""),"County; ","")&amp;IF(LEN($AB86)&gt;35,"County; ","")&amp;IF(AND($L86="",AND($N86&lt;&gt;"AE",$N86&lt;&gt;"QA")),"Postcode; ","")&amp;IF(LEN($L86)&gt;35,"Postcode; ","")&amp;IF($AE86&lt;&gt;"","Postcode; ","")&amp;IF(LEN($O86)&gt;40,"Gift Message 1; ","")&amp;IF(LEN($P86)&gt;40,"Gift Message 2; ","")&amp;IF(LEN($Q86)&gt;40,"Gift Message 3; ","")&amp;IF(LEN($R86)&gt;40,"Gift Message 4; ","")&amp;IF(LEN($S86)&gt;40,"Gift Message 5; ","")&amp;IF(LEN($T86)&gt;40,"Gift Message 6; ","")&amp;IF(LEN($U86)&gt;40,"Gift Message 7; ",""))</f>
        <v/>
      </c>
      <c r="X86" s="44" t="str">
        <f ca="1">IF(COUNTA($A86,$D86:$M86,$O86:$U86)=0,"",IF($A86="","Enter the Item Code (hamper) - type it, paste it, or choose it from the dropdown. ","")&amp;IF(AND($A86&lt;&gt;"",ISNA(MATCH($AC86,'PRODUCT DATA'!$D$2:$D$394,0))),"This Item Code is not recognised. Check the code (case does not matter, but spelling and digits must match exactly) or choose it from the dropdown. ","")&amp;IF($M86="","Enter the Country after the Item Code - type or paste the name or the 2-letter code, or choose it from the dropdown. ","")&amp;IF(AND($M86&lt;&gt;"",NOT(OR(NOT(ISNA(MATCH(IF(UPPER($M86)="UK","GB",$M86),'PRODUCT DATA'!$A$2:$A$58,0))),NOT(ISNA(MATCH(IF(UPPER($M86)="UK","GB",$M86),'PRODUCT DATA'!$B$2:$B$58,0)))))),"This Country is not recognised as either a full name or a 2-letter code. Check the spelling (case does not matter) or choose it from the dropdown. ","")&amp;IF(AND($A86&lt;&gt;"",$M86&lt;&gt;"",NOT(ISNA(MATCH($AC86,'PRODUCT DATA'!$D$2:$D$394,0))),OR(NOT(ISNA(MATCH(IF(UPPER($M86)="UK","GB",$M86),'PRODUCT DATA'!$A$2:$A$58,0))),NOT(ISNA(MATCH(IF(UPPER($M86)="UK","GB",$M86),'PRODUCT DATA'!$B$2:$B$58,0)))),NOT(IFERROR(COUNTIF(OFFSET('PRODUCT DATA'!$F$2,0,MATCH($AC86,'PRODUCT DATA'!$F$1:$NN$1,0)-1,114,1),$N86)&gt;0,FALSE()))),IF(UPPER(IFERROR(OFFSET('PRODUCT DATA'!$C$2,MATCH($N86,'PRODUCT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"),"")&amp;IF($C86="","Enter Quantity. ","")&amp;IF(AND($C86&lt;&gt;"",OR(NOT(ISNUMBER($C86)),$C86&lt;1,$C86&gt;999,MOD($C86,1)&lt;&gt;0)),"Quantity must be a whole number from 1 to 999 (use a quantity above 1 only for a genuine bulk order of identical items to ONE address — otherwise use a separate row per recipient). ","")&amp;IF($D86="","Enter Recipient Name. ","")&amp;IF(LEN($D86)&gt;35,"Recipient Name exceeds 35 characters. ","")&amp;IF($E86="","Enter Recipient Phone. ","")&amp;IF(AND($E86&lt;&gt;"",OR(LEN($E86)&lt;6,LEN($E86)&gt;20,NOT(IFERROR(ISNUMBER(1*$E86),FALSE())))),"Phone must be the LOCAL number for the destination country: digits only, no +, spaces, or country code, 6 to 20 digits. ","")&amp;IF(LEN($F86)&gt;35,"Recipient Company Name exceeds 35 characters. ","")&amp;IF($G86="","Enter Address Line 1. ","")&amp;IF(LEN($G86)&gt;35,"Address Line 1 exceeds the 35-character SAP limit. ","")&amp;IF(LEN($H86)&gt;35,"Address Line 2 exceeds the 35-character SAP limit. ","")&amp;IF(LEN($I86)&gt;35,"Address Line 3 exceeds the 35-character SAP limit. ","")&amp;IF($J86="","Enter Town. This must never be left blank, even if there is no conventional town name. ","")&amp;IF(LEN($J86)&gt;35,"Town exceeds 35 characters. ","")&amp;IF(AND($N86="IE",$K86=""),"County is required for deliveries within the Republic of Ireland. ","")&amp;IF(LEN($AB86)&gt;35,"County exceeds 35 characters. ","")&amp;IF(AND($L86="",AND($N86&lt;&gt;"AE",$N86&lt;&gt;"QA")),"Postcode is required for the selected country. If there is genuinely no postcode, enter the first 3 characters of the area (e.g. D15). ","")&amp;IF(LEN($L86)&gt;35,"Postcode exceeds 35 characters. ","")&amp;IF($AE86&lt;&gt;"",$AE86,"")&amp;IF(LEN($O86)&gt;40,"Gift Message Line 1 exceeds 40 characters. ","")&amp;IF(LEN($P86)&gt;40,"Gift Message Line 2 exceeds 40 characters. ","")&amp;IF(LEN($Q86)&gt;40,"Gift Message Line 3 exceeds 40 characters. ","")&amp;IF(LEN($R86)&gt;40,"Gift Message Line 4 exceeds 40 characters. ","")&amp;IF(LEN($S86)&gt;40,"Gift Message Line 5 exceeds 40 characters. ","")&amp;IF(LEN($T86)&gt;40,"Gift Message Line 6 exceeds 40 characters. ","")&amp;IF(LEN($U86)&gt;40,"Gift Message Line 7 exceeds 40 characters. ",""))</f>
        <v/>
      </c>
      <c r="Y86" s="44" t="str">
        <f t="shared" si="5"/>
        <v/>
      </c>
      <c r="Z86" s="44"/>
      <c r="AA86" s="44"/>
      <c r="AB86" s="32" t="str">
        <f t="shared" si="6"/>
        <v/>
      </c>
      <c r="AC86" s="32" t="str">
        <f>IF($A86="","",IFERROR(LEFT(INDEX('PRODUCT DATA'!$NO$2:$NO$25,MATCH($A86,'PRODUCT DATA'!$NP$2:$NP$25,0)),FIND("|",INDEX('PRODUCT DATA'!$NO$2:$NO$25,MATCH($A86,'PRODUCT DATA'!$NP$2:$NP$25,0)))-1),$A86))</f>
        <v/>
      </c>
      <c r="AD86" s="45"/>
      <c r="AE86" s="45" t="str">
        <f t="shared" si="7"/>
        <v/>
      </c>
    </row>
    <row r="87" spans="1:31" ht="15" customHeight="1" x14ac:dyDescent="0.25">
      <c r="A87" s="40"/>
      <c r="B87" s="43" t="str">
        <f>IF($A87="","",IFERROR(VLOOKUP($AC87,'PRODUCT DATA'!$NR$2:$NS$374,2,FALSE()),"UNKNOWN ITEM CODE - please check"))</f>
        <v/>
      </c>
      <c r="C87" s="39">
        <v>1</v>
      </c>
      <c r="D87" s="39"/>
      <c r="E87" s="40"/>
      <c r="F87" s="41"/>
      <c r="G87" s="39"/>
      <c r="H87" s="41"/>
      <c r="I87" s="41"/>
      <c r="J87" s="39"/>
      <c r="K87" s="41"/>
      <c r="L87" s="40"/>
      <c r="M87" s="40"/>
      <c r="N87" s="42" t="str">
        <f>IF($M87="","",IFERROR(INDEX('PRODUCT DATA'!$B$2:$B$58,MATCH(IF(UPPER($M87)="UK","GB",$M87),'PRODUCT DATA'!$B$2:$B$58,0)),IFERROR(INDEX('PRODUCT DATA'!$B$2:$B$58,MATCH(IF(UPPER($M87)="UK","GB",$M87),'PRODUCT DATA'!$A$2:$A$58,0)),"UNKNOWN COUNTRY - please check")))</f>
        <v/>
      </c>
      <c r="O87" s="41"/>
      <c r="P87" s="41"/>
      <c r="Q87" s="41"/>
      <c r="R87" s="41"/>
      <c r="S87" s="41"/>
      <c r="T87" s="41"/>
      <c r="U87" s="41"/>
      <c r="V87" s="43" t="str">
        <f t="shared" si="4"/>
        <v/>
      </c>
      <c r="W87" s="44" t="str">
        <f ca="1">IF(COUNTA($A87,$D87:$M87,$O87:$U87)=0,"",IF($A87="","Item Code; ","")&amp;IF(AND($A87&lt;&gt;"",ISNA(MATCH($AC87,'PRODUCT DATA'!$D$2:$D$394,0))),"Item Code; ","")&amp;IF($M87="","Country; ","")&amp;IF(AND($M87&lt;&gt;"",NOT(OR(NOT(ISNA(MATCH(IF(UPPER($M87)="UK","GB",$M87),'PRODUCT DATA'!$A$2:$A$58,0))),NOT(ISNA(MATCH(IF(UPPER($M87)="UK","GB",$M87),'PRODUCT DATA'!$B$2:$B$58,0)))))),"Country; ","")&amp;IF(AND($A87&lt;&gt;"",$M87&lt;&gt;"",NOT(ISNA(MATCH($AC87,'PRODUCT DATA'!$D$2:$D$394,0))),OR(NOT(ISNA(MATCH(IF(UPPER($M87)="UK","GB",$M87),'PRODUCT DATA'!$A$2:$A$58,0))),NOT(ISNA(MATCH(IF(UPPER($M87)="UK","GB",$M87),'PRODUCT DATA'!$B$2:$B$58,0)))),NOT(IFERROR(COUNTIF(OFFSET('PRODUCT DATA'!$F$2,0,MATCH($AC87,'PRODUCT DATA'!$F$1:$NN$1,0)-1,114,1),$N87)&gt;0,FALSE()))),IF(UPPER(IFERROR(OFFSET('PRODUCT DATA'!$C$2,MATCH($N87,'PRODUCT DATA'!$B$2:$B$58,0)-1,0),""))="NO","Alcohol Restriction; ","Item Code / Country combination; "),"")&amp;IF($C87="","Quantity; ","")&amp;IF(AND($C87&lt;&gt;"",OR(NOT(ISNUMBER($C87)),$C87&lt;1,$C87&gt;999,MOD($C87,1)&lt;&gt;0)),"Quantity; ","")&amp;IF($D87="","Recipient Name; ","")&amp;IF(LEN($D87)&gt;35,"Recipient Name; ","")&amp;IF($E87="","Recipient Phone; ","")&amp;IF(AND($E87&lt;&gt;"",OR(LEN($E87)&lt;6,LEN($E87)&gt;20,NOT(IFERROR(ISNUMBER(1*$E87),FALSE())))),"Recipient Phone; ","")&amp;IF(LEN($F87)&gt;35,"Recipient Company Name; ","")&amp;IF($G87="","Address Line 1; ","")&amp;IF(LEN($G87)&gt;35,"Address Line 1; ","")&amp;IF(LEN($H87)&gt;35,"Address Line 2; ","")&amp;IF(LEN($I87)&gt;35,"Address Line 3; ","")&amp;IF($J87="","Town; ","")&amp;IF(LEN($J87)&gt;35,"Town; ","")&amp;IF(AND($N87="IE",$K87=""),"County; ","")&amp;IF(LEN($AB87)&gt;35,"County; ","")&amp;IF(AND($L87="",AND($N87&lt;&gt;"AE",$N87&lt;&gt;"QA")),"Postcode; ","")&amp;IF(LEN($L87)&gt;35,"Postcode; ","")&amp;IF($AE87&lt;&gt;"","Postcode; ","")&amp;IF(LEN($O87)&gt;40,"Gift Message 1; ","")&amp;IF(LEN($P87)&gt;40,"Gift Message 2; ","")&amp;IF(LEN($Q87)&gt;40,"Gift Message 3; ","")&amp;IF(LEN($R87)&gt;40,"Gift Message 4; ","")&amp;IF(LEN($S87)&gt;40,"Gift Message 5; ","")&amp;IF(LEN($T87)&gt;40,"Gift Message 6; ","")&amp;IF(LEN($U87)&gt;40,"Gift Message 7; ",""))</f>
        <v/>
      </c>
      <c r="X87" s="44" t="str">
        <f ca="1">IF(COUNTA($A87,$D87:$M87,$O87:$U87)=0,"",IF($A87="","Enter the Item Code (hamper) - type it, paste it, or choose it from the dropdown. ","")&amp;IF(AND($A87&lt;&gt;"",ISNA(MATCH($AC87,'PRODUCT DATA'!$D$2:$D$394,0))),"This Item Code is not recognised. Check the code (case does not matter, but spelling and digits must match exactly) or choose it from the dropdown. ","")&amp;IF($M87="","Enter the Country after the Item Code - type or paste the name or the 2-letter code, or choose it from the dropdown. ","")&amp;IF(AND($M87&lt;&gt;"",NOT(OR(NOT(ISNA(MATCH(IF(UPPER($M87)="UK","GB",$M87),'PRODUCT DATA'!$A$2:$A$58,0))),NOT(ISNA(MATCH(IF(UPPER($M87)="UK","GB",$M87),'PRODUCT DATA'!$B$2:$B$58,0)))))),"This Country is not recognised as either a full name or a 2-letter code. Check the spelling (case does not matter) or choose it from the dropdown. ","")&amp;IF(AND($A87&lt;&gt;"",$M87&lt;&gt;"",NOT(ISNA(MATCH($AC87,'PRODUCT DATA'!$D$2:$D$394,0))),OR(NOT(ISNA(MATCH(IF(UPPER($M87)="UK","GB",$M87),'PRODUCT DATA'!$A$2:$A$58,0))),NOT(ISNA(MATCH(IF(UPPER($M87)="UK","GB",$M87),'PRODUCT DATA'!$B$2:$B$58,0)))),NOT(IFERROR(COUNTIF(OFFSET('PRODUCT DATA'!$F$2,0,MATCH($AC87,'PRODUCT DATA'!$F$1:$NN$1,0)-1,114,1),$N87)&gt;0,FALSE()))),IF(UPPER(IFERROR(OFFSET('PRODUCT DATA'!$C$2,MATCH($N87,'PRODUCT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"),"")&amp;IF($C87="","Enter Quantity. ","")&amp;IF(AND($C87&lt;&gt;"",OR(NOT(ISNUMBER($C87)),$C87&lt;1,$C87&gt;999,MOD($C87,1)&lt;&gt;0)),"Quantity must be a whole number from 1 to 999 (use a quantity above 1 only for a genuine bulk order of identical items to ONE address — otherwise use a separate row per recipient). ","")&amp;IF($D87="","Enter Recipient Name. ","")&amp;IF(LEN($D87)&gt;35,"Recipient Name exceeds 35 characters. ","")&amp;IF($E87="","Enter Recipient Phone. ","")&amp;IF(AND($E87&lt;&gt;"",OR(LEN($E87)&lt;6,LEN($E87)&gt;20,NOT(IFERROR(ISNUMBER(1*$E87),FALSE())))),"Phone must be the LOCAL number for the destination country: digits only, no +, spaces, or country code, 6 to 20 digits. ","")&amp;IF(LEN($F87)&gt;35,"Recipient Company Name exceeds 35 characters. ","")&amp;IF($G87="","Enter Address Line 1. ","")&amp;IF(LEN($G87)&gt;35,"Address Line 1 exceeds the 35-character SAP limit. ","")&amp;IF(LEN($H87)&gt;35,"Address Line 2 exceeds the 35-character SAP limit. ","")&amp;IF(LEN($I87)&gt;35,"Address Line 3 exceeds the 35-character SAP limit. ","")&amp;IF($J87="","Enter Town. This must never be left blank, even if there is no conventional town name. ","")&amp;IF(LEN($J87)&gt;35,"Town exceeds 35 characters. ","")&amp;IF(AND($N87="IE",$K87=""),"County is required for deliveries within the Republic of Ireland. ","")&amp;IF(LEN($AB87)&gt;35,"County exceeds 35 characters. ","")&amp;IF(AND($L87="",AND($N87&lt;&gt;"AE",$N87&lt;&gt;"QA")),"Postcode is required for the selected country. If there is genuinely no postcode, enter the first 3 characters of the area (e.g. D15). ","")&amp;IF(LEN($L87)&gt;35,"Postcode exceeds 35 characters. ","")&amp;IF($AE87&lt;&gt;"",$AE87,"")&amp;IF(LEN($O87)&gt;40,"Gift Message Line 1 exceeds 40 characters. ","")&amp;IF(LEN($P87)&gt;40,"Gift Message Line 2 exceeds 40 characters. ","")&amp;IF(LEN($Q87)&gt;40,"Gift Message Line 3 exceeds 40 characters. ","")&amp;IF(LEN($R87)&gt;40,"Gift Message Line 4 exceeds 40 characters. ","")&amp;IF(LEN($S87)&gt;40,"Gift Message Line 5 exceeds 40 characters. ","")&amp;IF(LEN($T87)&gt;40,"Gift Message Line 6 exceeds 40 characters. ","")&amp;IF(LEN($U87)&gt;40,"Gift Message Line 7 exceeds 40 characters. ",""))</f>
        <v/>
      </c>
      <c r="Y87" s="44" t="str">
        <f t="shared" si="5"/>
        <v/>
      </c>
      <c r="Z87" s="44"/>
      <c r="AA87" s="44"/>
      <c r="AB87" s="32" t="str">
        <f t="shared" si="6"/>
        <v/>
      </c>
      <c r="AC87" s="32" t="str">
        <f>IF($A87="","",IFERROR(LEFT(INDEX('PRODUCT DATA'!$NO$2:$NO$25,MATCH($A87,'PRODUCT DATA'!$NP$2:$NP$25,0)),FIND("|",INDEX('PRODUCT DATA'!$NO$2:$NO$25,MATCH($A87,'PRODUCT DATA'!$NP$2:$NP$25,0)))-1),$A87))</f>
        <v/>
      </c>
      <c r="AD87" s="45"/>
      <c r="AE87" s="45" t="str">
        <f t="shared" si="7"/>
        <v/>
      </c>
    </row>
    <row r="88" spans="1:31" ht="15" customHeight="1" x14ac:dyDescent="0.25">
      <c r="A88" s="40"/>
      <c r="B88" s="43" t="str">
        <f>IF($A88="","",IFERROR(VLOOKUP($AC88,'PRODUCT DATA'!$NR$2:$NS$374,2,FALSE()),"UNKNOWN ITEM CODE - please check"))</f>
        <v/>
      </c>
      <c r="C88" s="39">
        <v>1</v>
      </c>
      <c r="D88" s="39"/>
      <c r="E88" s="40"/>
      <c r="F88" s="41"/>
      <c r="G88" s="39"/>
      <c r="H88" s="41"/>
      <c r="I88" s="41"/>
      <c r="J88" s="39"/>
      <c r="K88" s="41"/>
      <c r="L88" s="40"/>
      <c r="M88" s="40"/>
      <c r="N88" s="42" t="str">
        <f>IF($M88="","",IFERROR(INDEX('PRODUCT DATA'!$B$2:$B$58,MATCH(IF(UPPER($M88)="UK","GB",$M88),'PRODUCT DATA'!$B$2:$B$58,0)),IFERROR(INDEX('PRODUCT DATA'!$B$2:$B$58,MATCH(IF(UPPER($M88)="UK","GB",$M88),'PRODUCT DATA'!$A$2:$A$58,0)),"UNKNOWN COUNTRY - please check")))</f>
        <v/>
      </c>
      <c r="O88" s="41"/>
      <c r="P88" s="41"/>
      <c r="Q88" s="41"/>
      <c r="R88" s="41"/>
      <c r="S88" s="41"/>
      <c r="T88" s="41"/>
      <c r="U88" s="41"/>
      <c r="V88" s="43" t="str">
        <f t="shared" si="4"/>
        <v/>
      </c>
      <c r="W88" s="44" t="str">
        <f ca="1">IF(COUNTA($A88,$D88:$M88,$O88:$U88)=0,"",IF($A88="","Item Code; ","")&amp;IF(AND($A88&lt;&gt;"",ISNA(MATCH($AC88,'PRODUCT DATA'!$D$2:$D$394,0))),"Item Code; ","")&amp;IF($M88="","Country; ","")&amp;IF(AND($M88&lt;&gt;"",NOT(OR(NOT(ISNA(MATCH(IF(UPPER($M88)="UK","GB",$M88),'PRODUCT DATA'!$A$2:$A$58,0))),NOT(ISNA(MATCH(IF(UPPER($M88)="UK","GB",$M88),'PRODUCT DATA'!$B$2:$B$58,0)))))),"Country; ","")&amp;IF(AND($A88&lt;&gt;"",$M88&lt;&gt;"",NOT(ISNA(MATCH($AC88,'PRODUCT DATA'!$D$2:$D$394,0))),OR(NOT(ISNA(MATCH(IF(UPPER($M88)="UK","GB",$M88),'PRODUCT DATA'!$A$2:$A$58,0))),NOT(ISNA(MATCH(IF(UPPER($M88)="UK","GB",$M88),'PRODUCT DATA'!$B$2:$B$58,0)))),NOT(IFERROR(COUNTIF(OFFSET('PRODUCT DATA'!$F$2,0,MATCH($AC88,'PRODUCT DATA'!$F$1:$NN$1,0)-1,114,1),$N88)&gt;0,FALSE()))),IF(UPPER(IFERROR(OFFSET('PRODUCT DATA'!$C$2,MATCH($N88,'PRODUCT DATA'!$B$2:$B$58,0)-1,0),""))="NO","Alcohol Restriction; ","Item Code / Country combination; "),"")&amp;IF($C88="","Quantity; ","")&amp;IF(AND($C88&lt;&gt;"",OR(NOT(ISNUMBER($C88)),$C88&lt;1,$C88&gt;999,MOD($C88,1)&lt;&gt;0)),"Quantity; ","")&amp;IF($D88="","Recipient Name; ","")&amp;IF(LEN($D88)&gt;35,"Recipient Name; ","")&amp;IF($E88="","Recipient Phone; ","")&amp;IF(AND($E88&lt;&gt;"",OR(LEN($E88)&lt;6,LEN($E88)&gt;20,NOT(IFERROR(ISNUMBER(1*$E88),FALSE())))),"Recipient Phone; ","")&amp;IF(LEN($F88)&gt;35,"Recipient Company Name; ","")&amp;IF($G88="","Address Line 1; ","")&amp;IF(LEN($G88)&gt;35,"Address Line 1; ","")&amp;IF(LEN($H88)&gt;35,"Address Line 2; ","")&amp;IF(LEN($I88)&gt;35,"Address Line 3; ","")&amp;IF($J88="","Town; ","")&amp;IF(LEN($J88)&gt;35,"Town; ","")&amp;IF(AND($N88="IE",$K88=""),"County; ","")&amp;IF(LEN($AB88)&gt;35,"County; ","")&amp;IF(AND($L88="",AND($N88&lt;&gt;"AE",$N88&lt;&gt;"QA")),"Postcode; ","")&amp;IF(LEN($L88)&gt;35,"Postcode; ","")&amp;IF($AE88&lt;&gt;"","Postcode; ","")&amp;IF(LEN($O88)&gt;40,"Gift Message 1; ","")&amp;IF(LEN($P88)&gt;40,"Gift Message 2; ","")&amp;IF(LEN($Q88)&gt;40,"Gift Message 3; ","")&amp;IF(LEN($R88)&gt;40,"Gift Message 4; ","")&amp;IF(LEN($S88)&gt;40,"Gift Message 5; ","")&amp;IF(LEN($T88)&gt;40,"Gift Message 6; ","")&amp;IF(LEN($U88)&gt;40,"Gift Message 7; ",""))</f>
        <v/>
      </c>
      <c r="X88" s="44" t="str">
        <f ca="1">IF(COUNTA($A88,$D88:$M88,$O88:$U88)=0,"",IF($A88="","Enter the Item Code (hamper) - type it, paste it, or choose it from the dropdown. ","")&amp;IF(AND($A88&lt;&gt;"",ISNA(MATCH($AC88,'PRODUCT DATA'!$D$2:$D$394,0))),"This Item Code is not recognised. Check the code (case does not matter, but spelling and digits must match exactly) or choose it from the dropdown. ","")&amp;IF($M88="","Enter the Country after the Item Code - type or paste the name or the 2-letter code, or choose it from the dropdown. ","")&amp;IF(AND($M88&lt;&gt;"",NOT(OR(NOT(ISNA(MATCH(IF(UPPER($M88)="UK","GB",$M88),'PRODUCT DATA'!$A$2:$A$58,0))),NOT(ISNA(MATCH(IF(UPPER($M88)="UK","GB",$M88),'PRODUCT DATA'!$B$2:$B$58,0)))))),"This Country is not recognised as either a full name or a 2-letter code. Check the spelling (case does not matter) or choose it from the dropdown. ","")&amp;IF(AND($A88&lt;&gt;"",$M88&lt;&gt;"",NOT(ISNA(MATCH($AC88,'PRODUCT DATA'!$D$2:$D$394,0))),OR(NOT(ISNA(MATCH(IF(UPPER($M88)="UK","GB",$M88),'PRODUCT DATA'!$A$2:$A$58,0))),NOT(ISNA(MATCH(IF(UPPER($M88)="UK","GB",$M88),'PRODUCT DATA'!$B$2:$B$58,0)))),NOT(IFERROR(COUNTIF(OFFSET('PRODUCT DATA'!$F$2,0,MATCH($AC88,'PRODUCT DATA'!$F$1:$NN$1,0)-1,114,1),$N88)&gt;0,FALSE()))),IF(UPPER(IFERROR(OFFSET('PRODUCT DATA'!$C$2,MATCH($N88,'PRODUCT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"),"")&amp;IF($C88="","Enter Quantity. ","")&amp;IF(AND($C88&lt;&gt;"",OR(NOT(ISNUMBER($C88)),$C88&lt;1,$C88&gt;999,MOD($C88,1)&lt;&gt;0)),"Quantity must be a whole number from 1 to 999 (use a quantity above 1 only for a genuine bulk order of identical items to ONE address — otherwise use a separate row per recipient). ","")&amp;IF($D88="","Enter Recipient Name. ","")&amp;IF(LEN($D88)&gt;35,"Recipient Name exceeds 35 characters. ","")&amp;IF($E88="","Enter Recipient Phone. ","")&amp;IF(AND($E88&lt;&gt;"",OR(LEN($E88)&lt;6,LEN($E88)&gt;20,NOT(IFERROR(ISNUMBER(1*$E88),FALSE())))),"Phone must be the LOCAL number for the destination country: digits only, no +, spaces, or country code, 6 to 20 digits. ","")&amp;IF(LEN($F88)&gt;35,"Recipient Company Name exceeds 35 characters. ","")&amp;IF($G88="","Enter Address Line 1. ","")&amp;IF(LEN($G88)&gt;35,"Address Line 1 exceeds the 35-character SAP limit. ","")&amp;IF(LEN($H88)&gt;35,"Address Line 2 exceeds the 35-character SAP limit. ","")&amp;IF(LEN($I88)&gt;35,"Address Line 3 exceeds the 35-character SAP limit. ","")&amp;IF($J88="","Enter Town. This must never be left blank, even if there is no conventional town name. ","")&amp;IF(LEN($J88)&gt;35,"Town exceeds 35 characters. ","")&amp;IF(AND($N88="IE",$K88=""),"County is required for deliveries within the Republic of Ireland. ","")&amp;IF(LEN($AB88)&gt;35,"County exceeds 35 characters. ","")&amp;IF(AND($L88="",AND($N88&lt;&gt;"AE",$N88&lt;&gt;"QA")),"Postcode is required for the selected country. If there is genuinely no postcode, enter the first 3 characters of the area (e.g. D15). ","")&amp;IF(LEN($L88)&gt;35,"Postcode exceeds 35 characters. ","")&amp;IF($AE88&lt;&gt;"",$AE88,"")&amp;IF(LEN($O88)&gt;40,"Gift Message Line 1 exceeds 40 characters. ","")&amp;IF(LEN($P88)&gt;40,"Gift Message Line 2 exceeds 40 characters. ","")&amp;IF(LEN($Q88)&gt;40,"Gift Message Line 3 exceeds 40 characters. ","")&amp;IF(LEN($R88)&gt;40,"Gift Message Line 4 exceeds 40 characters. ","")&amp;IF(LEN($S88)&gt;40,"Gift Message Line 5 exceeds 40 characters. ","")&amp;IF(LEN($T88)&gt;40,"Gift Message Line 6 exceeds 40 characters. ","")&amp;IF(LEN($U88)&gt;40,"Gift Message Line 7 exceeds 40 characters. ",""))</f>
        <v/>
      </c>
      <c r="Y88" s="44" t="str">
        <f t="shared" si="5"/>
        <v/>
      </c>
      <c r="Z88" s="44"/>
      <c r="AA88" s="44"/>
      <c r="AB88" s="32" t="str">
        <f t="shared" si="6"/>
        <v/>
      </c>
      <c r="AC88" s="32" t="str">
        <f>IF($A88="","",IFERROR(LEFT(INDEX('PRODUCT DATA'!$NO$2:$NO$25,MATCH($A88,'PRODUCT DATA'!$NP$2:$NP$25,0)),FIND("|",INDEX('PRODUCT DATA'!$NO$2:$NO$25,MATCH($A88,'PRODUCT DATA'!$NP$2:$NP$25,0)))-1),$A88))</f>
        <v/>
      </c>
      <c r="AD88" s="45"/>
      <c r="AE88" s="45" t="str">
        <f t="shared" si="7"/>
        <v/>
      </c>
    </row>
    <row r="89" spans="1:31" ht="15" customHeight="1" x14ac:dyDescent="0.25">
      <c r="A89" s="40"/>
      <c r="B89" s="43" t="str">
        <f>IF($A89="","",IFERROR(VLOOKUP($AC89,'PRODUCT DATA'!$NR$2:$NS$374,2,FALSE()),"UNKNOWN ITEM CODE - please check"))</f>
        <v/>
      </c>
      <c r="C89" s="39">
        <v>1</v>
      </c>
      <c r="D89" s="39"/>
      <c r="E89" s="40"/>
      <c r="F89" s="41"/>
      <c r="G89" s="39"/>
      <c r="H89" s="41"/>
      <c r="I89" s="41"/>
      <c r="J89" s="39"/>
      <c r="K89" s="41"/>
      <c r="L89" s="40"/>
      <c r="M89" s="40"/>
      <c r="N89" s="42" t="str">
        <f>IF($M89="","",IFERROR(INDEX('PRODUCT DATA'!$B$2:$B$58,MATCH(IF(UPPER($M89)="UK","GB",$M89),'PRODUCT DATA'!$B$2:$B$58,0)),IFERROR(INDEX('PRODUCT DATA'!$B$2:$B$58,MATCH(IF(UPPER($M89)="UK","GB",$M89),'PRODUCT DATA'!$A$2:$A$58,0)),"UNKNOWN COUNTRY - please check")))</f>
        <v/>
      </c>
      <c r="O89" s="41"/>
      <c r="P89" s="41"/>
      <c r="Q89" s="41"/>
      <c r="R89" s="41"/>
      <c r="S89" s="41"/>
      <c r="T89" s="41"/>
      <c r="U89" s="41"/>
      <c r="V89" s="43" t="str">
        <f t="shared" si="4"/>
        <v/>
      </c>
      <c r="W89" s="44" t="str">
        <f ca="1">IF(COUNTA($A89,$D89:$M89,$O89:$U89)=0,"",IF($A89="","Item Code; ","")&amp;IF(AND($A89&lt;&gt;"",ISNA(MATCH($AC89,'PRODUCT DATA'!$D$2:$D$394,0))),"Item Code; ","")&amp;IF($M89="","Country; ","")&amp;IF(AND($M89&lt;&gt;"",NOT(OR(NOT(ISNA(MATCH(IF(UPPER($M89)="UK","GB",$M89),'PRODUCT DATA'!$A$2:$A$58,0))),NOT(ISNA(MATCH(IF(UPPER($M89)="UK","GB",$M89),'PRODUCT DATA'!$B$2:$B$58,0)))))),"Country; ","")&amp;IF(AND($A89&lt;&gt;"",$M89&lt;&gt;"",NOT(ISNA(MATCH($AC89,'PRODUCT DATA'!$D$2:$D$394,0))),OR(NOT(ISNA(MATCH(IF(UPPER($M89)="UK","GB",$M89),'PRODUCT DATA'!$A$2:$A$58,0))),NOT(ISNA(MATCH(IF(UPPER($M89)="UK","GB",$M89),'PRODUCT DATA'!$B$2:$B$58,0)))),NOT(IFERROR(COUNTIF(OFFSET('PRODUCT DATA'!$F$2,0,MATCH($AC89,'PRODUCT DATA'!$F$1:$NN$1,0)-1,114,1),$N89)&gt;0,FALSE()))),IF(UPPER(IFERROR(OFFSET('PRODUCT DATA'!$C$2,MATCH($N89,'PRODUCT DATA'!$B$2:$B$58,0)-1,0),""))="NO","Alcohol Restriction; ","Item Code / Country combination; "),"")&amp;IF($C89="","Quantity; ","")&amp;IF(AND($C89&lt;&gt;"",OR(NOT(ISNUMBER($C89)),$C89&lt;1,$C89&gt;999,MOD($C89,1)&lt;&gt;0)),"Quantity; ","")&amp;IF($D89="","Recipient Name; ","")&amp;IF(LEN($D89)&gt;35,"Recipient Name; ","")&amp;IF($E89="","Recipient Phone; ","")&amp;IF(AND($E89&lt;&gt;"",OR(LEN($E89)&lt;6,LEN($E89)&gt;20,NOT(IFERROR(ISNUMBER(1*$E89),FALSE())))),"Recipient Phone; ","")&amp;IF(LEN($F89)&gt;35,"Recipient Company Name; ","")&amp;IF($G89="","Address Line 1; ","")&amp;IF(LEN($G89)&gt;35,"Address Line 1; ","")&amp;IF(LEN($H89)&gt;35,"Address Line 2; ","")&amp;IF(LEN($I89)&gt;35,"Address Line 3; ","")&amp;IF($J89="","Town; ","")&amp;IF(LEN($J89)&gt;35,"Town; ","")&amp;IF(AND($N89="IE",$K89=""),"County; ","")&amp;IF(LEN($AB89)&gt;35,"County; ","")&amp;IF(AND($L89="",AND($N89&lt;&gt;"AE",$N89&lt;&gt;"QA")),"Postcode; ","")&amp;IF(LEN($L89)&gt;35,"Postcode; ","")&amp;IF($AE89&lt;&gt;"","Postcode; ","")&amp;IF(LEN($O89)&gt;40,"Gift Message 1; ","")&amp;IF(LEN($P89)&gt;40,"Gift Message 2; ","")&amp;IF(LEN($Q89)&gt;40,"Gift Message 3; ","")&amp;IF(LEN($R89)&gt;40,"Gift Message 4; ","")&amp;IF(LEN($S89)&gt;40,"Gift Message 5; ","")&amp;IF(LEN($T89)&gt;40,"Gift Message 6; ","")&amp;IF(LEN($U89)&gt;40,"Gift Message 7; ",""))</f>
        <v/>
      </c>
      <c r="X89" s="44" t="str">
        <f ca="1">IF(COUNTA($A89,$D89:$M89,$O89:$U89)=0,"",IF($A89="","Enter the Item Code (hamper) - type it, paste it, or choose it from the dropdown. ","")&amp;IF(AND($A89&lt;&gt;"",ISNA(MATCH($AC89,'PRODUCT DATA'!$D$2:$D$394,0))),"This Item Code is not recognised. Check the code (case does not matter, but spelling and digits must match exactly) or choose it from the dropdown. ","")&amp;IF($M89="","Enter the Country after the Item Code - type or paste the name or the 2-letter code, or choose it from the dropdown. ","")&amp;IF(AND($M89&lt;&gt;"",NOT(OR(NOT(ISNA(MATCH(IF(UPPER($M89)="UK","GB",$M89),'PRODUCT DATA'!$A$2:$A$58,0))),NOT(ISNA(MATCH(IF(UPPER($M89)="UK","GB",$M89),'PRODUCT DATA'!$B$2:$B$58,0)))))),"This Country is not recognised as either a full name or a 2-letter code. Check the spelling (case does not matter) or choose it from the dropdown. ","")&amp;IF(AND($A89&lt;&gt;"",$M89&lt;&gt;"",NOT(ISNA(MATCH($AC89,'PRODUCT DATA'!$D$2:$D$394,0))),OR(NOT(ISNA(MATCH(IF(UPPER($M89)="UK","GB",$M89),'PRODUCT DATA'!$A$2:$A$58,0))),NOT(ISNA(MATCH(IF(UPPER($M89)="UK","GB",$M89),'PRODUCT DATA'!$B$2:$B$58,0)))),NOT(IFERROR(COUNTIF(OFFSET('PRODUCT DATA'!$F$2,0,MATCH($AC89,'PRODUCT DATA'!$F$1:$NN$1,0)-1,114,1),$N89)&gt;0,FALSE()))),IF(UPPER(IFERROR(OFFSET('PRODUCT DATA'!$C$2,MATCH($N89,'PRODUCT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"),"")&amp;IF($C89="","Enter Quantity. ","")&amp;IF(AND($C89&lt;&gt;"",OR(NOT(ISNUMBER($C89)),$C89&lt;1,$C89&gt;999,MOD($C89,1)&lt;&gt;0)),"Quantity must be a whole number from 1 to 999 (use a quantity above 1 only for a genuine bulk order of identical items to ONE address — otherwise use a separate row per recipient). ","")&amp;IF($D89="","Enter Recipient Name. ","")&amp;IF(LEN($D89)&gt;35,"Recipient Name exceeds 35 characters. ","")&amp;IF($E89="","Enter Recipient Phone. ","")&amp;IF(AND($E89&lt;&gt;"",OR(LEN($E89)&lt;6,LEN($E89)&gt;20,NOT(IFERROR(ISNUMBER(1*$E89),FALSE())))),"Phone must be the LOCAL number for the destination country: digits only, no +, spaces, or country code, 6 to 20 digits. ","")&amp;IF(LEN($F89)&gt;35,"Recipient Company Name exceeds 35 characters. ","")&amp;IF($G89="","Enter Address Line 1. ","")&amp;IF(LEN($G89)&gt;35,"Address Line 1 exceeds the 35-character SAP limit. ","")&amp;IF(LEN($H89)&gt;35,"Address Line 2 exceeds the 35-character SAP limit. ","")&amp;IF(LEN($I89)&gt;35,"Address Line 3 exceeds the 35-character SAP limit. ","")&amp;IF($J89="","Enter Town. This must never be left blank, even if there is no conventional town name. ","")&amp;IF(LEN($J89)&gt;35,"Town exceeds 35 characters. ","")&amp;IF(AND($N89="IE",$K89=""),"County is required for deliveries within the Republic of Ireland. ","")&amp;IF(LEN($AB89)&gt;35,"County exceeds 35 characters. ","")&amp;IF(AND($L89="",AND($N89&lt;&gt;"AE",$N89&lt;&gt;"QA")),"Postcode is required for the selected country. If there is genuinely no postcode, enter the first 3 characters of the area (e.g. D15). ","")&amp;IF(LEN($L89)&gt;35,"Postcode exceeds 35 characters. ","")&amp;IF($AE89&lt;&gt;"",$AE89,"")&amp;IF(LEN($O89)&gt;40,"Gift Message Line 1 exceeds 40 characters. ","")&amp;IF(LEN($P89)&gt;40,"Gift Message Line 2 exceeds 40 characters. ","")&amp;IF(LEN($Q89)&gt;40,"Gift Message Line 3 exceeds 40 characters. ","")&amp;IF(LEN($R89)&gt;40,"Gift Message Line 4 exceeds 40 characters. ","")&amp;IF(LEN($S89)&gt;40,"Gift Message Line 5 exceeds 40 characters. ","")&amp;IF(LEN($T89)&gt;40,"Gift Message Line 6 exceeds 40 characters. ","")&amp;IF(LEN($U89)&gt;40,"Gift Message Line 7 exceeds 40 characters. ",""))</f>
        <v/>
      </c>
      <c r="Y89" s="44" t="str">
        <f t="shared" si="5"/>
        <v/>
      </c>
      <c r="Z89" s="44"/>
      <c r="AA89" s="44"/>
      <c r="AB89" s="32" t="str">
        <f t="shared" si="6"/>
        <v/>
      </c>
      <c r="AC89" s="32" t="str">
        <f>IF($A89="","",IFERROR(LEFT(INDEX('PRODUCT DATA'!$NO$2:$NO$25,MATCH($A89,'PRODUCT DATA'!$NP$2:$NP$25,0)),FIND("|",INDEX('PRODUCT DATA'!$NO$2:$NO$25,MATCH($A89,'PRODUCT DATA'!$NP$2:$NP$25,0)))-1),$A89))</f>
        <v/>
      </c>
      <c r="AD89" s="45"/>
      <c r="AE89" s="45" t="str">
        <f t="shared" si="7"/>
        <v/>
      </c>
    </row>
    <row r="90" spans="1:31" ht="15" customHeight="1" x14ac:dyDescent="0.25">
      <c r="A90" s="40"/>
      <c r="B90" s="43" t="str">
        <f>IF($A90="","",IFERROR(VLOOKUP($AC90,'PRODUCT DATA'!$NR$2:$NS$374,2,FALSE()),"UNKNOWN ITEM CODE - please check"))</f>
        <v/>
      </c>
      <c r="C90" s="39">
        <v>1</v>
      </c>
      <c r="D90" s="39"/>
      <c r="E90" s="40"/>
      <c r="F90" s="41"/>
      <c r="G90" s="39"/>
      <c r="H90" s="41"/>
      <c r="I90" s="41"/>
      <c r="J90" s="39"/>
      <c r="K90" s="41"/>
      <c r="L90" s="40"/>
      <c r="M90" s="40"/>
      <c r="N90" s="42" t="str">
        <f>IF($M90="","",IFERROR(INDEX('PRODUCT DATA'!$B$2:$B$58,MATCH(IF(UPPER($M90)="UK","GB",$M90),'PRODUCT DATA'!$B$2:$B$58,0)),IFERROR(INDEX('PRODUCT DATA'!$B$2:$B$58,MATCH(IF(UPPER($M90)="UK","GB",$M90),'PRODUCT DATA'!$A$2:$A$58,0)),"UNKNOWN COUNTRY - please check")))</f>
        <v/>
      </c>
      <c r="O90" s="41"/>
      <c r="P90" s="41"/>
      <c r="Q90" s="41"/>
      <c r="R90" s="41"/>
      <c r="S90" s="41"/>
      <c r="T90" s="41"/>
      <c r="U90" s="41"/>
      <c r="V90" s="43" t="str">
        <f t="shared" si="4"/>
        <v/>
      </c>
      <c r="W90" s="44" t="str">
        <f ca="1">IF(COUNTA($A90,$D90:$M90,$O90:$U90)=0,"",IF($A90="","Item Code; ","")&amp;IF(AND($A90&lt;&gt;"",ISNA(MATCH($AC90,'PRODUCT DATA'!$D$2:$D$394,0))),"Item Code; ","")&amp;IF($M90="","Country; ","")&amp;IF(AND($M90&lt;&gt;"",NOT(OR(NOT(ISNA(MATCH(IF(UPPER($M90)="UK","GB",$M90),'PRODUCT DATA'!$A$2:$A$58,0))),NOT(ISNA(MATCH(IF(UPPER($M90)="UK","GB",$M90),'PRODUCT DATA'!$B$2:$B$58,0)))))),"Country; ","")&amp;IF(AND($A90&lt;&gt;"",$M90&lt;&gt;"",NOT(ISNA(MATCH($AC90,'PRODUCT DATA'!$D$2:$D$394,0))),OR(NOT(ISNA(MATCH(IF(UPPER($M90)="UK","GB",$M90),'PRODUCT DATA'!$A$2:$A$58,0))),NOT(ISNA(MATCH(IF(UPPER($M90)="UK","GB",$M90),'PRODUCT DATA'!$B$2:$B$58,0)))),NOT(IFERROR(COUNTIF(OFFSET('PRODUCT DATA'!$F$2,0,MATCH($AC90,'PRODUCT DATA'!$F$1:$NN$1,0)-1,114,1),$N90)&gt;0,FALSE()))),IF(UPPER(IFERROR(OFFSET('PRODUCT DATA'!$C$2,MATCH($N90,'PRODUCT DATA'!$B$2:$B$58,0)-1,0),""))="NO","Alcohol Restriction; ","Item Code / Country combination; "),"")&amp;IF($C90="","Quantity; ","")&amp;IF(AND($C90&lt;&gt;"",OR(NOT(ISNUMBER($C90)),$C90&lt;1,$C90&gt;999,MOD($C90,1)&lt;&gt;0)),"Quantity; ","")&amp;IF($D90="","Recipient Name; ","")&amp;IF(LEN($D90)&gt;35,"Recipient Name; ","")&amp;IF($E90="","Recipient Phone; ","")&amp;IF(AND($E90&lt;&gt;"",OR(LEN($E90)&lt;6,LEN($E90)&gt;20,NOT(IFERROR(ISNUMBER(1*$E90),FALSE())))),"Recipient Phone; ","")&amp;IF(LEN($F90)&gt;35,"Recipient Company Name; ","")&amp;IF($G90="","Address Line 1; ","")&amp;IF(LEN($G90)&gt;35,"Address Line 1; ","")&amp;IF(LEN($H90)&gt;35,"Address Line 2; ","")&amp;IF(LEN($I90)&gt;35,"Address Line 3; ","")&amp;IF($J90="","Town; ","")&amp;IF(LEN($J90)&gt;35,"Town; ","")&amp;IF(AND($N90="IE",$K90=""),"County; ","")&amp;IF(LEN($AB90)&gt;35,"County; ","")&amp;IF(AND($L90="",AND($N90&lt;&gt;"AE",$N90&lt;&gt;"QA")),"Postcode; ","")&amp;IF(LEN($L90)&gt;35,"Postcode; ","")&amp;IF($AE90&lt;&gt;"","Postcode; ","")&amp;IF(LEN($O90)&gt;40,"Gift Message 1; ","")&amp;IF(LEN($P90)&gt;40,"Gift Message 2; ","")&amp;IF(LEN($Q90)&gt;40,"Gift Message 3; ","")&amp;IF(LEN($R90)&gt;40,"Gift Message 4; ","")&amp;IF(LEN($S90)&gt;40,"Gift Message 5; ","")&amp;IF(LEN($T90)&gt;40,"Gift Message 6; ","")&amp;IF(LEN($U90)&gt;40,"Gift Message 7; ",""))</f>
        <v/>
      </c>
      <c r="X90" s="44" t="str">
        <f ca="1">IF(COUNTA($A90,$D90:$M90,$O90:$U90)=0,"",IF($A90="","Enter the Item Code (hamper) - type it, paste it, or choose it from the dropdown. ","")&amp;IF(AND($A90&lt;&gt;"",ISNA(MATCH($AC90,'PRODUCT DATA'!$D$2:$D$394,0))),"This Item Code is not recognised. Check the code (case does not matter, but spelling and digits must match exactly) or choose it from the dropdown. ","")&amp;IF($M90="","Enter the Country after the Item Code - type or paste the name or the 2-letter code, or choose it from the dropdown. ","")&amp;IF(AND($M90&lt;&gt;"",NOT(OR(NOT(ISNA(MATCH(IF(UPPER($M90)="UK","GB",$M90),'PRODUCT DATA'!$A$2:$A$58,0))),NOT(ISNA(MATCH(IF(UPPER($M90)="UK","GB",$M90),'PRODUCT DATA'!$B$2:$B$58,0)))))),"This Country is not recognised as either a full name or a 2-letter code. Check the spelling (case does not matter) or choose it from the dropdown. ","")&amp;IF(AND($A90&lt;&gt;"",$M90&lt;&gt;"",NOT(ISNA(MATCH($AC90,'PRODUCT DATA'!$D$2:$D$394,0))),OR(NOT(ISNA(MATCH(IF(UPPER($M90)="UK","GB",$M90),'PRODUCT DATA'!$A$2:$A$58,0))),NOT(ISNA(MATCH(IF(UPPER($M90)="UK","GB",$M90),'PRODUCT DATA'!$B$2:$B$58,0)))),NOT(IFERROR(COUNTIF(OFFSET('PRODUCT DATA'!$F$2,0,MATCH($AC90,'PRODUCT DATA'!$F$1:$NN$1,0)-1,114,1),$N90)&gt;0,FALSE()))),IF(UPPER(IFERROR(OFFSET('PRODUCT DATA'!$C$2,MATCH($N90,'PRODUCT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"),"")&amp;IF($C90="","Enter Quantity. ","")&amp;IF(AND($C90&lt;&gt;"",OR(NOT(ISNUMBER($C90)),$C90&lt;1,$C90&gt;999,MOD($C90,1)&lt;&gt;0)),"Quantity must be a whole number from 1 to 999 (use a quantity above 1 only for a genuine bulk order of identical items to ONE address — otherwise use a separate row per recipient). ","")&amp;IF($D90="","Enter Recipient Name. ","")&amp;IF(LEN($D90)&gt;35,"Recipient Name exceeds 35 characters. ","")&amp;IF($E90="","Enter Recipient Phone. ","")&amp;IF(AND($E90&lt;&gt;"",OR(LEN($E90)&lt;6,LEN($E90)&gt;20,NOT(IFERROR(ISNUMBER(1*$E90),FALSE())))),"Phone must be the LOCAL number for the destination country: digits only, no +, spaces, or country code, 6 to 20 digits. ","")&amp;IF(LEN($F90)&gt;35,"Recipient Company Name exceeds 35 characters. ","")&amp;IF($G90="","Enter Address Line 1. ","")&amp;IF(LEN($G90)&gt;35,"Address Line 1 exceeds the 35-character SAP limit. ","")&amp;IF(LEN($H90)&gt;35,"Address Line 2 exceeds the 35-character SAP limit. ","")&amp;IF(LEN($I90)&gt;35,"Address Line 3 exceeds the 35-character SAP limit. ","")&amp;IF($J90="","Enter Town. This must never be left blank, even if there is no conventional town name. ","")&amp;IF(LEN($J90)&gt;35,"Town exceeds 35 characters. ","")&amp;IF(AND($N90="IE",$K90=""),"County is required for deliveries within the Republic of Ireland. ","")&amp;IF(LEN($AB90)&gt;35,"County exceeds 35 characters. ","")&amp;IF(AND($L90="",AND($N90&lt;&gt;"AE",$N90&lt;&gt;"QA")),"Postcode is required for the selected country. If there is genuinely no postcode, enter the first 3 characters of the area (e.g. D15). ","")&amp;IF(LEN($L90)&gt;35,"Postcode exceeds 35 characters. ","")&amp;IF($AE90&lt;&gt;"",$AE90,"")&amp;IF(LEN($O90)&gt;40,"Gift Message Line 1 exceeds 40 characters. ","")&amp;IF(LEN($P90)&gt;40,"Gift Message Line 2 exceeds 40 characters. ","")&amp;IF(LEN($Q90)&gt;40,"Gift Message Line 3 exceeds 40 characters. ","")&amp;IF(LEN($R90)&gt;40,"Gift Message Line 4 exceeds 40 characters. ","")&amp;IF(LEN($S90)&gt;40,"Gift Message Line 5 exceeds 40 characters. ","")&amp;IF(LEN($T90)&gt;40,"Gift Message Line 6 exceeds 40 characters. ","")&amp;IF(LEN($U90)&gt;40,"Gift Message Line 7 exceeds 40 characters. ",""))</f>
        <v/>
      </c>
      <c r="Y90" s="44" t="str">
        <f t="shared" si="5"/>
        <v/>
      </c>
      <c r="Z90" s="44"/>
      <c r="AA90" s="44"/>
      <c r="AB90" s="32" t="str">
        <f t="shared" si="6"/>
        <v/>
      </c>
      <c r="AC90" s="32" t="str">
        <f>IF($A90="","",IFERROR(LEFT(INDEX('PRODUCT DATA'!$NO$2:$NO$25,MATCH($A90,'PRODUCT DATA'!$NP$2:$NP$25,0)),FIND("|",INDEX('PRODUCT DATA'!$NO$2:$NO$25,MATCH($A90,'PRODUCT DATA'!$NP$2:$NP$25,0)))-1),$A90))</f>
        <v/>
      </c>
      <c r="AD90" s="45"/>
      <c r="AE90" s="45" t="str">
        <f t="shared" si="7"/>
        <v/>
      </c>
    </row>
    <row r="91" spans="1:31" ht="15" customHeight="1" x14ac:dyDescent="0.25">
      <c r="A91" s="40"/>
      <c r="B91" s="43" t="str">
        <f>IF($A91="","",IFERROR(VLOOKUP($AC91,'PRODUCT DATA'!$NR$2:$NS$374,2,FALSE()),"UNKNOWN ITEM CODE - please check"))</f>
        <v/>
      </c>
      <c r="C91" s="39">
        <v>1</v>
      </c>
      <c r="D91" s="39"/>
      <c r="E91" s="40"/>
      <c r="F91" s="41"/>
      <c r="G91" s="39"/>
      <c r="H91" s="41"/>
      <c r="I91" s="41"/>
      <c r="J91" s="39"/>
      <c r="K91" s="41"/>
      <c r="L91" s="40"/>
      <c r="M91" s="40"/>
      <c r="N91" s="42" t="str">
        <f>IF($M91="","",IFERROR(INDEX('PRODUCT DATA'!$B$2:$B$58,MATCH(IF(UPPER($M91)="UK","GB",$M91),'PRODUCT DATA'!$B$2:$B$58,0)),IFERROR(INDEX('PRODUCT DATA'!$B$2:$B$58,MATCH(IF(UPPER($M91)="UK","GB",$M91),'PRODUCT DATA'!$A$2:$A$58,0)),"UNKNOWN COUNTRY - please check")))</f>
        <v/>
      </c>
      <c r="O91" s="41"/>
      <c r="P91" s="41"/>
      <c r="Q91" s="41"/>
      <c r="R91" s="41"/>
      <c r="S91" s="41"/>
      <c r="T91" s="41"/>
      <c r="U91" s="41"/>
      <c r="V91" s="43" t="str">
        <f t="shared" si="4"/>
        <v/>
      </c>
      <c r="W91" s="44" t="str">
        <f ca="1">IF(COUNTA($A91,$D91:$M91,$O91:$U91)=0,"",IF($A91="","Item Code; ","")&amp;IF(AND($A91&lt;&gt;"",ISNA(MATCH($AC91,'PRODUCT DATA'!$D$2:$D$394,0))),"Item Code; ","")&amp;IF($M91="","Country; ","")&amp;IF(AND($M91&lt;&gt;"",NOT(OR(NOT(ISNA(MATCH(IF(UPPER($M91)="UK","GB",$M91),'PRODUCT DATA'!$A$2:$A$58,0))),NOT(ISNA(MATCH(IF(UPPER($M91)="UK","GB",$M91),'PRODUCT DATA'!$B$2:$B$58,0)))))),"Country; ","")&amp;IF(AND($A91&lt;&gt;"",$M91&lt;&gt;"",NOT(ISNA(MATCH($AC91,'PRODUCT DATA'!$D$2:$D$394,0))),OR(NOT(ISNA(MATCH(IF(UPPER($M91)="UK","GB",$M91),'PRODUCT DATA'!$A$2:$A$58,0))),NOT(ISNA(MATCH(IF(UPPER($M91)="UK","GB",$M91),'PRODUCT DATA'!$B$2:$B$58,0)))),NOT(IFERROR(COUNTIF(OFFSET('PRODUCT DATA'!$F$2,0,MATCH($AC91,'PRODUCT DATA'!$F$1:$NN$1,0)-1,114,1),$N91)&gt;0,FALSE()))),IF(UPPER(IFERROR(OFFSET('PRODUCT DATA'!$C$2,MATCH($N91,'PRODUCT DATA'!$B$2:$B$58,0)-1,0),""))="NO","Alcohol Restriction; ","Item Code / Country combination; "),"")&amp;IF($C91="","Quantity; ","")&amp;IF(AND($C91&lt;&gt;"",OR(NOT(ISNUMBER($C91)),$C91&lt;1,$C91&gt;999,MOD($C91,1)&lt;&gt;0)),"Quantity; ","")&amp;IF($D91="","Recipient Name; ","")&amp;IF(LEN($D91)&gt;35,"Recipient Name; ","")&amp;IF($E91="","Recipient Phone; ","")&amp;IF(AND($E91&lt;&gt;"",OR(LEN($E91)&lt;6,LEN($E91)&gt;20,NOT(IFERROR(ISNUMBER(1*$E91),FALSE())))),"Recipient Phone; ","")&amp;IF(LEN($F91)&gt;35,"Recipient Company Name; ","")&amp;IF($G91="","Address Line 1; ","")&amp;IF(LEN($G91)&gt;35,"Address Line 1; ","")&amp;IF(LEN($H91)&gt;35,"Address Line 2; ","")&amp;IF(LEN($I91)&gt;35,"Address Line 3; ","")&amp;IF($J91="","Town; ","")&amp;IF(LEN($J91)&gt;35,"Town; ","")&amp;IF(AND($N91="IE",$K91=""),"County; ","")&amp;IF(LEN($AB91)&gt;35,"County; ","")&amp;IF(AND($L91="",AND($N91&lt;&gt;"AE",$N91&lt;&gt;"QA")),"Postcode; ","")&amp;IF(LEN($L91)&gt;35,"Postcode; ","")&amp;IF($AE91&lt;&gt;"","Postcode; ","")&amp;IF(LEN($O91)&gt;40,"Gift Message 1; ","")&amp;IF(LEN($P91)&gt;40,"Gift Message 2; ","")&amp;IF(LEN($Q91)&gt;40,"Gift Message 3; ","")&amp;IF(LEN($R91)&gt;40,"Gift Message 4; ","")&amp;IF(LEN($S91)&gt;40,"Gift Message 5; ","")&amp;IF(LEN($T91)&gt;40,"Gift Message 6; ","")&amp;IF(LEN($U91)&gt;40,"Gift Message 7; ",""))</f>
        <v/>
      </c>
      <c r="X91" s="44" t="str">
        <f ca="1">IF(COUNTA($A91,$D91:$M91,$O91:$U91)=0,"",IF($A91="","Enter the Item Code (hamper) - type it, paste it, or choose it from the dropdown. ","")&amp;IF(AND($A91&lt;&gt;"",ISNA(MATCH($AC91,'PRODUCT DATA'!$D$2:$D$394,0))),"This Item Code is not recognised. Check the code (case does not matter, but spelling and digits must match exactly) or choose it from the dropdown. ","")&amp;IF($M91="","Enter the Country after the Item Code - type or paste the name or the 2-letter code, or choose it from the dropdown. ","")&amp;IF(AND($M91&lt;&gt;"",NOT(OR(NOT(ISNA(MATCH(IF(UPPER($M91)="UK","GB",$M91),'PRODUCT DATA'!$A$2:$A$58,0))),NOT(ISNA(MATCH(IF(UPPER($M91)="UK","GB",$M91),'PRODUCT DATA'!$B$2:$B$58,0)))))),"This Country is not recognised as either a full name or a 2-letter code. Check the spelling (case does not matter) or choose it from the dropdown. ","")&amp;IF(AND($A91&lt;&gt;"",$M91&lt;&gt;"",NOT(ISNA(MATCH($AC91,'PRODUCT DATA'!$D$2:$D$394,0))),OR(NOT(ISNA(MATCH(IF(UPPER($M91)="UK","GB",$M91),'PRODUCT DATA'!$A$2:$A$58,0))),NOT(ISNA(MATCH(IF(UPPER($M91)="UK","GB",$M91),'PRODUCT DATA'!$B$2:$B$58,0)))),NOT(IFERROR(COUNTIF(OFFSET('PRODUCT DATA'!$F$2,0,MATCH($AC91,'PRODUCT DATA'!$F$1:$NN$1,0)-1,114,1),$N91)&gt;0,FALSE()))),IF(UPPER(IFERROR(OFFSET('PRODUCT DATA'!$C$2,MATCH($N91,'PRODUCT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"),"")&amp;IF($C91="","Enter Quantity. ","")&amp;IF(AND($C91&lt;&gt;"",OR(NOT(ISNUMBER($C91)),$C91&lt;1,$C91&gt;999,MOD($C91,1)&lt;&gt;0)),"Quantity must be a whole number from 1 to 999 (use a quantity above 1 only for a genuine bulk order of identical items to ONE address — otherwise use a separate row per recipient). ","")&amp;IF($D91="","Enter Recipient Name. ","")&amp;IF(LEN($D91)&gt;35,"Recipient Name exceeds 35 characters. ","")&amp;IF($E91="","Enter Recipient Phone. ","")&amp;IF(AND($E91&lt;&gt;"",OR(LEN($E91)&lt;6,LEN($E91)&gt;20,NOT(IFERROR(ISNUMBER(1*$E91),FALSE())))),"Phone must be the LOCAL number for the destination country: digits only, no +, spaces, or country code, 6 to 20 digits. ","")&amp;IF(LEN($F91)&gt;35,"Recipient Company Name exceeds 35 characters. ","")&amp;IF($G91="","Enter Address Line 1. ","")&amp;IF(LEN($G91)&gt;35,"Address Line 1 exceeds the 35-character SAP limit. ","")&amp;IF(LEN($H91)&gt;35,"Address Line 2 exceeds the 35-character SAP limit. ","")&amp;IF(LEN($I91)&gt;35,"Address Line 3 exceeds the 35-character SAP limit. ","")&amp;IF($J91="","Enter Town. This must never be left blank, even if there is no conventional town name. ","")&amp;IF(LEN($J91)&gt;35,"Town exceeds 35 characters. ","")&amp;IF(AND($N91="IE",$K91=""),"County is required for deliveries within the Republic of Ireland. ","")&amp;IF(LEN($AB91)&gt;35,"County exceeds 35 characters. ","")&amp;IF(AND($L91="",AND($N91&lt;&gt;"AE",$N91&lt;&gt;"QA")),"Postcode is required for the selected country. If there is genuinely no postcode, enter the first 3 characters of the area (e.g. D15). ","")&amp;IF(LEN($L91)&gt;35,"Postcode exceeds 35 characters. ","")&amp;IF($AE91&lt;&gt;"",$AE91,"")&amp;IF(LEN($O91)&gt;40,"Gift Message Line 1 exceeds 40 characters. ","")&amp;IF(LEN($P91)&gt;40,"Gift Message Line 2 exceeds 40 characters. ","")&amp;IF(LEN($Q91)&gt;40,"Gift Message Line 3 exceeds 40 characters. ","")&amp;IF(LEN($R91)&gt;40,"Gift Message Line 4 exceeds 40 characters. ","")&amp;IF(LEN($S91)&gt;40,"Gift Message Line 5 exceeds 40 characters. ","")&amp;IF(LEN($T91)&gt;40,"Gift Message Line 6 exceeds 40 characters. ","")&amp;IF(LEN($U91)&gt;40,"Gift Message Line 7 exceeds 40 characters. ",""))</f>
        <v/>
      </c>
      <c r="Y91" s="44" t="str">
        <f t="shared" si="5"/>
        <v/>
      </c>
      <c r="Z91" s="44"/>
      <c r="AA91" s="44"/>
      <c r="AB91" s="32" t="str">
        <f t="shared" si="6"/>
        <v/>
      </c>
      <c r="AC91" s="32" t="str">
        <f>IF($A91="","",IFERROR(LEFT(INDEX('PRODUCT DATA'!$NO$2:$NO$25,MATCH($A91,'PRODUCT DATA'!$NP$2:$NP$25,0)),FIND("|",INDEX('PRODUCT DATA'!$NO$2:$NO$25,MATCH($A91,'PRODUCT DATA'!$NP$2:$NP$25,0)))-1),$A91))</f>
        <v/>
      </c>
      <c r="AD91" s="45"/>
      <c r="AE91" s="45" t="str">
        <f t="shared" si="7"/>
        <v/>
      </c>
    </row>
    <row r="92" spans="1:31" ht="15" customHeight="1" x14ac:dyDescent="0.25">
      <c r="A92" s="40"/>
      <c r="B92" s="43" t="str">
        <f>IF($A92="","",IFERROR(VLOOKUP($AC92,'PRODUCT DATA'!$NR$2:$NS$374,2,FALSE()),"UNKNOWN ITEM CODE - please check"))</f>
        <v/>
      </c>
      <c r="C92" s="39">
        <v>1</v>
      </c>
      <c r="D92" s="39"/>
      <c r="E92" s="40"/>
      <c r="F92" s="41"/>
      <c r="G92" s="39"/>
      <c r="H92" s="41"/>
      <c r="I92" s="41"/>
      <c r="J92" s="39"/>
      <c r="K92" s="41"/>
      <c r="L92" s="40"/>
      <c r="M92" s="40"/>
      <c r="N92" s="42" t="str">
        <f>IF($M92="","",IFERROR(INDEX('PRODUCT DATA'!$B$2:$B$58,MATCH(IF(UPPER($M92)="UK","GB",$M92),'PRODUCT DATA'!$B$2:$B$58,0)),IFERROR(INDEX('PRODUCT DATA'!$B$2:$B$58,MATCH(IF(UPPER($M92)="UK","GB",$M92),'PRODUCT DATA'!$A$2:$A$58,0)),"UNKNOWN COUNTRY - please check")))</f>
        <v/>
      </c>
      <c r="O92" s="41"/>
      <c r="P92" s="41"/>
      <c r="Q92" s="41"/>
      <c r="R92" s="41"/>
      <c r="S92" s="41"/>
      <c r="T92" s="41"/>
      <c r="U92" s="41"/>
      <c r="V92" s="43" t="str">
        <f t="shared" si="4"/>
        <v/>
      </c>
      <c r="W92" s="44" t="str">
        <f ca="1">IF(COUNTA($A92,$D92:$M92,$O92:$U92)=0,"",IF($A92="","Item Code; ","")&amp;IF(AND($A92&lt;&gt;"",ISNA(MATCH($AC92,'PRODUCT DATA'!$D$2:$D$394,0))),"Item Code; ","")&amp;IF($M92="","Country; ","")&amp;IF(AND($M92&lt;&gt;"",NOT(OR(NOT(ISNA(MATCH(IF(UPPER($M92)="UK","GB",$M92),'PRODUCT DATA'!$A$2:$A$58,0))),NOT(ISNA(MATCH(IF(UPPER($M92)="UK","GB",$M92),'PRODUCT DATA'!$B$2:$B$58,0)))))),"Country; ","")&amp;IF(AND($A92&lt;&gt;"",$M92&lt;&gt;"",NOT(ISNA(MATCH($AC92,'PRODUCT DATA'!$D$2:$D$394,0))),OR(NOT(ISNA(MATCH(IF(UPPER($M92)="UK","GB",$M92),'PRODUCT DATA'!$A$2:$A$58,0))),NOT(ISNA(MATCH(IF(UPPER($M92)="UK","GB",$M92),'PRODUCT DATA'!$B$2:$B$58,0)))),NOT(IFERROR(COUNTIF(OFFSET('PRODUCT DATA'!$F$2,0,MATCH($AC92,'PRODUCT DATA'!$F$1:$NN$1,0)-1,114,1),$N92)&gt;0,FALSE()))),IF(UPPER(IFERROR(OFFSET('PRODUCT DATA'!$C$2,MATCH($N92,'PRODUCT DATA'!$B$2:$B$58,0)-1,0),""))="NO","Alcohol Restriction; ","Item Code / Country combination; "),"")&amp;IF($C92="","Quantity; ","")&amp;IF(AND($C92&lt;&gt;"",OR(NOT(ISNUMBER($C92)),$C92&lt;1,$C92&gt;999,MOD($C92,1)&lt;&gt;0)),"Quantity; ","")&amp;IF($D92="","Recipient Name; ","")&amp;IF(LEN($D92)&gt;35,"Recipient Name; ","")&amp;IF($E92="","Recipient Phone; ","")&amp;IF(AND($E92&lt;&gt;"",OR(LEN($E92)&lt;6,LEN($E92)&gt;20,NOT(IFERROR(ISNUMBER(1*$E92),FALSE())))),"Recipient Phone; ","")&amp;IF(LEN($F92)&gt;35,"Recipient Company Name; ","")&amp;IF($G92="","Address Line 1; ","")&amp;IF(LEN($G92)&gt;35,"Address Line 1; ","")&amp;IF(LEN($H92)&gt;35,"Address Line 2; ","")&amp;IF(LEN($I92)&gt;35,"Address Line 3; ","")&amp;IF($J92="","Town; ","")&amp;IF(LEN($J92)&gt;35,"Town; ","")&amp;IF(AND($N92="IE",$K92=""),"County; ","")&amp;IF(LEN($AB92)&gt;35,"County; ","")&amp;IF(AND($L92="",AND($N92&lt;&gt;"AE",$N92&lt;&gt;"QA")),"Postcode; ","")&amp;IF(LEN($L92)&gt;35,"Postcode; ","")&amp;IF($AE92&lt;&gt;"","Postcode; ","")&amp;IF(LEN($O92)&gt;40,"Gift Message 1; ","")&amp;IF(LEN($P92)&gt;40,"Gift Message 2; ","")&amp;IF(LEN($Q92)&gt;40,"Gift Message 3; ","")&amp;IF(LEN($R92)&gt;40,"Gift Message 4; ","")&amp;IF(LEN($S92)&gt;40,"Gift Message 5; ","")&amp;IF(LEN($T92)&gt;40,"Gift Message 6; ","")&amp;IF(LEN($U92)&gt;40,"Gift Message 7; ",""))</f>
        <v/>
      </c>
      <c r="X92" s="44" t="str">
        <f ca="1">IF(COUNTA($A92,$D92:$M92,$O92:$U92)=0,"",IF($A92="","Enter the Item Code (hamper) - type it, paste it, or choose it from the dropdown. ","")&amp;IF(AND($A92&lt;&gt;"",ISNA(MATCH($AC92,'PRODUCT DATA'!$D$2:$D$394,0))),"This Item Code is not recognised. Check the code (case does not matter, but spelling and digits must match exactly) or choose it from the dropdown. ","")&amp;IF($M92="","Enter the Country after the Item Code - type or paste the name or the 2-letter code, or choose it from the dropdown. ","")&amp;IF(AND($M92&lt;&gt;"",NOT(OR(NOT(ISNA(MATCH(IF(UPPER($M92)="UK","GB",$M92),'PRODUCT DATA'!$A$2:$A$58,0))),NOT(ISNA(MATCH(IF(UPPER($M92)="UK","GB",$M92),'PRODUCT DATA'!$B$2:$B$58,0)))))),"This Country is not recognised as either a full name or a 2-letter code. Check the spelling (case does not matter) or choose it from the dropdown. ","")&amp;IF(AND($A92&lt;&gt;"",$M92&lt;&gt;"",NOT(ISNA(MATCH($AC92,'PRODUCT DATA'!$D$2:$D$394,0))),OR(NOT(ISNA(MATCH(IF(UPPER($M92)="UK","GB",$M92),'PRODUCT DATA'!$A$2:$A$58,0))),NOT(ISNA(MATCH(IF(UPPER($M92)="UK","GB",$M92),'PRODUCT DATA'!$B$2:$B$58,0)))),NOT(IFERROR(COUNTIF(OFFSET('PRODUCT DATA'!$F$2,0,MATCH($AC92,'PRODUCT DATA'!$F$1:$NN$1,0)-1,114,1),$N92)&gt;0,FALSE()))),IF(UPPER(IFERROR(OFFSET('PRODUCT DATA'!$C$2,MATCH($N92,'PRODUCT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"),"")&amp;IF($C92="","Enter Quantity. ","")&amp;IF(AND($C92&lt;&gt;"",OR(NOT(ISNUMBER($C92)),$C92&lt;1,$C92&gt;999,MOD($C92,1)&lt;&gt;0)),"Quantity must be a whole number from 1 to 999 (use a quantity above 1 only for a genuine bulk order of identical items to ONE address — otherwise use a separate row per recipient). ","")&amp;IF($D92="","Enter Recipient Name. ","")&amp;IF(LEN($D92)&gt;35,"Recipient Name exceeds 35 characters. ","")&amp;IF($E92="","Enter Recipient Phone. ","")&amp;IF(AND($E92&lt;&gt;"",OR(LEN($E92)&lt;6,LEN($E92)&gt;20,NOT(IFERROR(ISNUMBER(1*$E92),FALSE())))),"Phone must be the LOCAL number for the destination country: digits only, no +, spaces, or country code, 6 to 20 digits. ","")&amp;IF(LEN($F92)&gt;35,"Recipient Company Name exceeds 35 characters. ","")&amp;IF($G92="","Enter Address Line 1. ","")&amp;IF(LEN($G92)&gt;35,"Address Line 1 exceeds the 35-character SAP limit. ","")&amp;IF(LEN($H92)&gt;35,"Address Line 2 exceeds the 35-character SAP limit. ","")&amp;IF(LEN($I92)&gt;35,"Address Line 3 exceeds the 35-character SAP limit. ","")&amp;IF($J92="","Enter Town. This must never be left blank, even if there is no conventional town name. ","")&amp;IF(LEN($J92)&gt;35,"Town exceeds 35 characters. ","")&amp;IF(AND($N92="IE",$K92=""),"County is required for deliveries within the Republic of Ireland. ","")&amp;IF(LEN($AB92)&gt;35,"County exceeds 35 characters. ","")&amp;IF(AND($L92="",AND($N92&lt;&gt;"AE",$N92&lt;&gt;"QA")),"Postcode is required for the selected country. If there is genuinely no postcode, enter the first 3 characters of the area (e.g. D15). ","")&amp;IF(LEN($L92)&gt;35,"Postcode exceeds 35 characters. ","")&amp;IF($AE92&lt;&gt;"",$AE92,"")&amp;IF(LEN($O92)&gt;40,"Gift Message Line 1 exceeds 40 characters. ","")&amp;IF(LEN($P92)&gt;40,"Gift Message Line 2 exceeds 40 characters. ","")&amp;IF(LEN($Q92)&gt;40,"Gift Message Line 3 exceeds 40 characters. ","")&amp;IF(LEN($R92)&gt;40,"Gift Message Line 4 exceeds 40 characters. ","")&amp;IF(LEN($S92)&gt;40,"Gift Message Line 5 exceeds 40 characters. ","")&amp;IF(LEN($T92)&gt;40,"Gift Message Line 6 exceeds 40 characters. ","")&amp;IF(LEN($U92)&gt;40,"Gift Message Line 7 exceeds 40 characters. ",""))</f>
        <v/>
      </c>
      <c r="Y92" s="44" t="str">
        <f t="shared" si="5"/>
        <v/>
      </c>
      <c r="Z92" s="44"/>
      <c r="AA92" s="44"/>
      <c r="AB92" s="32" t="str">
        <f t="shared" si="6"/>
        <v/>
      </c>
      <c r="AC92" s="32" t="str">
        <f>IF($A92="","",IFERROR(LEFT(INDEX('PRODUCT DATA'!$NO$2:$NO$25,MATCH($A92,'PRODUCT DATA'!$NP$2:$NP$25,0)),FIND("|",INDEX('PRODUCT DATA'!$NO$2:$NO$25,MATCH($A92,'PRODUCT DATA'!$NP$2:$NP$25,0)))-1),$A92))</f>
        <v/>
      </c>
      <c r="AD92" s="45"/>
      <c r="AE92" s="45" t="str">
        <f t="shared" si="7"/>
        <v/>
      </c>
    </row>
    <row r="93" spans="1:31" ht="15" customHeight="1" x14ac:dyDescent="0.25">
      <c r="A93" s="40"/>
      <c r="B93" s="43" t="str">
        <f>IF($A93="","",IFERROR(VLOOKUP($AC93,'PRODUCT DATA'!$NR$2:$NS$374,2,FALSE()),"UNKNOWN ITEM CODE - please check"))</f>
        <v/>
      </c>
      <c r="C93" s="39">
        <v>1</v>
      </c>
      <c r="D93" s="39"/>
      <c r="E93" s="40"/>
      <c r="F93" s="41"/>
      <c r="G93" s="39"/>
      <c r="H93" s="41"/>
      <c r="I93" s="41"/>
      <c r="J93" s="39"/>
      <c r="K93" s="41"/>
      <c r="L93" s="40"/>
      <c r="M93" s="40"/>
      <c r="N93" s="42" t="str">
        <f>IF($M93="","",IFERROR(INDEX('PRODUCT DATA'!$B$2:$B$58,MATCH(IF(UPPER($M93)="UK","GB",$M93),'PRODUCT DATA'!$B$2:$B$58,0)),IFERROR(INDEX('PRODUCT DATA'!$B$2:$B$58,MATCH(IF(UPPER($M93)="UK","GB",$M93),'PRODUCT DATA'!$A$2:$A$58,0)),"UNKNOWN COUNTRY - please check")))</f>
        <v/>
      </c>
      <c r="O93" s="41"/>
      <c r="P93" s="41"/>
      <c r="Q93" s="41"/>
      <c r="R93" s="41"/>
      <c r="S93" s="41"/>
      <c r="T93" s="41"/>
      <c r="U93" s="41"/>
      <c r="V93" s="43" t="str">
        <f t="shared" si="4"/>
        <v/>
      </c>
      <c r="W93" s="44" t="str">
        <f ca="1">IF(COUNTA($A93,$D93:$M93,$O93:$U93)=0,"",IF($A93="","Item Code; ","")&amp;IF(AND($A93&lt;&gt;"",ISNA(MATCH($AC93,'PRODUCT DATA'!$D$2:$D$394,0))),"Item Code; ","")&amp;IF($M93="","Country; ","")&amp;IF(AND($M93&lt;&gt;"",NOT(OR(NOT(ISNA(MATCH(IF(UPPER($M93)="UK","GB",$M93),'PRODUCT DATA'!$A$2:$A$58,0))),NOT(ISNA(MATCH(IF(UPPER($M93)="UK","GB",$M93),'PRODUCT DATA'!$B$2:$B$58,0)))))),"Country; ","")&amp;IF(AND($A93&lt;&gt;"",$M93&lt;&gt;"",NOT(ISNA(MATCH($AC93,'PRODUCT DATA'!$D$2:$D$394,0))),OR(NOT(ISNA(MATCH(IF(UPPER($M93)="UK","GB",$M93),'PRODUCT DATA'!$A$2:$A$58,0))),NOT(ISNA(MATCH(IF(UPPER($M93)="UK","GB",$M93),'PRODUCT DATA'!$B$2:$B$58,0)))),NOT(IFERROR(COUNTIF(OFFSET('PRODUCT DATA'!$F$2,0,MATCH($AC93,'PRODUCT DATA'!$F$1:$NN$1,0)-1,114,1),$N93)&gt;0,FALSE()))),IF(UPPER(IFERROR(OFFSET('PRODUCT DATA'!$C$2,MATCH($N93,'PRODUCT DATA'!$B$2:$B$58,0)-1,0),""))="NO","Alcohol Restriction; ","Item Code / Country combination; "),"")&amp;IF($C93="","Quantity; ","")&amp;IF(AND($C93&lt;&gt;"",OR(NOT(ISNUMBER($C93)),$C93&lt;1,$C93&gt;999,MOD($C93,1)&lt;&gt;0)),"Quantity; ","")&amp;IF($D93="","Recipient Name; ","")&amp;IF(LEN($D93)&gt;35,"Recipient Name; ","")&amp;IF($E93="","Recipient Phone; ","")&amp;IF(AND($E93&lt;&gt;"",OR(LEN($E93)&lt;6,LEN($E93)&gt;20,NOT(IFERROR(ISNUMBER(1*$E93),FALSE())))),"Recipient Phone; ","")&amp;IF(LEN($F93)&gt;35,"Recipient Company Name; ","")&amp;IF($G93="","Address Line 1; ","")&amp;IF(LEN($G93)&gt;35,"Address Line 1; ","")&amp;IF(LEN($H93)&gt;35,"Address Line 2; ","")&amp;IF(LEN($I93)&gt;35,"Address Line 3; ","")&amp;IF($J93="","Town; ","")&amp;IF(LEN($J93)&gt;35,"Town; ","")&amp;IF(AND($N93="IE",$K93=""),"County; ","")&amp;IF(LEN($AB93)&gt;35,"County; ","")&amp;IF(AND($L93="",AND($N93&lt;&gt;"AE",$N93&lt;&gt;"QA")),"Postcode; ","")&amp;IF(LEN($L93)&gt;35,"Postcode; ","")&amp;IF($AE93&lt;&gt;"","Postcode; ","")&amp;IF(LEN($O93)&gt;40,"Gift Message 1; ","")&amp;IF(LEN($P93)&gt;40,"Gift Message 2; ","")&amp;IF(LEN($Q93)&gt;40,"Gift Message 3; ","")&amp;IF(LEN($R93)&gt;40,"Gift Message 4; ","")&amp;IF(LEN($S93)&gt;40,"Gift Message 5; ","")&amp;IF(LEN($T93)&gt;40,"Gift Message 6; ","")&amp;IF(LEN($U93)&gt;40,"Gift Message 7; ",""))</f>
        <v/>
      </c>
      <c r="X93" s="44" t="str">
        <f ca="1">IF(COUNTA($A93,$D93:$M93,$O93:$U93)=0,"",IF($A93="","Enter the Item Code (hamper) - type it, paste it, or choose it from the dropdown. ","")&amp;IF(AND($A93&lt;&gt;"",ISNA(MATCH($AC93,'PRODUCT DATA'!$D$2:$D$394,0))),"This Item Code is not recognised. Check the code (case does not matter, but spelling and digits must match exactly) or choose it from the dropdown. ","")&amp;IF($M93="","Enter the Country after the Item Code - type or paste the name or the 2-letter code, or choose it from the dropdown. ","")&amp;IF(AND($M93&lt;&gt;"",NOT(OR(NOT(ISNA(MATCH(IF(UPPER($M93)="UK","GB",$M93),'PRODUCT DATA'!$A$2:$A$58,0))),NOT(ISNA(MATCH(IF(UPPER($M93)="UK","GB",$M93),'PRODUCT DATA'!$B$2:$B$58,0)))))),"This Country is not recognised as either a full name or a 2-letter code. Check the spelling (case does not matter) or choose it from the dropdown. ","")&amp;IF(AND($A93&lt;&gt;"",$M93&lt;&gt;"",NOT(ISNA(MATCH($AC93,'PRODUCT DATA'!$D$2:$D$394,0))),OR(NOT(ISNA(MATCH(IF(UPPER($M93)="UK","GB",$M93),'PRODUCT DATA'!$A$2:$A$58,0))),NOT(ISNA(MATCH(IF(UPPER($M93)="UK","GB",$M93),'PRODUCT DATA'!$B$2:$B$58,0)))),NOT(IFERROR(COUNTIF(OFFSET('PRODUCT DATA'!$F$2,0,MATCH($AC93,'PRODUCT DATA'!$F$1:$NN$1,0)-1,114,1),$N93)&gt;0,FALSE()))),IF(UPPER(IFERROR(OFFSET('PRODUCT DATA'!$C$2,MATCH($N93,'PRODUCT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"),"")&amp;IF($C93="","Enter Quantity. ","")&amp;IF(AND($C93&lt;&gt;"",OR(NOT(ISNUMBER($C93)),$C93&lt;1,$C93&gt;999,MOD($C93,1)&lt;&gt;0)),"Quantity must be a whole number from 1 to 999 (use a quantity above 1 only for a genuine bulk order of identical items to ONE address — otherwise use a separate row per recipient). ","")&amp;IF($D93="","Enter Recipient Name. ","")&amp;IF(LEN($D93)&gt;35,"Recipient Name exceeds 35 characters. ","")&amp;IF($E93="","Enter Recipient Phone. ","")&amp;IF(AND($E93&lt;&gt;"",OR(LEN($E93)&lt;6,LEN($E93)&gt;20,NOT(IFERROR(ISNUMBER(1*$E93),FALSE())))),"Phone must be the LOCAL number for the destination country: digits only, no +, spaces, or country code, 6 to 20 digits. ","")&amp;IF(LEN($F93)&gt;35,"Recipient Company Name exceeds 35 characters. ","")&amp;IF($G93="","Enter Address Line 1. ","")&amp;IF(LEN($G93)&gt;35,"Address Line 1 exceeds the 35-character SAP limit. ","")&amp;IF(LEN($H93)&gt;35,"Address Line 2 exceeds the 35-character SAP limit. ","")&amp;IF(LEN($I93)&gt;35,"Address Line 3 exceeds the 35-character SAP limit. ","")&amp;IF($J93="","Enter Town. This must never be left blank, even if there is no conventional town name. ","")&amp;IF(LEN($J93)&gt;35,"Town exceeds 35 characters. ","")&amp;IF(AND($N93="IE",$K93=""),"County is required for deliveries within the Republic of Ireland. ","")&amp;IF(LEN($AB93)&gt;35,"County exceeds 35 characters. ","")&amp;IF(AND($L93="",AND($N93&lt;&gt;"AE",$N93&lt;&gt;"QA")),"Postcode is required for the selected country. If there is genuinely no postcode, enter the first 3 characters of the area (e.g. D15). ","")&amp;IF(LEN($L93)&gt;35,"Postcode exceeds 35 characters. ","")&amp;IF($AE93&lt;&gt;"",$AE93,"")&amp;IF(LEN($O93)&gt;40,"Gift Message Line 1 exceeds 40 characters. ","")&amp;IF(LEN($P93)&gt;40,"Gift Message Line 2 exceeds 40 characters. ","")&amp;IF(LEN($Q93)&gt;40,"Gift Message Line 3 exceeds 40 characters. ","")&amp;IF(LEN($R93)&gt;40,"Gift Message Line 4 exceeds 40 characters. ","")&amp;IF(LEN($S93)&gt;40,"Gift Message Line 5 exceeds 40 characters. ","")&amp;IF(LEN($T93)&gt;40,"Gift Message Line 6 exceeds 40 characters. ","")&amp;IF(LEN($U93)&gt;40,"Gift Message Line 7 exceeds 40 characters. ",""))</f>
        <v/>
      </c>
      <c r="Y93" s="44" t="str">
        <f t="shared" si="5"/>
        <v/>
      </c>
      <c r="Z93" s="44"/>
      <c r="AA93" s="44"/>
      <c r="AB93" s="32" t="str">
        <f t="shared" si="6"/>
        <v/>
      </c>
      <c r="AC93" s="32" t="str">
        <f>IF($A93="","",IFERROR(LEFT(INDEX('PRODUCT DATA'!$NO$2:$NO$25,MATCH($A93,'PRODUCT DATA'!$NP$2:$NP$25,0)),FIND("|",INDEX('PRODUCT DATA'!$NO$2:$NO$25,MATCH($A93,'PRODUCT DATA'!$NP$2:$NP$25,0)))-1),$A93))</f>
        <v/>
      </c>
      <c r="AD93" s="45"/>
      <c r="AE93" s="45" t="str">
        <f t="shared" si="7"/>
        <v/>
      </c>
    </row>
    <row r="94" spans="1:31" ht="15" customHeight="1" x14ac:dyDescent="0.25">
      <c r="A94" s="40"/>
      <c r="B94" s="43" t="str">
        <f>IF($A94="","",IFERROR(VLOOKUP($AC94,'PRODUCT DATA'!$NR$2:$NS$374,2,FALSE()),"UNKNOWN ITEM CODE - please check"))</f>
        <v/>
      </c>
      <c r="C94" s="39">
        <v>1</v>
      </c>
      <c r="D94" s="39"/>
      <c r="E94" s="40"/>
      <c r="F94" s="41"/>
      <c r="G94" s="39"/>
      <c r="H94" s="41"/>
      <c r="I94" s="41"/>
      <c r="J94" s="39"/>
      <c r="K94" s="41"/>
      <c r="L94" s="40"/>
      <c r="M94" s="40"/>
      <c r="N94" s="42" t="str">
        <f>IF($M94="","",IFERROR(INDEX('PRODUCT DATA'!$B$2:$B$58,MATCH(IF(UPPER($M94)="UK","GB",$M94),'PRODUCT DATA'!$B$2:$B$58,0)),IFERROR(INDEX('PRODUCT DATA'!$B$2:$B$58,MATCH(IF(UPPER($M94)="UK","GB",$M94),'PRODUCT DATA'!$A$2:$A$58,0)),"UNKNOWN COUNTRY - please check")))</f>
        <v/>
      </c>
      <c r="O94" s="41"/>
      <c r="P94" s="41"/>
      <c r="Q94" s="41"/>
      <c r="R94" s="41"/>
      <c r="S94" s="41"/>
      <c r="T94" s="41"/>
      <c r="U94" s="41"/>
      <c r="V94" s="43" t="str">
        <f t="shared" si="4"/>
        <v/>
      </c>
      <c r="W94" s="44" t="str">
        <f ca="1">IF(COUNTA($A94,$D94:$M94,$O94:$U94)=0,"",IF($A94="","Item Code; ","")&amp;IF(AND($A94&lt;&gt;"",ISNA(MATCH($AC94,'PRODUCT DATA'!$D$2:$D$394,0))),"Item Code; ","")&amp;IF($M94="","Country; ","")&amp;IF(AND($M94&lt;&gt;"",NOT(OR(NOT(ISNA(MATCH(IF(UPPER($M94)="UK","GB",$M94),'PRODUCT DATA'!$A$2:$A$58,0))),NOT(ISNA(MATCH(IF(UPPER($M94)="UK","GB",$M94),'PRODUCT DATA'!$B$2:$B$58,0)))))),"Country; ","")&amp;IF(AND($A94&lt;&gt;"",$M94&lt;&gt;"",NOT(ISNA(MATCH($AC94,'PRODUCT DATA'!$D$2:$D$394,0))),OR(NOT(ISNA(MATCH(IF(UPPER($M94)="UK","GB",$M94),'PRODUCT DATA'!$A$2:$A$58,0))),NOT(ISNA(MATCH(IF(UPPER($M94)="UK","GB",$M94),'PRODUCT DATA'!$B$2:$B$58,0)))),NOT(IFERROR(COUNTIF(OFFSET('PRODUCT DATA'!$F$2,0,MATCH($AC94,'PRODUCT DATA'!$F$1:$NN$1,0)-1,114,1),$N94)&gt;0,FALSE()))),IF(UPPER(IFERROR(OFFSET('PRODUCT DATA'!$C$2,MATCH($N94,'PRODUCT DATA'!$B$2:$B$58,0)-1,0),""))="NO","Alcohol Restriction; ","Item Code / Country combination; "),"")&amp;IF($C94="","Quantity; ","")&amp;IF(AND($C94&lt;&gt;"",OR(NOT(ISNUMBER($C94)),$C94&lt;1,$C94&gt;999,MOD($C94,1)&lt;&gt;0)),"Quantity; ","")&amp;IF($D94="","Recipient Name; ","")&amp;IF(LEN($D94)&gt;35,"Recipient Name; ","")&amp;IF($E94="","Recipient Phone; ","")&amp;IF(AND($E94&lt;&gt;"",OR(LEN($E94)&lt;6,LEN($E94)&gt;20,NOT(IFERROR(ISNUMBER(1*$E94),FALSE())))),"Recipient Phone; ","")&amp;IF(LEN($F94)&gt;35,"Recipient Company Name; ","")&amp;IF($G94="","Address Line 1; ","")&amp;IF(LEN($G94)&gt;35,"Address Line 1; ","")&amp;IF(LEN($H94)&gt;35,"Address Line 2; ","")&amp;IF(LEN($I94)&gt;35,"Address Line 3; ","")&amp;IF($J94="","Town; ","")&amp;IF(LEN($J94)&gt;35,"Town; ","")&amp;IF(AND($N94="IE",$K94=""),"County; ","")&amp;IF(LEN($AB94)&gt;35,"County; ","")&amp;IF(AND($L94="",AND($N94&lt;&gt;"AE",$N94&lt;&gt;"QA")),"Postcode; ","")&amp;IF(LEN($L94)&gt;35,"Postcode; ","")&amp;IF($AE94&lt;&gt;"","Postcode; ","")&amp;IF(LEN($O94)&gt;40,"Gift Message 1; ","")&amp;IF(LEN($P94)&gt;40,"Gift Message 2; ","")&amp;IF(LEN($Q94)&gt;40,"Gift Message 3; ","")&amp;IF(LEN($R94)&gt;40,"Gift Message 4; ","")&amp;IF(LEN($S94)&gt;40,"Gift Message 5; ","")&amp;IF(LEN($T94)&gt;40,"Gift Message 6; ","")&amp;IF(LEN($U94)&gt;40,"Gift Message 7; ",""))</f>
        <v/>
      </c>
      <c r="X94" s="44" t="str">
        <f ca="1">IF(COUNTA($A94,$D94:$M94,$O94:$U94)=0,"",IF($A94="","Enter the Item Code (hamper) - type it, paste it, or choose it from the dropdown. ","")&amp;IF(AND($A94&lt;&gt;"",ISNA(MATCH($AC94,'PRODUCT DATA'!$D$2:$D$394,0))),"This Item Code is not recognised. Check the code (case does not matter, but spelling and digits must match exactly) or choose it from the dropdown. ","")&amp;IF($M94="","Enter the Country after the Item Code - type or paste the name or the 2-letter code, or choose it from the dropdown. ","")&amp;IF(AND($M94&lt;&gt;"",NOT(OR(NOT(ISNA(MATCH(IF(UPPER($M94)="UK","GB",$M94),'PRODUCT DATA'!$A$2:$A$58,0))),NOT(ISNA(MATCH(IF(UPPER($M94)="UK","GB",$M94),'PRODUCT DATA'!$B$2:$B$58,0)))))),"This Country is not recognised as either a full name or a 2-letter code. Check the spelling (case does not matter) or choose it from the dropdown. ","")&amp;IF(AND($A94&lt;&gt;"",$M94&lt;&gt;"",NOT(ISNA(MATCH($AC94,'PRODUCT DATA'!$D$2:$D$394,0))),OR(NOT(ISNA(MATCH(IF(UPPER($M94)="UK","GB",$M94),'PRODUCT DATA'!$A$2:$A$58,0))),NOT(ISNA(MATCH(IF(UPPER($M94)="UK","GB",$M94),'PRODUCT DATA'!$B$2:$B$58,0)))),NOT(IFERROR(COUNTIF(OFFSET('PRODUCT DATA'!$F$2,0,MATCH($AC94,'PRODUCT DATA'!$F$1:$NN$1,0)-1,114,1),$N94)&gt;0,FALSE()))),IF(UPPER(IFERROR(OFFSET('PRODUCT DATA'!$C$2,MATCH($N94,'PRODUCT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"),"")&amp;IF($C94="","Enter Quantity. ","")&amp;IF(AND($C94&lt;&gt;"",OR(NOT(ISNUMBER($C94)),$C94&lt;1,$C94&gt;999,MOD($C94,1)&lt;&gt;0)),"Quantity must be a whole number from 1 to 999 (use a quantity above 1 only for a genuine bulk order of identical items to ONE address — otherwise use a separate row per recipient). ","")&amp;IF($D94="","Enter Recipient Name. ","")&amp;IF(LEN($D94)&gt;35,"Recipient Name exceeds 35 characters. ","")&amp;IF($E94="","Enter Recipient Phone. ","")&amp;IF(AND($E94&lt;&gt;"",OR(LEN($E94)&lt;6,LEN($E94)&gt;20,NOT(IFERROR(ISNUMBER(1*$E94),FALSE())))),"Phone must be the LOCAL number for the destination country: digits only, no +, spaces, or country code, 6 to 20 digits. ","")&amp;IF(LEN($F94)&gt;35,"Recipient Company Name exceeds 35 characters. ","")&amp;IF($G94="","Enter Address Line 1. ","")&amp;IF(LEN($G94)&gt;35,"Address Line 1 exceeds the 35-character SAP limit. ","")&amp;IF(LEN($H94)&gt;35,"Address Line 2 exceeds the 35-character SAP limit. ","")&amp;IF(LEN($I94)&gt;35,"Address Line 3 exceeds the 35-character SAP limit. ","")&amp;IF($J94="","Enter Town. This must never be left blank, even if there is no conventional town name. ","")&amp;IF(LEN($J94)&gt;35,"Town exceeds 35 characters. ","")&amp;IF(AND($N94="IE",$K94=""),"County is required for deliveries within the Republic of Ireland. ","")&amp;IF(LEN($AB94)&gt;35,"County exceeds 35 characters. ","")&amp;IF(AND($L94="",AND($N94&lt;&gt;"AE",$N94&lt;&gt;"QA")),"Postcode is required for the selected country. If there is genuinely no postcode, enter the first 3 characters of the area (e.g. D15). ","")&amp;IF(LEN($L94)&gt;35,"Postcode exceeds 35 characters. ","")&amp;IF($AE94&lt;&gt;"",$AE94,"")&amp;IF(LEN($O94)&gt;40,"Gift Message Line 1 exceeds 40 characters. ","")&amp;IF(LEN($P94)&gt;40,"Gift Message Line 2 exceeds 40 characters. ","")&amp;IF(LEN($Q94)&gt;40,"Gift Message Line 3 exceeds 40 characters. ","")&amp;IF(LEN($R94)&gt;40,"Gift Message Line 4 exceeds 40 characters. ","")&amp;IF(LEN($S94)&gt;40,"Gift Message Line 5 exceeds 40 characters. ","")&amp;IF(LEN($T94)&gt;40,"Gift Message Line 6 exceeds 40 characters. ","")&amp;IF(LEN($U94)&gt;40,"Gift Message Line 7 exceeds 40 characters. ",""))</f>
        <v/>
      </c>
      <c r="Y94" s="44" t="str">
        <f t="shared" si="5"/>
        <v/>
      </c>
      <c r="Z94" s="44"/>
      <c r="AA94" s="44"/>
      <c r="AB94" s="32" t="str">
        <f t="shared" si="6"/>
        <v/>
      </c>
      <c r="AC94" s="32" t="str">
        <f>IF($A94="","",IFERROR(LEFT(INDEX('PRODUCT DATA'!$NO$2:$NO$25,MATCH($A94,'PRODUCT DATA'!$NP$2:$NP$25,0)),FIND("|",INDEX('PRODUCT DATA'!$NO$2:$NO$25,MATCH($A94,'PRODUCT DATA'!$NP$2:$NP$25,0)))-1),$A94))</f>
        <v/>
      </c>
      <c r="AD94" s="45"/>
      <c r="AE94" s="45" t="str">
        <f t="shared" si="7"/>
        <v/>
      </c>
    </row>
    <row r="95" spans="1:31" ht="15" customHeight="1" x14ac:dyDescent="0.25">
      <c r="A95" s="40"/>
      <c r="B95" s="43" t="str">
        <f>IF($A95="","",IFERROR(VLOOKUP($AC95,'PRODUCT DATA'!$NR$2:$NS$374,2,FALSE()),"UNKNOWN ITEM CODE - please check"))</f>
        <v/>
      </c>
      <c r="C95" s="39">
        <v>1</v>
      </c>
      <c r="D95" s="39"/>
      <c r="E95" s="40"/>
      <c r="F95" s="41"/>
      <c r="G95" s="39"/>
      <c r="H95" s="41"/>
      <c r="I95" s="41"/>
      <c r="J95" s="39"/>
      <c r="K95" s="41"/>
      <c r="L95" s="40"/>
      <c r="M95" s="40"/>
      <c r="N95" s="42" t="str">
        <f>IF($M95="","",IFERROR(INDEX('PRODUCT DATA'!$B$2:$B$58,MATCH(IF(UPPER($M95)="UK","GB",$M95),'PRODUCT DATA'!$B$2:$B$58,0)),IFERROR(INDEX('PRODUCT DATA'!$B$2:$B$58,MATCH(IF(UPPER($M95)="UK","GB",$M95),'PRODUCT DATA'!$A$2:$A$58,0)),"UNKNOWN COUNTRY - please check")))</f>
        <v/>
      </c>
      <c r="O95" s="41"/>
      <c r="P95" s="41"/>
      <c r="Q95" s="41"/>
      <c r="R95" s="41"/>
      <c r="S95" s="41"/>
      <c r="T95" s="41"/>
      <c r="U95" s="41"/>
      <c r="V95" s="43" t="str">
        <f t="shared" si="4"/>
        <v/>
      </c>
      <c r="W95" s="44" t="str">
        <f ca="1">IF(COUNTA($A95,$D95:$M95,$O95:$U95)=0,"",IF($A95="","Item Code; ","")&amp;IF(AND($A95&lt;&gt;"",ISNA(MATCH($AC95,'PRODUCT DATA'!$D$2:$D$394,0))),"Item Code; ","")&amp;IF($M95="","Country; ","")&amp;IF(AND($M95&lt;&gt;"",NOT(OR(NOT(ISNA(MATCH(IF(UPPER($M95)="UK","GB",$M95),'PRODUCT DATA'!$A$2:$A$58,0))),NOT(ISNA(MATCH(IF(UPPER($M95)="UK","GB",$M95),'PRODUCT DATA'!$B$2:$B$58,0)))))),"Country; ","")&amp;IF(AND($A95&lt;&gt;"",$M95&lt;&gt;"",NOT(ISNA(MATCH($AC95,'PRODUCT DATA'!$D$2:$D$394,0))),OR(NOT(ISNA(MATCH(IF(UPPER($M95)="UK","GB",$M95),'PRODUCT DATA'!$A$2:$A$58,0))),NOT(ISNA(MATCH(IF(UPPER($M95)="UK","GB",$M95),'PRODUCT DATA'!$B$2:$B$58,0)))),NOT(IFERROR(COUNTIF(OFFSET('PRODUCT DATA'!$F$2,0,MATCH($AC95,'PRODUCT DATA'!$F$1:$NN$1,0)-1,114,1),$N95)&gt;0,FALSE()))),IF(UPPER(IFERROR(OFFSET('PRODUCT DATA'!$C$2,MATCH($N95,'PRODUCT DATA'!$B$2:$B$58,0)-1,0),""))="NO","Alcohol Restriction; ","Item Code / Country combination; "),"")&amp;IF($C95="","Quantity; ","")&amp;IF(AND($C95&lt;&gt;"",OR(NOT(ISNUMBER($C95)),$C95&lt;1,$C95&gt;999,MOD($C95,1)&lt;&gt;0)),"Quantity; ","")&amp;IF($D95="","Recipient Name; ","")&amp;IF(LEN($D95)&gt;35,"Recipient Name; ","")&amp;IF($E95="","Recipient Phone; ","")&amp;IF(AND($E95&lt;&gt;"",OR(LEN($E95)&lt;6,LEN($E95)&gt;20,NOT(IFERROR(ISNUMBER(1*$E95),FALSE())))),"Recipient Phone; ","")&amp;IF(LEN($F95)&gt;35,"Recipient Company Name; ","")&amp;IF($G95="","Address Line 1; ","")&amp;IF(LEN($G95)&gt;35,"Address Line 1; ","")&amp;IF(LEN($H95)&gt;35,"Address Line 2; ","")&amp;IF(LEN($I95)&gt;35,"Address Line 3; ","")&amp;IF($J95="","Town; ","")&amp;IF(LEN($J95)&gt;35,"Town; ","")&amp;IF(AND($N95="IE",$K95=""),"County; ","")&amp;IF(LEN($AB95)&gt;35,"County; ","")&amp;IF(AND($L95="",AND($N95&lt;&gt;"AE",$N95&lt;&gt;"QA")),"Postcode; ","")&amp;IF(LEN($L95)&gt;35,"Postcode; ","")&amp;IF($AE95&lt;&gt;"","Postcode; ","")&amp;IF(LEN($O95)&gt;40,"Gift Message 1; ","")&amp;IF(LEN($P95)&gt;40,"Gift Message 2; ","")&amp;IF(LEN($Q95)&gt;40,"Gift Message 3; ","")&amp;IF(LEN($R95)&gt;40,"Gift Message 4; ","")&amp;IF(LEN($S95)&gt;40,"Gift Message 5; ","")&amp;IF(LEN($T95)&gt;40,"Gift Message 6; ","")&amp;IF(LEN($U95)&gt;40,"Gift Message 7; ",""))</f>
        <v/>
      </c>
      <c r="X95" s="44" t="str">
        <f ca="1">IF(COUNTA($A95,$D95:$M95,$O95:$U95)=0,"",IF($A95="","Enter the Item Code (hamper) - type it, paste it, or choose it from the dropdown. ","")&amp;IF(AND($A95&lt;&gt;"",ISNA(MATCH($AC95,'PRODUCT DATA'!$D$2:$D$394,0))),"This Item Code is not recognised. Check the code (case does not matter, but spelling and digits must match exactly) or choose it from the dropdown. ","")&amp;IF($M95="","Enter the Country after the Item Code - type or paste the name or the 2-letter code, or choose it from the dropdown. ","")&amp;IF(AND($M95&lt;&gt;"",NOT(OR(NOT(ISNA(MATCH(IF(UPPER($M95)="UK","GB",$M95),'PRODUCT DATA'!$A$2:$A$58,0))),NOT(ISNA(MATCH(IF(UPPER($M95)="UK","GB",$M95),'PRODUCT DATA'!$B$2:$B$58,0)))))),"This Country is not recognised as either a full name or a 2-letter code. Check the spelling (case does not matter) or choose it from the dropdown. ","")&amp;IF(AND($A95&lt;&gt;"",$M95&lt;&gt;"",NOT(ISNA(MATCH($AC95,'PRODUCT DATA'!$D$2:$D$394,0))),OR(NOT(ISNA(MATCH(IF(UPPER($M95)="UK","GB",$M95),'PRODUCT DATA'!$A$2:$A$58,0))),NOT(ISNA(MATCH(IF(UPPER($M95)="UK","GB",$M95),'PRODUCT DATA'!$B$2:$B$58,0)))),NOT(IFERROR(COUNTIF(OFFSET('PRODUCT DATA'!$F$2,0,MATCH($AC95,'PRODUCT DATA'!$F$1:$NN$1,0)-1,114,1),$N95)&gt;0,FALSE()))),IF(UPPER(IFERROR(OFFSET('PRODUCT DATA'!$C$2,MATCH($N95,'PRODUCT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"),"")&amp;IF($C95="","Enter Quantity. ","")&amp;IF(AND($C95&lt;&gt;"",OR(NOT(ISNUMBER($C95)),$C95&lt;1,$C95&gt;999,MOD($C95,1)&lt;&gt;0)),"Quantity must be a whole number from 1 to 999 (use a quantity above 1 only for a genuine bulk order of identical items to ONE address — otherwise use a separate row per recipient). ","")&amp;IF($D95="","Enter Recipient Name. ","")&amp;IF(LEN($D95)&gt;35,"Recipient Name exceeds 35 characters. ","")&amp;IF($E95="","Enter Recipient Phone. ","")&amp;IF(AND($E95&lt;&gt;"",OR(LEN($E95)&lt;6,LEN($E95)&gt;20,NOT(IFERROR(ISNUMBER(1*$E95),FALSE())))),"Phone must be the LOCAL number for the destination country: digits only, no +, spaces, or country code, 6 to 20 digits. ","")&amp;IF(LEN($F95)&gt;35,"Recipient Company Name exceeds 35 characters. ","")&amp;IF($G95="","Enter Address Line 1. ","")&amp;IF(LEN($G95)&gt;35,"Address Line 1 exceeds the 35-character SAP limit. ","")&amp;IF(LEN($H95)&gt;35,"Address Line 2 exceeds the 35-character SAP limit. ","")&amp;IF(LEN($I95)&gt;35,"Address Line 3 exceeds the 35-character SAP limit. ","")&amp;IF($J95="","Enter Town. This must never be left blank, even if there is no conventional town name. ","")&amp;IF(LEN($J95)&gt;35,"Town exceeds 35 characters. ","")&amp;IF(AND($N95="IE",$K95=""),"County is required for deliveries within the Republic of Ireland. ","")&amp;IF(LEN($AB95)&gt;35,"County exceeds 35 characters. ","")&amp;IF(AND($L95="",AND($N95&lt;&gt;"AE",$N95&lt;&gt;"QA")),"Postcode is required for the selected country. If there is genuinely no postcode, enter the first 3 characters of the area (e.g. D15). ","")&amp;IF(LEN($L95)&gt;35,"Postcode exceeds 35 characters. ","")&amp;IF($AE95&lt;&gt;"",$AE95,"")&amp;IF(LEN($O95)&gt;40,"Gift Message Line 1 exceeds 40 characters. ","")&amp;IF(LEN($P95)&gt;40,"Gift Message Line 2 exceeds 40 characters. ","")&amp;IF(LEN($Q95)&gt;40,"Gift Message Line 3 exceeds 40 characters. ","")&amp;IF(LEN($R95)&gt;40,"Gift Message Line 4 exceeds 40 characters. ","")&amp;IF(LEN($S95)&gt;40,"Gift Message Line 5 exceeds 40 characters. ","")&amp;IF(LEN($T95)&gt;40,"Gift Message Line 6 exceeds 40 characters. ","")&amp;IF(LEN($U95)&gt;40,"Gift Message Line 7 exceeds 40 characters. ",""))</f>
        <v/>
      </c>
      <c r="Y95" s="44" t="str">
        <f t="shared" si="5"/>
        <v/>
      </c>
      <c r="Z95" s="44"/>
      <c r="AA95" s="44"/>
      <c r="AB95" s="32" t="str">
        <f t="shared" si="6"/>
        <v/>
      </c>
      <c r="AC95" s="32" t="str">
        <f>IF($A95="","",IFERROR(LEFT(INDEX('PRODUCT DATA'!$NO$2:$NO$25,MATCH($A95,'PRODUCT DATA'!$NP$2:$NP$25,0)),FIND("|",INDEX('PRODUCT DATA'!$NO$2:$NO$25,MATCH($A95,'PRODUCT DATA'!$NP$2:$NP$25,0)))-1),$A95))</f>
        <v/>
      </c>
      <c r="AD95" s="45"/>
      <c r="AE95" s="45" t="str">
        <f t="shared" si="7"/>
        <v/>
      </c>
    </row>
    <row r="96" spans="1:31" ht="15" customHeight="1" x14ac:dyDescent="0.25">
      <c r="A96" s="40"/>
      <c r="B96" s="43" t="str">
        <f>IF($A96="","",IFERROR(VLOOKUP($AC96,'PRODUCT DATA'!$NR$2:$NS$374,2,FALSE()),"UNKNOWN ITEM CODE - please check"))</f>
        <v/>
      </c>
      <c r="C96" s="39">
        <v>1</v>
      </c>
      <c r="D96" s="39"/>
      <c r="E96" s="40"/>
      <c r="F96" s="41"/>
      <c r="G96" s="39"/>
      <c r="H96" s="41"/>
      <c r="I96" s="41"/>
      <c r="J96" s="39"/>
      <c r="K96" s="41"/>
      <c r="L96" s="40"/>
      <c r="M96" s="40"/>
      <c r="N96" s="42" t="str">
        <f>IF($M96="","",IFERROR(INDEX('PRODUCT DATA'!$B$2:$B$58,MATCH(IF(UPPER($M96)="UK","GB",$M96),'PRODUCT DATA'!$B$2:$B$58,0)),IFERROR(INDEX('PRODUCT DATA'!$B$2:$B$58,MATCH(IF(UPPER($M96)="UK","GB",$M96),'PRODUCT DATA'!$A$2:$A$58,0)),"UNKNOWN COUNTRY - please check")))</f>
        <v/>
      </c>
      <c r="O96" s="41"/>
      <c r="P96" s="41"/>
      <c r="Q96" s="41"/>
      <c r="R96" s="41"/>
      <c r="S96" s="41"/>
      <c r="T96" s="41"/>
      <c r="U96" s="41"/>
      <c r="V96" s="43" t="str">
        <f t="shared" si="4"/>
        <v/>
      </c>
      <c r="W96" s="44" t="str">
        <f ca="1">IF(COUNTA($A96,$D96:$M96,$O96:$U96)=0,"",IF($A96="","Item Code; ","")&amp;IF(AND($A96&lt;&gt;"",ISNA(MATCH($AC96,'PRODUCT DATA'!$D$2:$D$394,0))),"Item Code; ","")&amp;IF($M96="","Country; ","")&amp;IF(AND($M96&lt;&gt;"",NOT(OR(NOT(ISNA(MATCH(IF(UPPER($M96)="UK","GB",$M96),'PRODUCT DATA'!$A$2:$A$58,0))),NOT(ISNA(MATCH(IF(UPPER($M96)="UK","GB",$M96),'PRODUCT DATA'!$B$2:$B$58,0)))))),"Country; ","")&amp;IF(AND($A96&lt;&gt;"",$M96&lt;&gt;"",NOT(ISNA(MATCH($AC96,'PRODUCT DATA'!$D$2:$D$394,0))),OR(NOT(ISNA(MATCH(IF(UPPER($M96)="UK","GB",$M96),'PRODUCT DATA'!$A$2:$A$58,0))),NOT(ISNA(MATCH(IF(UPPER($M96)="UK","GB",$M96),'PRODUCT DATA'!$B$2:$B$58,0)))),NOT(IFERROR(COUNTIF(OFFSET('PRODUCT DATA'!$F$2,0,MATCH($AC96,'PRODUCT DATA'!$F$1:$NN$1,0)-1,114,1),$N96)&gt;0,FALSE()))),IF(UPPER(IFERROR(OFFSET('PRODUCT DATA'!$C$2,MATCH($N96,'PRODUCT DATA'!$B$2:$B$58,0)-1,0),""))="NO","Alcohol Restriction; ","Item Code / Country combination; "),"")&amp;IF($C96="","Quantity; ","")&amp;IF(AND($C96&lt;&gt;"",OR(NOT(ISNUMBER($C96)),$C96&lt;1,$C96&gt;999,MOD($C96,1)&lt;&gt;0)),"Quantity; ","")&amp;IF($D96="","Recipient Name; ","")&amp;IF(LEN($D96)&gt;35,"Recipient Name; ","")&amp;IF($E96="","Recipient Phone; ","")&amp;IF(AND($E96&lt;&gt;"",OR(LEN($E96)&lt;6,LEN($E96)&gt;20,NOT(IFERROR(ISNUMBER(1*$E96),FALSE())))),"Recipient Phone; ","")&amp;IF(LEN($F96)&gt;35,"Recipient Company Name; ","")&amp;IF($G96="","Address Line 1; ","")&amp;IF(LEN($G96)&gt;35,"Address Line 1; ","")&amp;IF(LEN($H96)&gt;35,"Address Line 2; ","")&amp;IF(LEN($I96)&gt;35,"Address Line 3; ","")&amp;IF($J96="","Town; ","")&amp;IF(LEN($J96)&gt;35,"Town; ","")&amp;IF(AND($N96="IE",$K96=""),"County; ","")&amp;IF(LEN($AB96)&gt;35,"County; ","")&amp;IF(AND($L96="",AND($N96&lt;&gt;"AE",$N96&lt;&gt;"QA")),"Postcode; ","")&amp;IF(LEN($L96)&gt;35,"Postcode; ","")&amp;IF($AE96&lt;&gt;"","Postcode; ","")&amp;IF(LEN($O96)&gt;40,"Gift Message 1; ","")&amp;IF(LEN($P96)&gt;40,"Gift Message 2; ","")&amp;IF(LEN($Q96)&gt;40,"Gift Message 3; ","")&amp;IF(LEN($R96)&gt;40,"Gift Message 4; ","")&amp;IF(LEN($S96)&gt;40,"Gift Message 5; ","")&amp;IF(LEN($T96)&gt;40,"Gift Message 6; ","")&amp;IF(LEN($U96)&gt;40,"Gift Message 7; ",""))</f>
        <v/>
      </c>
      <c r="X96" s="44" t="str">
        <f ca="1">IF(COUNTA($A96,$D96:$M96,$O96:$U96)=0,"",IF($A96="","Enter the Item Code (hamper) - type it, paste it, or choose it from the dropdown. ","")&amp;IF(AND($A96&lt;&gt;"",ISNA(MATCH($AC96,'PRODUCT DATA'!$D$2:$D$394,0))),"This Item Code is not recognised. Check the code (case does not matter, but spelling and digits must match exactly) or choose it from the dropdown. ","")&amp;IF($M96="","Enter the Country after the Item Code - type or paste the name or the 2-letter code, or choose it from the dropdown. ","")&amp;IF(AND($M96&lt;&gt;"",NOT(OR(NOT(ISNA(MATCH(IF(UPPER($M96)="UK","GB",$M96),'PRODUCT DATA'!$A$2:$A$58,0))),NOT(ISNA(MATCH(IF(UPPER($M96)="UK","GB",$M96),'PRODUCT DATA'!$B$2:$B$58,0)))))),"This Country is not recognised as either a full name or a 2-letter code. Check the spelling (case does not matter) or choose it from the dropdown. ","")&amp;IF(AND($A96&lt;&gt;"",$M96&lt;&gt;"",NOT(ISNA(MATCH($AC96,'PRODUCT DATA'!$D$2:$D$394,0))),OR(NOT(ISNA(MATCH(IF(UPPER($M96)="UK","GB",$M96),'PRODUCT DATA'!$A$2:$A$58,0))),NOT(ISNA(MATCH(IF(UPPER($M96)="UK","GB",$M96),'PRODUCT DATA'!$B$2:$B$58,0)))),NOT(IFERROR(COUNTIF(OFFSET('PRODUCT DATA'!$F$2,0,MATCH($AC96,'PRODUCT DATA'!$F$1:$NN$1,0)-1,114,1),$N96)&gt;0,FALSE()))),IF(UPPER(IFERROR(OFFSET('PRODUCT DATA'!$C$2,MATCH($N96,'PRODUCT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"),"")&amp;IF($C96="","Enter Quantity. ","")&amp;IF(AND($C96&lt;&gt;"",OR(NOT(ISNUMBER($C96)),$C96&lt;1,$C96&gt;999,MOD($C96,1)&lt;&gt;0)),"Quantity must be a whole number from 1 to 999 (use a quantity above 1 only for a genuine bulk order of identical items to ONE address — otherwise use a separate row per recipient). ","")&amp;IF($D96="","Enter Recipient Name. ","")&amp;IF(LEN($D96)&gt;35,"Recipient Name exceeds 35 characters. ","")&amp;IF($E96="","Enter Recipient Phone. ","")&amp;IF(AND($E96&lt;&gt;"",OR(LEN($E96)&lt;6,LEN($E96)&gt;20,NOT(IFERROR(ISNUMBER(1*$E96),FALSE())))),"Phone must be the LOCAL number for the destination country: digits only, no +, spaces, or country code, 6 to 20 digits. ","")&amp;IF(LEN($F96)&gt;35,"Recipient Company Name exceeds 35 characters. ","")&amp;IF($G96="","Enter Address Line 1. ","")&amp;IF(LEN($G96)&gt;35,"Address Line 1 exceeds the 35-character SAP limit. ","")&amp;IF(LEN($H96)&gt;35,"Address Line 2 exceeds the 35-character SAP limit. ","")&amp;IF(LEN($I96)&gt;35,"Address Line 3 exceeds the 35-character SAP limit. ","")&amp;IF($J96="","Enter Town. This must never be left blank, even if there is no conventional town name. ","")&amp;IF(LEN($J96)&gt;35,"Town exceeds 35 characters. ","")&amp;IF(AND($N96="IE",$K96=""),"County is required for deliveries within the Republic of Ireland. ","")&amp;IF(LEN($AB96)&gt;35,"County exceeds 35 characters. ","")&amp;IF(AND($L96="",AND($N96&lt;&gt;"AE",$N96&lt;&gt;"QA")),"Postcode is required for the selected country. If there is genuinely no postcode, enter the first 3 characters of the area (e.g. D15). ","")&amp;IF(LEN($L96)&gt;35,"Postcode exceeds 35 characters. ","")&amp;IF($AE96&lt;&gt;"",$AE96,"")&amp;IF(LEN($O96)&gt;40,"Gift Message Line 1 exceeds 40 characters. ","")&amp;IF(LEN($P96)&gt;40,"Gift Message Line 2 exceeds 40 characters. ","")&amp;IF(LEN($Q96)&gt;40,"Gift Message Line 3 exceeds 40 characters. ","")&amp;IF(LEN($R96)&gt;40,"Gift Message Line 4 exceeds 40 characters. ","")&amp;IF(LEN($S96)&gt;40,"Gift Message Line 5 exceeds 40 characters. ","")&amp;IF(LEN($T96)&gt;40,"Gift Message Line 6 exceeds 40 characters. ","")&amp;IF(LEN($U96)&gt;40,"Gift Message Line 7 exceeds 40 characters. ",""))</f>
        <v/>
      </c>
      <c r="Y96" s="44" t="str">
        <f t="shared" si="5"/>
        <v/>
      </c>
      <c r="Z96" s="44"/>
      <c r="AA96" s="44"/>
      <c r="AB96" s="32" t="str">
        <f t="shared" si="6"/>
        <v/>
      </c>
      <c r="AC96" s="32" t="str">
        <f>IF($A96="","",IFERROR(LEFT(INDEX('PRODUCT DATA'!$NO$2:$NO$25,MATCH($A96,'PRODUCT DATA'!$NP$2:$NP$25,0)),FIND("|",INDEX('PRODUCT DATA'!$NO$2:$NO$25,MATCH($A96,'PRODUCT DATA'!$NP$2:$NP$25,0)))-1),$A96))</f>
        <v/>
      </c>
      <c r="AD96" s="45"/>
      <c r="AE96" s="45" t="str">
        <f t="shared" si="7"/>
        <v/>
      </c>
    </row>
    <row r="97" spans="1:31" ht="15" customHeight="1" x14ac:dyDescent="0.25">
      <c r="A97" s="40"/>
      <c r="B97" s="43" t="str">
        <f>IF($A97="","",IFERROR(VLOOKUP($AC97,'PRODUCT DATA'!$NR$2:$NS$374,2,FALSE()),"UNKNOWN ITEM CODE - please check"))</f>
        <v/>
      </c>
      <c r="C97" s="39">
        <v>1</v>
      </c>
      <c r="D97" s="39"/>
      <c r="E97" s="40"/>
      <c r="F97" s="41"/>
      <c r="G97" s="39"/>
      <c r="H97" s="41"/>
      <c r="I97" s="41"/>
      <c r="J97" s="39"/>
      <c r="K97" s="41"/>
      <c r="L97" s="40"/>
      <c r="M97" s="40"/>
      <c r="N97" s="42" t="str">
        <f>IF($M97="","",IFERROR(INDEX('PRODUCT DATA'!$B$2:$B$58,MATCH(IF(UPPER($M97)="UK","GB",$M97),'PRODUCT DATA'!$B$2:$B$58,0)),IFERROR(INDEX('PRODUCT DATA'!$B$2:$B$58,MATCH(IF(UPPER($M97)="UK","GB",$M97),'PRODUCT DATA'!$A$2:$A$58,0)),"UNKNOWN COUNTRY - please check")))</f>
        <v/>
      </c>
      <c r="O97" s="41"/>
      <c r="P97" s="41"/>
      <c r="Q97" s="41"/>
      <c r="R97" s="41"/>
      <c r="S97" s="41"/>
      <c r="T97" s="41"/>
      <c r="U97" s="41"/>
      <c r="V97" s="43" t="str">
        <f t="shared" si="4"/>
        <v/>
      </c>
      <c r="W97" s="44" t="str">
        <f ca="1">IF(COUNTA($A97,$D97:$M97,$O97:$U97)=0,"",IF($A97="","Item Code; ","")&amp;IF(AND($A97&lt;&gt;"",ISNA(MATCH($AC97,'PRODUCT DATA'!$D$2:$D$394,0))),"Item Code; ","")&amp;IF($M97="","Country; ","")&amp;IF(AND($M97&lt;&gt;"",NOT(OR(NOT(ISNA(MATCH(IF(UPPER($M97)="UK","GB",$M97),'PRODUCT DATA'!$A$2:$A$58,0))),NOT(ISNA(MATCH(IF(UPPER($M97)="UK","GB",$M97),'PRODUCT DATA'!$B$2:$B$58,0)))))),"Country; ","")&amp;IF(AND($A97&lt;&gt;"",$M97&lt;&gt;"",NOT(ISNA(MATCH($AC97,'PRODUCT DATA'!$D$2:$D$394,0))),OR(NOT(ISNA(MATCH(IF(UPPER($M97)="UK","GB",$M97),'PRODUCT DATA'!$A$2:$A$58,0))),NOT(ISNA(MATCH(IF(UPPER($M97)="UK","GB",$M97),'PRODUCT DATA'!$B$2:$B$58,0)))),NOT(IFERROR(COUNTIF(OFFSET('PRODUCT DATA'!$F$2,0,MATCH($AC97,'PRODUCT DATA'!$F$1:$NN$1,0)-1,114,1),$N97)&gt;0,FALSE()))),IF(UPPER(IFERROR(OFFSET('PRODUCT DATA'!$C$2,MATCH($N97,'PRODUCT DATA'!$B$2:$B$58,0)-1,0),""))="NO","Alcohol Restriction; ","Item Code / Country combination; "),"")&amp;IF($C97="","Quantity; ","")&amp;IF(AND($C97&lt;&gt;"",OR(NOT(ISNUMBER($C97)),$C97&lt;1,$C97&gt;999,MOD($C97,1)&lt;&gt;0)),"Quantity; ","")&amp;IF($D97="","Recipient Name; ","")&amp;IF(LEN($D97)&gt;35,"Recipient Name; ","")&amp;IF($E97="","Recipient Phone; ","")&amp;IF(AND($E97&lt;&gt;"",OR(LEN($E97)&lt;6,LEN($E97)&gt;20,NOT(IFERROR(ISNUMBER(1*$E97),FALSE())))),"Recipient Phone; ","")&amp;IF(LEN($F97)&gt;35,"Recipient Company Name; ","")&amp;IF($G97="","Address Line 1; ","")&amp;IF(LEN($G97)&gt;35,"Address Line 1; ","")&amp;IF(LEN($H97)&gt;35,"Address Line 2; ","")&amp;IF(LEN($I97)&gt;35,"Address Line 3; ","")&amp;IF($J97="","Town; ","")&amp;IF(LEN($J97)&gt;35,"Town; ","")&amp;IF(AND($N97="IE",$K97=""),"County; ","")&amp;IF(LEN($AB97)&gt;35,"County; ","")&amp;IF(AND($L97="",AND($N97&lt;&gt;"AE",$N97&lt;&gt;"QA")),"Postcode; ","")&amp;IF(LEN($L97)&gt;35,"Postcode; ","")&amp;IF($AE97&lt;&gt;"","Postcode; ","")&amp;IF(LEN($O97)&gt;40,"Gift Message 1; ","")&amp;IF(LEN($P97)&gt;40,"Gift Message 2; ","")&amp;IF(LEN($Q97)&gt;40,"Gift Message 3; ","")&amp;IF(LEN($R97)&gt;40,"Gift Message 4; ","")&amp;IF(LEN($S97)&gt;40,"Gift Message 5; ","")&amp;IF(LEN($T97)&gt;40,"Gift Message 6; ","")&amp;IF(LEN($U97)&gt;40,"Gift Message 7; ",""))</f>
        <v/>
      </c>
      <c r="X97" s="44" t="str">
        <f ca="1">IF(COUNTA($A97,$D97:$M97,$O97:$U97)=0,"",IF($A97="","Enter the Item Code (hamper) - type it, paste it, or choose it from the dropdown. ","")&amp;IF(AND($A97&lt;&gt;"",ISNA(MATCH($AC97,'PRODUCT DATA'!$D$2:$D$394,0))),"This Item Code is not recognised. Check the code (case does not matter, but spelling and digits must match exactly) or choose it from the dropdown. ","")&amp;IF($M97="","Enter the Country after the Item Code - type or paste the name or the 2-letter code, or choose it from the dropdown. ","")&amp;IF(AND($M97&lt;&gt;"",NOT(OR(NOT(ISNA(MATCH(IF(UPPER($M97)="UK","GB",$M97),'PRODUCT DATA'!$A$2:$A$58,0))),NOT(ISNA(MATCH(IF(UPPER($M97)="UK","GB",$M97),'PRODUCT DATA'!$B$2:$B$58,0)))))),"This Country is not recognised as either a full name or a 2-letter code. Check the spelling (case does not matter) or choose it from the dropdown. ","")&amp;IF(AND($A97&lt;&gt;"",$M97&lt;&gt;"",NOT(ISNA(MATCH($AC97,'PRODUCT DATA'!$D$2:$D$394,0))),OR(NOT(ISNA(MATCH(IF(UPPER($M97)="UK","GB",$M97),'PRODUCT DATA'!$A$2:$A$58,0))),NOT(ISNA(MATCH(IF(UPPER($M97)="UK","GB",$M97),'PRODUCT DATA'!$B$2:$B$58,0)))),NOT(IFERROR(COUNTIF(OFFSET('PRODUCT DATA'!$F$2,0,MATCH($AC97,'PRODUCT DATA'!$F$1:$NN$1,0)-1,114,1),$N97)&gt;0,FALSE()))),IF(UPPER(IFERROR(OFFSET('PRODUCT DATA'!$C$2,MATCH($N97,'PRODUCT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"),"")&amp;IF($C97="","Enter Quantity. ","")&amp;IF(AND($C97&lt;&gt;"",OR(NOT(ISNUMBER($C97)),$C97&lt;1,$C97&gt;999,MOD($C97,1)&lt;&gt;0)),"Quantity must be a whole number from 1 to 999 (use a quantity above 1 only for a genuine bulk order of identical items to ONE address — otherwise use a separate row per recipient). ","")&amp;IF($D97="","Enter Recipient Name. ","")&amp;IF(LEN($D97)&gt;35,"Recipient Name exceeds 35 characters. ","")&amp;IF($E97="","Enter Recipient Phone. ","")&amp;IF(AND($E97&lt;&gt;"",OR(LEN($E97)&lt;6,LEN($E97)&gt;20,NOT(IFERROR(ISNUMBER(1*$E97),FALSE())))),"Phone must be the LOCAL number for the destination country: digits only, no +, spaces, or country code, 6 to 20 digits. ","")&amp;IF(LEN($F97)&gt;35,"Recipient Company Name exceeds 35 characters. ","")&amp;IF($G97="","Enter Address Line 1. ","")&amp;IF(LEN($G97)&gt;35,"Address Line 1 exceeds the 35-character SAP limit. ","")&amp;IF(LEN($H97)&gt;35,"Address Line 2 exceeds the 35-character SAP limit. ","")&amp;IF(LEN($I97)&gt;35,"Address Line 3 exceeds the 35-character SAP limit. ","")&amp;IF($J97="","Enter Town. This must never be left blank, even if there is no conventional town name. ","")&amp;IF(LEN($J97)&gt;35,"Town exceeds 35 characters. ","")&amp;IF(AND($N97="IE",$K97=""),"County is required for deliveries within the Republic of Ireland. ","")&amp;IF(LEN($AB97)&gt;35,"County exceeds 35 characters. ","")&amp;IF(AND($L97="",AND($N97&lt;&gt;"AE",$N97&lt;&gt;"QA")),"Postcode is required for the selected country. If there is genuinely no postcode, enter the first 3 characters of the area (e.g. D15). ","")&amp;IF(LEN($L97)&gt;35,"Postcode exceeds 35 characters. ","")&amp;IF($AE97&lt;&gt;"",$AE97,"")&amp;IF(LEN($O97)&gt;40,"Gift Message Line 1 exceeds 40 characters. ","")&amp;IF(LEN($P97)&gt;40,"Gift Message Line 2 exceeds 40 characters. ","")&amp;IF(LEN($Q97)&gt;40,"Gift Message Line 3 exceeds 40 characters. ","")&amp;IF(LEN($R97)&gt;40,"Gift Message Line 4 exceeds 40 characters. ","")&amp;IF(LEN($S97)&gt;40,"Gift Message Line 5 exceeds 40 characters. ","")&amp;IF(LEN($T97)&gt;40,"Gift Message Line 6 exceeds 40 characters. ","")&amp;IF(LEN($U97)&gt;40,"Gift Message Line 7 exceeds 40 characters. ",""))</f>
        <v/>
      </c>
      <c r="Y97" s="44" t="str">
        <f t="shared" si="5"/>
        <v/>
      </c>
      <c r="Z97" s="44"/>
      <c r="AA97" s="44"/>
      <c r="AB97" s="32" t="str">
        <f t="shared" si="6"/>
        <v/>
      </c>
      <c r="AC97" s="32" t="str">
        <f>IF($A97="","",IFERROR(LEFT(INDEX('PRODUCT DATA'!$NO$2:$NO$25,MATCH($A97,'PRODUCT DATA'!$NP$2:$NP$25,0)),FIND("|",INDEX('PRODUCT DATA'!$NO$2:$NO$25,MATCH($A97,'PRODUCT DATA'!$NP$2:$NP$25,0)))-1),$A97))</f>
        <v/>
      </c>
      <c r="AD97" s="45"/>
      <c r="AE97" s="45" t="str">
        <f t="shared" si="7"/>
        <v/>
      </c>
    </row>
    <row r="98" spans="1:31" ht="15" customHeight="1" x14ac:dyDescent="0.25">
      <c r="A98" s="40"/>
      <c r="B98" s="43" t="str">
        <f>IF($A98="","",IFERROR(VLOOKUP($AC98,'PRODUCT DATA'!$NR$2:$NS$374,2,FALSE()),"UNKNOWN ITEM CODE - please check"))</f>
        <v/>
      </c>
      <c r="C98" s="39">
        <v>1</v>
      </c>
      <c r="D98" s="39"/>
      <c r="E98" s="40"/>
      <c r="F98" s="41"/>
      <c r="G98" s="39"/>
      <c r="H98" s="41"/>
      <c r="I98" s="41"/>
      <c r="J98" s="39"/>
      <c r="K98" s="41"/>
      <c r="L98" s="40"/>
      <c r="M98" s="40"/>
      <c r="N98" s="42" t="str">
        <f>IF($M98="","",IFERROR(INDEX('PRODUCT DATA'!$B$2:$B$58,MATCH(IF(UPPER($M98)="UK","GB",$M98),'PRODUCT DATA'!$B$2:$B$58,0)),IFERROR(INDEX('PRODUCT DATA'!$B$2:$B$58,MATCH(IF(UPPER($M98)="UK","GB",$M98),'PRODUCT DATA'!$A$2:$A$58,0)),"UNKNOWN COUNTRY - please check")))</f>
        <v/>
      </c>
      <c r="O98" s="41"/>
      <c r="P98" s="41"/>
      <c r="Q98" s="41"/>
      <c r="R98" s="41"/>
      <c r="S98" s="41"/>
      <c r="T98" s="41"/>
      <c r="U98" s="41"/>
      <c r="V98" s="43" t="str">
        <f t="shared" si="4"/>
        <v/>
      </c>
      <c r="W98" s="44" t="str">
        <f ca="1">IF(COUNTA($A98,$D98:$M98,$O98:$U98)=0,"",IF($A98="","Item Code; ","")&amp;IF(AND($A98&lt;&gt;"",ISNA(MATCH($AC98,'PRODUCT DATA'!$D$2:$D$394,0))),"Item Code; ","")&amp;IF($M98="","Country; ","")&amp;IF(AND($M98&lt;&gt;"",NOT(OR(NOT(ISNA(MATCH(IF(UPPER($M98)="UK","GB",$M98),'PRODUCT DATA'!$A$2:$A$58,0))),NOT(ISNA(MATCH(IF(UPPER($M98)="UK","GB",$M98),'PRODUCT DATA'!$B$2:$B$58,0)))))),"Country; ","")&amp;IF(AND($A98&lt;&gt;"",$M98&lt;&gt;"",NOT(ISNA(MATCH($AC98,'PRODUCT DATA'!$D$2:$D$394,0))),OR(NOT(ISNA(MATCH(IF(UPPER($M98)="UK","GB",$M98),'PRODUCT DATA'!$A$2:$A$58,0))),NOT(ISNA(MATCH(IF(UPPER($M98)="UK","GB",$M98),'PRODUCT DATA'!$B$2:$B$58,0)))),NOT(IFERROR(COUNTIF(OFFSET('PRODUCT DATA'!$F$2,0,MATCH($AC98,'PRODUCT DATA'!$F$1:$NN$1,0)-1,114,1),$N98)&gt;0,FALSE()))),IF(UPPER(IFERROR(OFFSET('PRODUCT DATA'!$C$2,MATCH($N98,'PRODUCT DATA'!$B$2:$B$58,0)-1,0),""))="NO","Alcohol Restriction; ","Item Code / Country combination; "),"")&amp;IF($C98="","Quantity; ","")&amp;IF(AND($C98&lt;&gt;"",OR(NOT(ISNUMBER($C98)),$C98&lt;1,$C98&gt;999,MOD($C98,1)&lt;&gt;0)),"Quantity; ","")&amp;IF($D98="","Recipient Name; ","")&amp;IF(LEN($D98)&gt;35,"Recipient Name; ","")&amp;IF($E98="","Recipient Phone; ","")&amp;IF(AND($E98&lt;&gt;"",OR(LEN($E98)&lt;6,LEN($E98)&gt;20,NOT(IFERROR(ISNUMBER(1*$E98),FALSE())))),"Recipient Phone; ","")&amp;IF(LEN($F98)&gt;35,"Recipient Company Name; ","")&amp;IF($G98="","Address Line 1; ","")&amp;IF(LEN($G98)&gt;35,"Address Line 1; ","")&amp;IF(LEN($H98)&gt;35,"Address Line 2; ","")&amp;IF(LEN($I98)&gt;35,"Address Line 3; ","")&amp;IF($J98="","Town; ","")&amp;IF(LEN($J98)&gt;35,"Town; ","")&amp;IF(AND($N98="IE",$K98=""),"County; ","")&amp;IF(LEN($AB98)&gt;35,"County; ","")&amp;IF(AND($L98="",AND($N98&lt;&gt;"AE",$N98&lt;&gt;"QA")),"Postcode; ","")&amp;IF(LEN($L98)&gt;35,"Postcode; ","")&amp;IF($AE98&lt;&gt;"","Postcode; ","")&amp;IF(LEN($O98)&gt;40,"Gift Message 1; ","")&amp;IF(LEN($P98)&gt;40,"Gift Message 2; ","")&amp;IF(LEN($Q98)&gt;40,"Gift Message 3; ","")&amp;IF(LEN($R98)&gt;40,"Gift Message 4; ","")&amp;IF(LEN($S98)&gt;40,"Gift Message 5; ","")&amp;IF(LEN($T98)&gt;40,"Gift Message 6; ","")&amp;IF(LEN($U98)&gt;40,"Gift Message 7; ",""))</f>
        <v/>
      </c>
      <c r="X98" s="44" t="str">
        <f ca="1">IF(COUNTA($A98,$D98:$M98,$O98:$U98)=0,"",IF($A98="","Enter the Item Code (hamper) - type it, paste it, or choose it from the dropdown. ","")&amp;IF(AND($A98&lt;&gt;"",ISNA(MATCH($AC98,'PRODUCT DATA'!$D$2:$D$394,0))),"This Item Code is not recognised. Check the code (case does not matter, but spelling and digits must match exactly) or choose it from the dropdown. ","")&amp;IF($M98="","Enter the Country after the Item Code - type or paste the name or the 2-letter code, or choose it from the dropdown. ","")&amp;IF(AND($M98&lt;&gt;"",NOT(OR(NOT(ISNA(MATCH(IF(UPPER($M98)="UK","GB",$M98),'PRODUCT DATA'!$A$2:$A$58,0))),NOT(ISNA(MATCH(IF(UPPER($M98)="UK","GB",$M98),'PRODUCT DATA'!$B$2:$B$58,0)))))),"This Country is not recognised as either a full name or a 2-letter code. Check the spelling (case does not matter) or choose it from the dropdown. ","")&amp;IF(AND($A98&lt;&gt;"",$M98&lt;&gt;"",NOT(ISNA(MATCH($AC98,'PRODUCT DATA'!$D$2:$D$394,0))),OR(NOT(ISNA(MATCH(IF(UPPER($M98)="UK","GB",$M98),'PRODUCT DATA'!$A$2:$A$58,0))),NOT(ISNA(MATCH(IF(UPPER($M98)="UK","GB",$M98),'PRODUCT DATA'!$B$2:$B$58,0)))),NOT(IFERROR(COUNTIF(OFFSET('PRODUCT DATA'!$F$2,0,MATCH($AC98,'PRODUCT DATA'!$F$1:$NN$1,0)-1,114,1),$N98)&gt;0,FALSE()))),IF(UPPER(IFERROR(OFFSET('PRODUCT DATA'!$C$2,MATCH($N98,'PRODUCT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"),"")&amp;IF($C98="","Enter Quantity. ","")&amp;IF(AND($C98&lt;&gt;"",OR(NOT(ISNUMBER($C98)),$C98&lt;1,$C98&gt;999,MOD($C98,1)&lt;&gt;0)),"Quantity must be a whole number from 1 to 999 (use a quantity above 1 only for a genuine bulk order of identical items to ONE address — otherwise use a separate row per recipient). ","")&amp;IF($D98="","Enter Recipient Name. ","")&amp;IF(LEN($D98)&gt;35,"Recipient Name exceeds 35 characters. ","")&amp;IF($E98="","Enter Recipient Phone. ","")&amp;IF(AND($E98&lt;&gt;"",OR(LEN($E98)&lt;6,LEN($E98)&gt;20,NOT(IFERROR(ISNUMBER(1*$E98),FALSE())))),"Phone must be the LOCAL number for the destination country: digits only, no +, spaces, or country code, 6 to 20 digits. ","")&amp;IF(LEN($F98)&gt;35,"Recipient Company Name exceeds 35 characters. ","")&amp;IF($G98="","Enter Address Line 1. ","")&amp;IF(LEN($G98)&gt;35,"Address Line 1 exceeds the 35-character SAP limit. ","")&amp;IF(LEN($H98)&gt;35,"Address Line 2 exceeds the 35-character SAP limit. ","")&amp;IF(LEN($I98)&gt;35,"Address Line 3 exceeds the 35-character SAP limit. ","")&amp;IF($J98="","Enter Town. This must never be left blank, even if there is no conventional town name. ","")&amp;IF(LEN($J98)&gt;35,"Town exceeds 35 characters. ","")&amp;IF(AND($N98="IE",$K98=""),"County is required for deliveries within the Republic of Ireland. ","")&amp;IF(LEN($AB98)&gt;35,"County exceeds 35 characters. ","")&amp;IF(AND($L98="",AND($N98&lt;&gt;"AE",$N98&lt;&gt;"QA")),"Postcode is required for the selected country. If there is genuinely no postcode, enter the first 3 characters of the area (e.g. D15). ","")&amp;IF(LEN($L98)&gt;35,"Postcode exceeds 35 characters. ","")&amp;IF($AE98&lt;&gt;"",$AE98,"")&amp;IF(LEN($O98)&gt;40,"Gift Message Line 1 exceeds 40 characters. ","")&amp;IF(LEN($P98)&gt;40,"Gift Message Line 2 exceeds 40 characters. ","")&amp;IF(LEN($Q98)&gt;40,"Gift Message Line 3 exceeds 40 characters. ","")&amp;IF(LEN($R98)&gt;40,"Gift Message Line 4 exceeds 40 characters. ","")&amp;IF(LEN($S98)&gt;40,"Gift Message Line 5 exceeds 40 characters. ","")&amp;IF(LEN($T98)&gt;40,"Gift Message Line 6 exceeds 40 characters. ","")&amp;IF(LEN($U98)&gt;40,"Gift Message Line 7 exceeds 40 characters. ",""))</f>
        <v/>
      </c>
      <c r="Y98" s="44" t="str">
        <f t="shared" si="5"/>
        <v/>
      </c>
      <c r="Z98" s="44"/>
      <c r="AA98" s="44"/>
      <c r="AB98" s="32" t="str">
        <f t="shared" si="6"/>
        <v/>
      </c>
      <c r="AC98" s="32" t="str">
        <f>IF($A98="","",IFERROR(LEFT(INDEX('PRODUCT DATA'!$NO$2:$NO$25,MATCH($A98,'PRODUCT DATA'!$NP$2:$NP$25,0)),FIND("|",INDEX('PRODUCT DATA'!$NO$2:$NO$25,MATCH($A98,'PRODUCT DATA'!$NP$2:$NP$25,0)))-1),$A98))</f>
        <v/>
      </c>
      <c r="AD98" s="45"/>
      <c r="AE98" s="45" t="str">
        <f t="shared" si="7"/>
        <v/>
      </c>
    </row>
    <row r="99" spans="1:31" ht="15" customHeight="1" x14ac:dyDescent="0.25">
      <c r="A99" s="40"/>
      <c r="B99" s="43" t="str">
        <f>IF($A99="","",IFERROR(VLOOKUP($AC99,'PRODUCT DATA'!$NR$2:$NS$374,2,FALSE()),"UNKNOWN ITEM CODE - please check"))</f>
        <v/>
      </c>
      <c r="C99" s="39">
        <v>1</v>
      </c>
      <c r="D99" s="39"/>
      <c r="E99" s="40"/>
      <c r="F99" s="41"/>
      <c r="G99" s="39"/>
      <c r="H99" s="41"/>
      <c r="I99" s="41"/>
      <c r="J99" s="39"/>
      <c r="K99" s="41"/>
      <c r="L99" s="40"/>
      <c r="M99" s="40"/>
      <c r="N99" s="42" t="str">
        <f>IF($M99="","",IFERROR(INDEX('PRODUCT DATA'!$B$2:$B$58,MATCH(IF(UPPER($M99)="UK","GB",$M99),'PRODUCT DATA'!$B$2:$B$58,0)),IFERROR(INDEX('PRODUCT DATA'!$B$2:$B$58,MATCH(IF(UPPER($M99)="UK","GB",$M99),'PRODUCT DATA'!$A$2:$A$58,0)),"UNKNOWN COUNTRY - please check")))</f>
        <v/>
      </c>
      <c r="O99" s="41"/>
      <c r="P99" s="41"/>
      <c r="Q99" s="41"/>
      <c r="R99" s="41"/>
      <c r="S99" s="41"/>
      <c r="T99" s="41"/>
      <c r="U99" s="41"/>
      <c r="V99" s="43" t="str">
        <f t="shared" si="4"/>
        <v/>
      </c>
      <c r="W99" s="44" t="str">
        <f ca="1">IF(COUNTA($A99,$D99:$M99,$O99:$U99)=0,"",IF($A99="","Item Code; ","")&amp;IF(AND($A99&lt;&gt;"",ISNA(MATCH($AC99,'PRODUCT DATA'!$D$2:$D$394,0))),"Item Code; ","")&amp;IF($M99="","Country; ","")&amp;IF(AND($M99&lt;&gt;"",NOT(OR(NOT(ISNA(MATCH(IF(UPPER($M99)="UK","GB",$M99),'PRODUCT DATA'!$A$2:$A$58,0))),NOT(ISNA(MATCH(IF(UPPER($M99)="UK","GB",$M99),'PRODUCT DATA'!$B$2:$B$58,0)))))),"Country; ","")&amp;IF(AND($A99&lt;&gt;"",$M99&lt;&gt;"",NOT(ISNA(MATCH($AC99,'PRODUCT DATA'!$D$2:$D$394,0))),OR(NOT(ISNA(MATCH(IF(UPPER($M99)="UK","GB",$M99),'PRODUCT DATA'!$A$2:$A$58,0))),NOT(ISNA(MATCH(IF(UPPER($M99)="UK","GB",$M99),'PRODUCT DATA'!$B$2:$B$58,0)))),NOT(IFERROR(COUNTIF(OFFSET('PRODUCT DATA'!$F$2,0,MATCH($AC99,'PRODUCT DATA'!$F$1:$NN$1,0)-1,114,1),$N99)&gt;0,FALSE()))),IF(UPPER(IFERROR(OFFSET('PRODUCT DATA'!$C$2,MATCH($N99,'PRODUCT DATA'!$B$2:$B$58,0)-1,0),""))="NO","Alcohol Restriction; ","Item Code / Country combination; "),"")&amp;IF($C99="","Quantity; ","")&amp;IF(AND($C99&lt;&gt;"",OR(NOT(ISNUMBER($C99)),$C99&lt;1,$C99&gt;999,MOD($C99,1)&lt;&gt;0)),"Quantity; ","")&amp;IF($D99="","Recipient Name; ","")&amp;IF(LEN($D99)&gt;35,"Recipient Name; ","")&amp;IF($E99="","Recipient Phone; ","")&amp;IF(AND($E99&lt;&gt;"",OR(LEN($E99)&lt;6,LEN($E99)&gt;20,NOT(IFERROR(ISNUMBER(1*$E99),FALSE())))),"Recipient Phone; ","")&amp;IF(LEN($F99)&gt;35,"Recipient Company Name; ","")&amp;IF($G99="","Address Line 1; ","")&amp;IF(LEN($G99)&gt;35,"Address Line 1; ","")&amp;IF(LEN($H99)&gt;35,"Address Line 2; ","")&amp;IF(LEN($I99)&gt;35,"Address Line 3; ","")&amp;IF($J99="","Town; ","")&amp;IF(LEN($J99)&gt;35,"Town; ","")&amp;IF(AND($N99="IE",$K99=""),"County; ","")&amp;IF(LEN($AB99)&gt;35,"County; ","")&amp;IF(AND($L99="",AND($N99&lt;&gt;"AE",$N99&lt;&gt;"QA")),"Postcode; ","")&amp;IF(LEN($L99)&gt;35,"Postcode; ","")&amp;IF($AE99&lt;&gt;"","Postcode; ","")&amp;IF(LEN($O99)&gt;40,"Gift Message 1; ","")&amp;IF(LEN($P99)&gt;40,"Gift Message 2; ","")&amp;IF(LEN($Q99)&gt;40,"Gift Message 3; ","")&amp;IF(LEN($R99)&gt;40,"Gift Message 4; ","")&amp;IF(LEN($S99)&gt;40,"Gift Message 5; ","")&amp;IF(LEN($T99)&gt;40,"Gift Message 6; ","")&amp;IF(LEN($U99)&gt;40,"Gift Message 7; ",""))</f>
        <v/>
      </c>
      <c r="X99" s="44" t="str">
        <f ca="1">IF(COUNTA($A99,$D99:$M99,$O99:$U99)=0,"",IF($A99="","Enter the Item Code (hamper) - type it, paste it, or choose it from the dropdown. ","")&amp;IF(AND($A99&lt;&gt;"",ISNA(MATCH($AC99,'PRODUCT DATA'!$D$2:$D$394,0))),"This Item Code is not recognised. Check the code (case does not matter, but spelling and digits must match exactly) or choose it from the dropdown. ","")&amp;IF($M99="","Enter the Country after the Item Code - type or paste the name or the 2-letter code, or choose it from the dropdown. ","")&amp;IF(AND($M99&lt;&gt;"",NOT(OR(NOT(ISNA(MATCH(IF(UPPER($M99)="UK","GB",$M99),'PRODUCT DATA'!$A$2:$A$58,0))),NOT(ISNA(MATCH(IF(UPPER($M99)="UK","GB",$M99),'PRODUCT DATA'!$B$2:$B$58,0)))))),"This Country is not recognised as either a full name or a 2-letter code. Check the spelling (case does not matter) or choose it from the dropdown. ","")&amp;IF(AND($A99&lt;&gt;"",$M99&lt;&gt;"",NOT(ISNA(MATCH($AC99,'PRODUCT DATA'!$D$2:$D$394,0))),OR(NOT(ISNA(MATCH(IF(UPPER($M99)="UK","GB",$M99),'PRODUCT DATA'!$A$2:$A$58,0))),NOT(ISNA(MATCH(IF(UPPER($M99)="UK","GB",$M99),'PRODUCT DATA'!$B$2:$B$58,0)))),NOT(IFERROR(COUNTIF(OFFSET('PRODUCT DATA'!$F$2,0,MATCH($AC99,'PRODUCT DATA'!$F$1:$NN$1,0)-1,114,1),$N99)&gt;0,FALSE()))),IF(UPPER(IFERROR(OFFSET('PRODUCT DATA'!$C$2,MATCH($N99,'PRODUCT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"),"")&amp;IF($C99="","Enter Quantity. ","")&amp;IF(AND($C99&lt;&gt;"",OR(NOT(ISNUMBER($C99)),$C99&lt;1,$C99&gt;999,MOD($C99,1)&lt;&gt;0)),"Quantity must be a whole number from 1 to 999 (use a quantity above 1 only for a genuine bulk order of identical items to ONE address — otherwise use a separate row per recipient). ","")&amp;IF($D99="","Enter Recipient Name. ","")&amp;IF(LEN($D99)&gt;35,"Recipient Name exceeds 35 characters. ","")&amp;IF($E99="","Enter Recipient Phone. ","")&amp;IF(AND($E99&lt;&gt;"",OR(LEN($E99)&lt;6,LEN($E99)&gt;20,NOT(IFERROR(ISNUMBER(1*$E99),FALSE())))),"Phone must be the LOCAL number for the destination country: digits only, no +, spaces, or country code, 6 to 20 digits. ","")&amp;IF(LEN($F99)&gt;35,"Recipient Company Name exceeds 35 characters. ","")&amp;IF($G99="","Enter Address Line 1. ","")&amp;IF(LEN($G99)&gt;35,"Address Line 1 exceeds the 35-character SAP limit. ","")&amp;IF(LEN($H99)&gt;35,"Address Line 2 exceeds the 35-character SAP limit. ","")&amp;IF(LEN($I99)&gt;35,"Address Line 3 exceeds the 35-character SAP limit. ","")&amp;IF($J99="","Enter Town. This must never be left blank, even if there is no conventional town name. ","")&amp;IF(LEN($J99)&gt;35,"Town exceeds 35 characters. ","")&amp;IF(AND($N99="IE",$K99=""),"County is required for deliveries within the Republic of Ireland. ","")&amp;IF(LEN($AB99)&gt;35,"County exceeds 35 characters. ","")&amp;IF(AND($L99="",AND($N99&lt;&gt;"AE",$N99&lt;&gt;"QA")),"Postcode is required for the selected country. If there is genuinely no postcode, enter the first 3 characters of the area (e.g. D15). ","")&amp;IF(LEN($L99)&gt;35,"Postcode exceeds 35 characters. ","")&amp;IF($AE99&lt;&gt;"",$AE99,"")&amp;IF(LEN($O99)&gt;40,"Gift Message Line 1 exceeds 40 characters. ","")&amp;IF(LEN($P99)&gt;40,"Gift Message Line 2 exceeds 40 characters. ","")&amp;IF(LEN($Q99)&gt;40,"Gift Message Line 3 exceeds 40 characters. ","")&amp;IF(LEN($R99)&gt;40,"Gift Message Line 4 exceeds 40 characters. ","")&amp;IF(LEN($S99)&gt;40,"Gift Message Line 5 exceeds 40 characters. ","")&amp;IF(LEN($T99)&gt;40,"Gift Message Line 6 exceeds 40 characters. ","")&amp;IF(LEN($U99)&gt;40,"Gift Message Line 7 exceeds 40 characters. ",""))</f>
        <v/>
      </c>
      <c r="Y99" s="44" t="str">
        <f t="shared" si="5"/>
        <v/>
      </c>
      <c r="Z99" s="44"/>
      <c r="AA99" s="44"/>
      <c r="AB99" s="32" t="str">
        <f t="shared" si="6"/>
        <v/>
      </c>
      <c r="AC99" s="32" t="str">
        <f>IF($A99="","",IFERROR(LEFT(INDEX('PRODUCT DATA'!$NO$2:$NO$25,MATCH($A99,'PRODUCT DATA'!$NP$2:$NP$25,0)),FIND("|",INDEX('PRODUCT DATA'!$NO$2:$NO$25,MATCH($A99,'PRODUCT DATA'!$NP$2:$NP$25,0)))-1),$A99))</f>
        <v/>
      </c>
      <c r="AD99" s="45"/>
      <c r="AE99" s="45" t="str">
        <f t="shared" si="7"/>
        <v/>
      </c>
    </row>
    <row r="100" spans="1:31" ht="15" customHeight="1" x14ac:dyDescent="0.25">
      <c r="A100" s="40"/>
      <c r="B100" s="43" t="str">
        <f>IF($A100="","",IFERROR(VLOOKUP($AC100,'PRODUCT DATA'!$NR$2:$NS$374,2,FALSE()),"UNKNOWN ITEM CODE - please check"))</f>
        <v/>
      </c>
      <c r="C100" s="39">
        <v>1</v>
      </c>
      <c r="D100" s="39"/>
      <c r="E100" s="40"/>
      <c r="F100" s="41"/>
      <c r="G100" s="39"/>
      <c r="H100" s="41"/>
      <c r="I100" s="41"/>
      <c r="J100" s="39"/>
      <c r="K100" s="41"/>
      <c r="L100" s="40"/>
      <c r="M100" s="40"/>
      <c r="N100" s="42" t="str">
        <f>IF($M100="","",IFERROR(INDEX('PRODUCT DATA'!$B$2:$B$58,MATCH(IF(UPPER($M100)="UK","GB",$M100),'PRODUCT DATA'!$B$2:$B$58,0)),IFERROR(INDEX('PRODUCT DATA'!$B$2:$B$58,MATCH(IF(UPPER($M100)="UK","GB",$M100),'PRODUCT DATA'!$A$2:$A$58,0)),"UNKNOWN COUNTRY - please check")))</f>
        <v/>
      </c>
      <c r="O100" s="41"/>
      <c r="P100" s="41"/>
      <c r="Q100" s="41"/>
      <c r="R100" s="41"/>
      <c r="S100" s="41"/>
      <c r="T100" s="41"/>
      <c r="U100" s="41"/>
      <c r="V100" s="43" t="str">
        <f t="shared" si="4"/>
        <v/>
      </c>
      <c r="W100" s="44" t="str">
        <f ca="1">IF(COUNTA($A100,$D100:$M100,$O100:$U100)=0,"",IF($A100="","Item Code; ","")&amp;IF(AND($A100&lt;&gt;"",ISNA(MATCH($AC100,'PRODUCT DATA'!$D$2:$D$394,0))),"Item Code; ","")&amp;IF($M100="","Country; ","")&amp;IF(AND($M100&lt;&gt;"",NOT(OR(NOT(ISNA(MATCH(IF(UPPER($M100)="UK","GB",$M100),'PRODUCT DATA'!$A$2:$A$58,0))),NOT(ISNA(MATCH(IF(UPPER($M100)="UK","GB",$M100),'PRODUCT DATA'!$B$2:$B$58,0)))))),"Country; ","")&amp;IF(AND($A100&lt;&gt;"",$M100&lt;&gt;"",NOT(ISNA(MATCH($AC100,'PRODUCT DATA'!$D$2:$D$394,0))),OR(NOT(ISNA(MATCH(IF(UPPER($M100)="UK","GB",$M100),'PRODUCT DATA'!$A$2:$A$58,0))),NOT(ISNA(MATCH(IF(UPPER($M100)="UK","GB",$M100),'PRODUCT DATA'!$B$2:$B$58,0)))),NOT(IFERROR(COUNTIF(OFFSET('PRODUCT DATA'!$F$2,0,MATCH($AC100,'PRODUCT DATA'!$F$1:$NN$1,0)-1,114,1),$N100)&gt;0,FALSE()))),IF(UPPER(IFERROR(OFFSET('PRODUCT DATA'!$C$2,MATCH($N100,'PRODUCT DATA'!$B$2:$B$58,0)-1,0),""))="NO","Alcohol Restriction; ","Item Code / Country combination; "),"")&amp;IF($C100="","Quantity; ","")&amp;IF(AND($C100&lt;&gt;"",OR(NOT(ISNUMBER($C100)),$C100&lt;1,$C100&gt;999,MOD($C100,1)&lt;&gt;0)),"Quantity; ","")&amp;IF($D100="","Recipient Name; ","")&amp;IF(LEN($D100)&gt;35,"Recipient Name; ","")&amp;IF($E100="","Recipient Phone; ","")&amp;IF(AND($E100&lt;&gt;"",OR(LEN($E100)&lt;6,LEN($E100)&gt;20,NOT(IFERROR(ISNUMBER(1*$E100),FALSE())))),"Recipient Phone; ","")&amp;IF(LEN($F100)&gt;35,"Recipient Company Name; ","")&amp;IF($G100="","Address Line 1; ","")&amp;IF(LEN($G100)&gt;35,"Address Line 1; ","")&amp;IF(LEN($H100)&gt;35,"Address Line 2; ","")&amp;IF(LEN($I100)&gt;35,"Address Line 3; ","")&amp;IF($J100="","Town; ","")&amp;IF(LEN($J100)&gt;35,"Town; ","")&amp;IF(AND($N100="IE",$K100=""),"County; ","")&amp;IF(LEN($AB100)&gt;35,"County; ","")&amp;IF(AND($L100="",AND($N100&lt;&gt;"AE",$N100&lt;&gt;"QA")),"Postcode; ","")&amp;IF(LEN($L100)&gt;35,"Postcode; ","")&amp;IF($AE100&lt;&gt;"","Postcode; ","")&amp;IF(LEN($O100)&gt;40,"Gift Message 1; ","")&amp;IF(LEN($P100)&gt;40,"Gift Message 2; ","")&amp;IF(LEN($Q100)&gt;40,"Gift Message 3; ","")&amp;IF(LEN($R100)&gt;40,"Gift Message 4; ","")&amp;IF(LEN($S100)&gt;40,"Gift Message 5; ","")&amp;IF(LEN($T100)&gt;40,"Gift Message 6; ","")&amp;IF(LEN($U100)&gt;40,"Gift Message 7; ",""))</f>
        <v/>
      </c>
      <c r="X100" s="44" t="str">
        <f ca="1">IF(COUNTA($A100,$D100:$M100,$O100:$U100)=0,"",IF($A100="","Enter the Item Code (hamper) - type it, paste it, or choose it from the dropdown. ","")&amp;IF(AND($A100&lt;&gt;"",ISNA(MATCH($AC100,'PRODUCT DATA'!$D$2:$D$394,0))),"This Item Code is not recognised. Check the code (case does not matter, but spelling and digits must match exactly) or choose it from the dropdown. ","")&amp;IF($M100="","Enter the Country after the Item Code - type or paste the name or the 2-letter code, or choose it from the dropdown. ","")&amp;IF(AND($M100&lt;&gt;"",NOT(OR(NOT(ISNA(MATCH(IF(UPPER($M100)="UK","GB",$M100),'PRODUCT DATA'!$A$2:$A$58,0))),NOT(ISNA(MATCH(IF(UPPER($M100)="UK","GB",$M100),'PRODUCT DATA'!$B$2:$B$58,0)))))),"This Country is not recognised as either a full name or a 2-letter code. Check the spelling (case does not matter) or choose it from the dropdown. ","")&amp;IF(AND($A100&lt;&gt;"",$M100&lt;&gt;"",NOT(ISNA(MATCH($AC100,'PRODUCT DATA'!$D$2:$D$394,0))),OR(NOT(ISNA(MATCH(IF(UPPER($M100)="UK","GB",$M100),'PRODUCT DATA'!$A$2:$A$58,0))),NOT(ISNA(MATCH(IF(UPPER($M100)="UK","GB",$M100),'PRODUCT DATA'!$B$2:$B$58,0)))),NOT(IFERROR(COUNTIF(OFFSET('PRODUCT DATA'!$F$2,0,MATCH($AC100,'PRODUCT DATA'!$F$1:$NN$1,0)-1,114,1),$N100)&gt;0,FALSE()))),IF(UPPER(IFERROR(OFFSET('PRODUCT DATA'!$C$2,MATCH($N100,'PRODUCT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"),"")&amp;IF($C100="","Enter Quantity. ","")&amp;IF(AND($C100&lt;&gt;"",OR(NOT(ISNUMBER($C100)),$C100&lt;1,$C100&gt;999,MOD($C100,1)&lt;&gt;0)),"Quantity must be a whole number from 1 to 999 (use a quantity above 1 only for a genuine bulk order of identical items to ONE address — otherwise use a separate row per recipient). ","")&amp;IF($D100="","Enter Recipient Name. ","")&amp;IF(LEN($D100)&gt;35,"Recipient Name exceeds 35 characters. ","")&amp;IF($E100="","Enter Recipient Phone. ","")&amp;IF(AND($E100&lt;&gt;"",OR(LEN($E100)&lt;6,LEN($E100)&gt;20,NOT(IFERROR(ISNUMBER(1*$E100),FALSE())))),"Phone must be the LOCAL number for the destination country: digits only, no +, spaces, or country code, 6 to 20 digits. ","")&amp;IF(LEN($F100)&gt;35,"Recipient Company Name exceeds 35 characters. ","")&amp;IF($G100="","Enter Address Line 1. ","")&amp;IF(LEN($G100)&gt;35,"Address Line 1 exceeds the 35-character SAP limit. ","")&amp;IF(LEN($H100)&gt;35,"Address Line 2 exceeds the 35-character SAP limit. ","")&amp;IF(LEN($I100)&gt;35,"Address Line 3 exceeds the 35-character SAP limit. ","")&amp;IF($J100="","Enter Town. This must never be left blank, even if there is no conventional town name. ","")&amp;IF(LEN($J100)&gt;35,"Town exceeds 35 characters. ","")&amp;IF(AND($N100="IE",$K100=""),"County is required for deliveries within the Republic of Ireland. ","")&amp;IF(LEN($AB100)&gt;35,"County exceeds 35 characters. ","")&amp;IF(AND($L100="",AND($N100&lt;&gt;"AE",$N100&lt;&gt;"QA")),"Postcode is required for the selected country. If there is genuinely no postcode, enter the first 3 characters of the area (e.g. D15). ","")&amp;IF(LEN($L100)&gt;35,"Postcode exceeds 35 characters. ","")&amp;IF($AE100&lt;&gt;"",$AE100,"")&amp;IF(LEN($O100)&gt;40,"Gift Message Line 1 exceeds 40 characters. ","")&amp;IF(LEN($P100)&gt;40,"Gift Message Line 2 exceeds 40 characters. ","")&amp;IF(LEN($Q100)&gt;40,"Gift Message Line 3 exceeds 40 characters. ","")&amp;IF(LEN($R100)&gt;40,"Gift Message Line 4 exceeds 40 characters. ","")&amp;IF(LEN($S100)&gt;40,"Gift Message Line 5 exceeds 40 characters. ","")&amp;IF(LEN($T100)&gt;40,"Gift Message Line 6 exceeds 40 characters. ","")&amp;IF(LEN($U100)&gt;40,"Gift Message Line 7 exceeds 40 characters. ",""))</f>
        <v/>
      </c>
      <c r="Y100" s="44" t="str">
        <f t="shared" si="5"/>
        <v/>
      </c>
      <c r="Z100" s="44"/>
      <c r="AA100" s="44"/>
      <c r="AB100" s="32" t="str">
        <f t="shared" si="6"/>
        <v/>
      </c>
      <c r="AC100" s="32" t="str">
        <f>IF($A100="","",IFERROR(LEFT(INDEX('PRODUCT DATA'!$NO$2:$NO$25,MATCH($A100,'PRODUCT DATA'!$NP$2:$NP$25,0)),FIND("|",INDEX('PRODUCT DATA'!$NO$2:$NO$25,MATCH($A100,'PRODUCT DATA'!$NP$2:$NP$25,0)))-1),$A100))</f>
        <v/>
      </c>
      <c r="AD100" s="45"/>
      <c r="AE100" s="45" t="str">
        <f t="shared" si="7"/>
        <v/>
      </c>
    </row>
    <row r="101" spans="1:31" ht="15" customHeight="1" x14ac:dyDescent="0.25">
      <c r="A101" s="40"/>
      <c r="B101" s="43" t="str">
        <f>IF($A101="","",IFERROR(VLOOKUP($AC101,'PRODUCT DATA'!$NR$2:$NS$374,2,FALSE()),"UNKNOWN ITEM CODE - please check"))</f>
        <v/>
      </c>
      <c r="C101" s="39">
        <v>1</v>
      </c>
      <c r="D101" s="39"/>
      <c r="E101" s="40"/>
      <c r="F101" s="41"/>
      <c r="G101" s="39"/>
      <c r="H101" s="41"/>
      <c r="I101" s="41"/>
      <c r="J101" s="39"/>
      <c r="K101" s="41"/>
      <c r="L101" s="40"/>
      <c r="M101" s="40"/>
      <c r="N101" s="42" t="str">
        <f>IF($M101="","",IFERROR(INDEX('PRODUCT DATA'!$B$2:$B$58,MATCH(IF(UPPER($M101)="UK","GB",$M101),'PRODUCT DATA'!$B$2:$B$58,0)),IFERROR(INDEX('PRODUCT DATA'!$B$2:$B$58,MATCH(IF(UPPER($M101)="UK","GB",$M101),'PRODUCT DATA'!$A$2:$A$58,0)),"UNKNOWN COUNTRY - please check")))</f>
        <v/>
      </c>
      <c r="O101" s="41"/>
      <c r="P101" s="41"/>
      <c r="Q101" s="41"/>
      <c r="R101" s="41"/>
      <c r="S101" s="41"/>
      <c r="T101" s="41"/>
      <c r="U101" s="41"/>
      <c r="V101" s="43" t="str">
        <f t="shared" si="4"/>
        <v/>
      </c>
      <c r="W101" s="44" t="str">
        <f ca="1">IF(COUNTA($A101,$D101:$M101,$O101:$U101)=0,"",IF($A101="","Item Code; ","")&amp;IF(AND($A101&lt;&gt;"",ISNA(MATCH($AC101,'PRODUCT DATA'!$D$2:$D$394,0))),"Item Code; ","")&amp;IF($M101="","Country; ","")&amp;IF(AND($M101&lt;&gt;"",NOT(OR(NOT(ISNA(MATCH(IF(UPPER($M101)="UK","GB",$M101),'PRODUCT DATA'!$A$2:$A$58,0))),NOT(ISNA(MATCH(IF(UPPER($M101)="UK","GB",$M101),'PRODUCT DATA'!$B$2:$B$58,0)))))),"Country; ","")&amp;IF(AND($A101&lt;&gt;"",$M101&lt;&gt;"",NOT(ISNA(MATCH($AC101,'PRODUCT DATA'!$D$2:$D$394,0))),OR(NOT(ISNA(MATCH(IF(UPPER($M101)="UK","GB",$M101),'PRODUCT DATA'!$A$2:$A$58,0))),NOT(ISNA(MATCH(IF(UPPER($M101)="UK","GB",$M101),'PRODUCT DATA'!$B$2:$B$58,0)))),NOT(IFERROR(COUNTIF(OFFSET('PRODUCT DATA'!$F$2,0,MATCH($AC101,'PRODUCT DATA'!$F$1:$NN$1,0)-1,114,1),$N101)&gt;0,FALSE()))),IF(UPPER(IFERROR(OFFSET('PRODUCT DATA'!$C$2,MATCH($N101,'PRODUCT DATA'!$B$2:$B$58,0)-1,0),""))="NO","Alcohol Restriction; ","Item Code / Country combination; "),"")&amp;IF($C101="","Quantity; ","")&amp;IF(AND($C101&lt;&gt;"",OR(NOT(ISNUMBER($C101)),$C101&lt;1,$C101&gt;999,MOD($C101,1)&lt;&gt;0)),"Quantity; ","")&amp;IF($D101="","Recipient Name; ","")&amp;IF(LEN($D101)&gt;35,"Recipient Name; ","")&amp;IF($E101="","Recipient Phone; ","")&amp;IF(AND($E101&lt;&gt;"",OR(LEN($E101)&lt;6,LEN($E101)&gt;20,NOT(IFERROR(ISNUMBER(1*$E101),FALSE())))),"Recipient Phone; ","")&amp;IF(LEN($F101)&gt;35,"Recipient Company Name; ","")&amp;IF($G101="","Address Line 1; ","")&amp;IF(LEN($G101)&gt;35,"Address Line 1; ","")&amp;IF(LEN($H101)&gt;35,"Address Line 2; ","")&amp;IF(LEN($I101)&gt;35,"Address Line 3; ","")&amp;IF($J101="","Town; ","")&amp;IF(LEN($J101)&gt;35,"Town; ","")&amp;IF(AND($N101="IE",$K101=""),"County; ","")&amp;IF(LEN($AB101)&gt;35,"County; ","")&amp;IF(AND($L101="",AND($N101&lt;&gt;"AE",$N101&lt;&gt;"QA")),"Postcode; ","")&amp;IF(LEN($L101)&gt;35,"Postcode; ","")&amp;IF($AE101&lt;&gt;"","Postcode; ","")&amp;IF(LEN($O101)&gt;40,"Gift Message 1; ","")&amp;IF(LEN($P101)&gt;40,"Gift Message 2; ","")&amp;IF(LEN($Q101)&gt;40,"Gift Message 3; ","")&amp;IF(LEN($R101)&gt;40,"Gift Message 4; ","")&amp;IF(LEN($S101)&gt;40,"Gift Message 5; ","")&amp;IF(LEN($T101)&gt;40,"Gift Message 6; ","")&amp;IF(LEN($U101)&gt;40,"Gift Message 7; ",""))</f>
        <v/>
      </c>
      <c r="X101" s="44" t="str">
        <f ca="1">IF(COUNTA($A101,$D101:$M101,$O101:$U101)=0,"",IF($A101="","Enter the Item Code (hamper) - type it, paste it, or choose it from the dropdown. ","")&amp;IF(AND($A101&lt;&gt;"",ISNA(MATCH($AC101,'PRODUCT DATA'!$D$2:$D$394,0))),"This Item Code is not recognised. Check the code (case does not matter, but spelling and digits must match exactly) or choose it from the dropdown. ","")&amp;IF($M101="","Enter the Country after the Item Code - type or paste the name or the 2-letter code, or choose it from the dropdown. ","")&amp;IF(AND($M101&lt;&gt;"",NOT(OR(NOT(ISNA(MATCH(IF(UPPER($M101)="UK","GB",$M101),'PRODUCT DATA'!$A$2:$A$58,0))),NOT(ISNA(MATCH(IF(UPPER($M101)="UK","GB",$M101),'PRODUCT DATA'!$B$2:$B$58,0)))))),"This Country is not recognised as either a full name or a 2-letter code. Check the spelling (case does not matter) or choose it from the dropdown. ","")&amp;IF(AND($A101&lt;&gt;"",$M101&lt;&gt;"",NOT(ISNA(MATCH($AC101,'PRODUCT DATA'!$D$2:$D$394,0))),OR(NOT(ISNA(MATCH(IF(UPPER($M101)="UK","GB",$M101),'PRODUCT DATA'!$A$2:$A$58,0))),NOT(ISNA(MATCH(IF(UPPER($M101)="UK","GB",$M101),'PRODUCT DATA'!$B$2:$B$58,0)))),NOT(IFERROR(COUNTIF(OFFSET('PRODUCT DATA'!$F$2,0,MATCH($AC101,'PRODUCT DATA'!$F$1:$NN$1,0)-1,114,1),$N101)&gt;0,FALSE()))),IF(UPPER(IFERROR(OFFSET('PRODUCT DATA'!$C$2,MATCH($N101,'PRODUCT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"),"")&amp;IF($C101="","Enter Quantity. ","")&amp;IF(AND($C101&lt;&gt;"",OR(NOT(ISNUMBER($C101)),$C101&lt;1,$C101&gt;999,MOD($C101,1)&lt;&gt;0)),"Quantity must be a whole number from 1 to 999 (use a quantity above 1 only for a genuine bulk order of identical items to ONE address — otherwise use a separate row per recipient). ","")&amp;IF($D101="","Enter Recipient Name. ","")&amp;IF(LEN($D101)&gt;35,"Recipient Name exceeds 35 characters. ","")&amp;IF($E101="","Enter Recipient Phone. ","")&amp;IF(AND($E101&lt;&gt;"",OR(LEN($E101)&lt;6,LEN($E101)&gt;20,NOT(IFERROR(ISNUMBER(1*$E101),FALSE())))),"Phone must be the LOCAL number for the destination country: digits only, no +, spaces, or country code, 6 to 20 digits. ","")&amp;IF(LEN($F101)&gt;35,"Recipient Company Name exceeds 35 characters. ","")&amp;IF($G101="","Enter Address Line 1. ","")&amp;IF(LEN($G101)&gt;35,"Address Line 1 exceeds the 35-character SAP limit. ","")&amp;IF(LEN($H101)&gt;35,"Address Line 2 exceeds the 35-character SAP limit. ","")&amp;IF(LEN($I101)&gt;35,"Address Line 3 exceeds the 35-character SAP limit. ","")&amp;IF($J101="","Enter Town. This must never be left blank, even if there is no conventional town name. ","")&amp;IF(LEN($J101)&gt;35,"Town exceeds 35 characters. ","")&amp;IF(AND($N101="IE",$K101=""),"County is required for deliveries within the Republic of Ireland. ","")&amp;IF(LEN($AB101)&gt;35,"County exceeds 35 characters. ","")&amp;IF(AND($L101="",AND($N101&lt;&gt;"AE",$N101&lt;&gt;"QA")),"Postcode is required for the selected country. If there is genuinely no postcode, enter the first 3 characters of the area (e.g. D15). ","")&amp;IF(LEN($L101)&gt;35,"Postcode exceeds 35 characters. ","")&amp;IF($AE101&lt;&gt;"",$AE101,"")&amp;IF(LEN($O101)&gt;40,"Gift Message Line 1 exceeds 40 characters. ","")&amp;IF(LEN($P101)&gt;40,"Gift Message Line 2 exceeds 40 characters. ","")&amp;IF(LEN($Q101)&gt;40,"Gift Message Line 3 exceeds 40 characters. ","")&amp;IF(LEN($R101)&gt;40,"Gift Message Line 4 exceeds 40 characters. ","")&amp;IF(LEN($S101)&gt;40,"Gift Message Line 5 exceeds 40 characters. ","")&amp;IF(LEN($T101)&gt;40,"Gift Message Line 6 exceeds 40 characters. ","")&amp;IF(LEN($U101)&gt;40,"Gift Message Line 7 exceeds 40 characters. ",""))</f>
        <v/>
      </c>
      <c r="Y101" s="44" t="str">
        <f t="shared" si="5"/>
        <v/>
      </c>
      <c r="Z101" s="44"/>
      <c r="AA101" s="44"/>
      <c r="AB101" s="32" t="str">
        <f t="shared" si="6"/>
        <v/>
      </c>
      <c r="AC101" s="32" t="str">
        <f>IF($A101="","",IFERROR(LEFT(INDEX('PRODUCT DATA'!$NO$2:$NO$25,MATCH($A101,'PRODUCT DATA'!$NP$2:$NP$25,0)),FIND("|",INDEX('PRODUCT DATA'!$NO$2:$NO$25,MATCH($A101,'PRODUCT DATA'!$NP$2:$NP$25,0)))-1),$A101))</f>
        <v/>
      </c>
      <c r="AD101" s="45"/>
      <c r="AE101" s="45" t="str">
        <f t="shared" si="7"/>
        <v/>
      </c>
    </row>
    <row r="102" spans="1:31" ht="15" customHeight="1" x14ac:dyDescent="0.25">
      <c r="A102" s="40"/>
      <c r="B102" s="43" t="str">
        <f>IF($A102="","",IFERROR(VLOOKUP($AC102,'PRODUCT DATA'!$NR$2:$NS$374,2,FALSE()),"UNKNOWN ITEM CODE - please check"))</f>
        <v/>
      </c>
      <c r="C102" s="39">
        <v>1</v>
      </c>
      <c r="D102" s="39"/>
      <c r="E102" s="40"/>
      <c r="F102" s="41"/>
      <c r="G102" s="39"/>
      <c r="H102" s="41"/>
      <c r="I102" s="41"/>
      <c r="J102" s="39"/>
      <c r="K102" s="41"/>
      <c r="L102" s="40"/>
      <c r="M102" s="40"/>
      <c r="N102" s="42" t="str">
        <f>IF($M102="","",IFERROR(INDEX('PRODUCT DATA'!$B$2:$B$58,MATCH(IF(UPPER($M102)="UK","GB",$M102),'PRODUCT DATA'!$B$2:$B$58,0)),IFERROR(INDEX('PRODUCT DATA'!$B$2:$B$58,MATCH(IF(UPPER($M102)="UK","GB",$M102),'PRODUCT DATA'!$A$2:$A$58,0)),"UNKNOWN COUNTRY - please check")))</f>
        <v/>
      </c>
      <c r="O102" s="41"/>
      <c r="P102" s="41"/>
      <c r="Q102" s="41"/>
      <c r="R102" s="41"/>
      <c r="S102" s="41"/>
      <c r="T102" s="41"/>
      <c r="U102" s="41"/>
      <c r="V102" s="43" t="str">
        <f t="shared" si="4"/>
        <v/>
      </c>
      <c r="W102" s="44" t="str">
        <f ca="1">IF(COUNTA($A102,$D102:$M102,$O102:$U102)=0,"",IF($A102="","Item Code; ","")&amp;IF(AND($A102&lt;&gt;"",ISNA(MATCH($AC102,'PRODUCT DATA'!$D$2:$D$394,0))),"Item Code; ","")&amp;IF($M102="","Country; ","")&amp;IF(AND($M102&lt;&gt;"",NOT(OR(NOT(ISNA(MATCH(IF(UPPER($M102)="UK","GB",$M102),'PRODUCT DATA'!$A$2:$A$58,0))),NOT(ISNA(MATCH(IF(UPPER($M102)="UK","GB",$M102),'PRODUCT DATA'!$B$2:$B$58,0)))))),"Country; ","")&amp;IF(AND($A102&lt;&gt;"",$M102&lt;&gt;"",NOT(ISNA(MATCH($AC102,'PRODUCT DATA'!$D$2:$D$394,0))),OR(NOT(ISNA(MATCH(IF(UPPER($M102)="UK","GB",$M102),'PRODUCT DATA'!$A$2:$A$58,0))),NOT(ISNA(MATCH(IF(UPPER($M102)="UK","GB",$M102),'PRODUCT DATA'!$B$2:$B$58,0)))),NOT(IFERROR(COUNTIF(OFFSET('PRODUCT DATA'!$F$2,0,MATCH($AC102,'PRODUCT DATA'!$F$1:$NN$1,0)-1,114,1),$N102)&gt;0,FALSE()))),IF(UPPER(IFERROR(OFFSET('PRODUCT DATA'!$C$2,MATCH($N102,'PRODUCT DATA'!$B$2:$B$58,0)-1,0),""))="NO","Alcohol Restriction; ","Item Code / Country combination; "),"")&amp;IF($C102="","Quantity; ","")&amp;IF(AND($C102&lt;&gt;"",OR(NOT(ISNUMBER($C102)),$C102&lt;1,$C102&gt;999,MOD($C102,1)&lt;&gt;0)),"Quantity; ","")&amp;IF($D102="","Recipient Name; ","")&amp;IF(LEN($D102)&gt;35,"Recipient Name; ","")&amp;IF($E102="","Recipient Phone; ","")&amp;IF(AND($E102&lt;&gt;"",OR(LEN($E102)&lt;6,LEN($E102)&gt;20,NOT(IFERROR(ISNUMBER(1*$E102),FALSE())))),"Recipient Phone; ","")&amp;IF(LEN($F102)&gt;35,"Recipient Company Name; ","")&amp;IF($G102="","Address Line 1; ","")&amp;IF(LEN($G102)&gt;35,"Address Line 1; ","")&amp;IF(LEN($H102)&gt;35,"Address Line 2; ","")&amp;IF(LEN($I102)&gt;35,"Address Line 3; ","")&amp;IF($J102="","Town; ","")&amp;IF(LEN($J102)&gt;35,"Town; ","")&amp;IF(AND($N102="IE",$K102=""),"County; ","")&amp;IF(LEN($AB102)&gt;35,"County; ","")&amp;IF(AND($L102="",AND($N102&lt;&gt;"AE",$N102&lt;&gt;"QA")),"Postcode; ","")&amp;IF(LEN($L102)&gt;35,"Postcode; ","")&amp;IF($AE102&lt;&gt;"","Postcode; ","")&amp;IF(LEN($O102)&gt;40,"Gift Message 1; ","")&amp;IF(LEN($P102)&gt;40,"Gift Message 2; ","")&amp;IF(LEN($Q102)&gt;40,"Gift Message 3; ","")&amp;IF(LEN($R102)&gt;40,"Gift Message 4; ","")&amp;IF(LEN($S102)&gt;40,"Gift Message 5; ","")&amp;IF(LEN($T102)&gt;40,"Gift Message 6; ","")&amp;IF(LEN($U102)&gt;40,"Gift Message 7; ",""))</f>
        <v/>
      </c>
      <c r="X102" s="44" t="str">
        <f ca="1">IF(COUNTA($A102,$D102:$M102,$O102:$U102)=0,"",IF($A102="","Enter the Item Code (hamper) - type it, paste it, or choose it from the dropdown. ","")&amp;IF(AND($A102&lt;&gt;"",ISNA(MATCH($AC102,'PRODUCT DATA'!$D$2:$D$394,0))),"This Item Code is not recognised. Check the code (case does not matter, but spelling and digits must match exactly) or choose it from the dropdown. ","")&amp;IF($M102="","Enter the Country after the Item Code - type or paste the name or the 2-letter code, or choose it from the dropdown. ","")&amp;IF(AND($M102&lt;&gt;"",NOT(OR(NOT(ISNA(MATCH(IF(UPPER($M102)="UK","GB",$M102),'PRODUCT DATA'!$A$2:$A$58,0))),NOT(ISNA(MATCH(IF(UPPER($M102)="UK","GB",$M102),'PRODUCT DATA'!$B$2:$B$58,0)))))),"This Country is not recognised as either a full name or a 2-letter code. Check the spelling (case does not matter) or choose it from the dropdown. ","")&amp;IF(AND($A102&lt;&gt;"",$M102&lt;&gt;"",NOT(ISNA(MATCH($AC102,'PRODUCT DATA'!$D$2:$D$394,0))),OR(NOT(ISNA(MATCH(IF(UPPER($M102)="UK","GB",$M102),'PRODUCT DATA'!$A$2:$A$58,0))),NOT(ISNA(MATCH(IF(UPPER($M102)="UK","GB",$M102),'PRODUCT DATA'!$B$2:$B$58,0)))),NOT(IFERROR(COUNTIF(OFFSET('PRODUCT DATA'!$F$2,0,MATCH($AC102,'PRODUCT DATA'!$F$1:$NN$1,0)-1,114,1),$N102)&gt;0,FALSE()))),IF(UPPER(IFERROR(OFFSET('PRODUCT DATA'!$C$2,MATCH($N102,'PRODUCT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"),"")&amp;IF($C102="","Enter Quantity. ","")&amp;IF(AND($C102&lt;&gt;"",OR(NOT(ISNUMBER($C102)),$C102&lt;1,$C102&gt;999,MOD($C102,1)&lt;&gt;0)),"Quantity must be a whole number from 1 to 999 (use a quantity above 1 only for a genuine bulk order of identical items to ONE address — otherwise use a separate row per recipient). ","")&amp;IF($D102="","Enter Recipient Name. ","")&amp;IF(LEN($D102)&gt;35,"Recipient Name exceeds 35 characters. ","")&amp;IF($E102="","Enter Recipient Phone. ","")&amp;IF(AND($E102&lt;&gt;"",OR(LEN($E102)&lt;6,LEN($E102)&gt;20,NOT(IFERROR(ISNUMBER(1*$E102),FALSE())))),"Phone must be the LOCAL number for the destination country: digits only, no +, spaces, or country code, 6 to 20 digits. ","")&amp;IF(LEN($F102)&gt;35,"Recipient Company Name exceeds 35 characters. ","")&amp;IF($G102="","Enter Address Line 1. ","")&amp;IF(LEN($G102)&gt;35,"Address Line 1 exceeds the 35-character SAP limit. ","")&amp;IF(LEN($H102)&gt;35,"Address Line 2 exceeds the 35-character SAP limit. ","")&amp;IF(LEN($I102)&gt;35,"Address Line 3 exceeds the 35-character SAP limit. ","")&amp;IF($J102="","Enter Town. This must never be left blank, even if there is no conventional town name. ","")&amp;IF(LEN($J102)&gt;35,"Town exceeds 35 characters. ","")&amp;IF(AND($N102="IE",$K102=""),"County is required for deliveries within the Republic of Ireland. ","")&amp;IF(LEN($AB102)&gt;35,"County exceeds 35 characters. ","")&amp;IF(AND($L102="",AND($N102&lt;&gt;"AE",$N102&lt;&gt;"QA")),"Postcode is required for the selected country. If there is genuinely no postcode, enter the first 3 characters of the area (e.g. D15). ","")&amp;IF(LEN($L102)&gt;35,"Postcode exceeds 35 characters. ","")&amp;IF($AE102&lt;&gt;"",$AE102,"")&amp;IF(LEN($O102)&gt;40,"Gift Message Line 1 exceeds 40 characters. ","")&amp;IF(LEN($P102)&gt;40,"Gift Message Line 2 exceeds 40 characters. ","")&amp;IF(LEN($Q102)&gt;40,"Gift Message Line 3 exceeds 40 characters. ","")&amp;IF(LEN($R102)&gt;40,"Gift Message Line 4 exceeds 40 characters. ","")&amp;IF(LEN($S102)&gt;40,"Gift Message Line 5 exceeds 40 characters. ","")&amp;IF(LEN($T102)&gt;40,"Gift Message Line 6 exceeds 40 characters. ","")&amp;IF(LEN($U102)&gt;40,"Gift Message Line 7 exceeds 40 characters. ",""))</f>
        <v/>
      </c>
      <c r="Y102" s="44" t="str">
        <f t="shared" si="5"/>
        <v/>
      </c>
      <c r="Z102" s="44"/>
      <c r="AA102" s="44"/>
      <c r="AB102" s="32" t="str">
        <f t="shared" si="6"/>
        <v/>
      </c>
      <c r="AC102" s="32" t="str">
        <f>IF($A102="","",IFERROR(LEFT(INDEX('PRODUCT DATA'!$NO$2:$NO$25,MATCH($A102,'PRODUCT DATA'!$NP$2:$NP$25,0)),FIND("|",INDEX('PRODUCT DATA'!$NO$2:$NO$25,MATCH($A102,'PRODUCT DATA'!$NP$2:$NP$25,0)))-1),$A102))</f>
        <v/>
      </c>
      <c r="AD102" s="45"/>
      <c r="AE102" s="45" t="str">
        <f t="shared" si="7"/>
        <v/>
      </c>
    </row>
    <row r="103" spans="1:31" ht="15" customHeight="1" x14ac:dyDescent="0.25">
      <c r="A103" s="40"/>
      <c r="B103" s="43" t="str">
        <f>IF($A103="","",IFERROR(VLOOKUP($AC103,'PRODUCT DATA'!$NR$2:$NS$374,2,FALSE()),"UNKNOWN ITEM CODE - please check"))</f>
        <v/>
      </c>
      <c r="C103" s="39">
        <v>1</v>
      </c>
      <c r="D103" s="39"/>
      <c r="E103" s="40"/>
      <c r="F103" s="41"/>
      <c r="G103" s="39"/>
      <c r="H103" s="41"/>
      <c r="I103" s="41"/>
      <c r="J103" s="39"/>
      <c r="K103" s="41"/>
      <c r="L103" s="40"/>
      <c r="M103" s="40"/>
      <c r="N103" s="42" t="str">
        <f>IF($M103="","",IFERROR(INDEX('PRODUCT DATA'!$B$2:$B$58,MATCH(IF(UPPER($M103)="UK","GB",$M103),'PRODUCT DATA'!$B$2:$B$58,0)),IFERROR(INDEX('PRODUCT DATA'!$B$2:$B$58,MATCH(IF(UPPER($M103)="UK","GB",$M103),'PRODUCT DATA'!$A$2:$A$58,0)),"UNKNOWN COUNTRY - please check")))</f>
        <v/>
      </c>
      <c r="O103" s="41"/>
      <c r="P103" s="41"/>
      <c r="Q103" s="41"/>
      <c r="R103" s="41"/>
      <c r="S103" s="41"/>
      <c r="T103" s="41"/>
      <c r="U103" s="41"/>
      <c r="V103" s="43" t="str">
        <f t="shared" si="4"/>
        <v/>
      </c>
      <c r="W103" s="44" t="str">
        <f ca="1">IF(COUNTA($A103,$D103:$M103,$O103:$U103)=0,"",IF($A103="","Item Code; ","")&amp;IF(AND($A103&lt;&gt;"",ISNA(MATCH($AC103,'PRODUCT DATA'!$D$2:$D$394,0))),"Item Code; ","")&amp;IF($M103="","Country; ","")&amp;IF(AND($M103&lt;&gt;"",NOT(OR(NOT(ISNA(MATCH(IF(UPPER($M103)="UK","GB",$M103),'PRODUCT DATA'!$A$2:$A$58,0))),NOT(ISNA(MATCH(IF(UPPER($M103)="UK","GB",$M103),'PRODUCT DATA'!$B$2:$B$58,0)))))),"Country; ","")&amp;IF(AND($A103&lt;&gt;"",$M103&lt;&gt;"",NOT(ISNA(MATCH($AC103,'PRODUCT DATA'!$D$2:$D$394,0))),OR(NOT(ISNA(MATCH(IF(UPPER($M103)="UK","GB",$M103),'PRODUCT DATA'!$A$2:$A$58,0))),NOT(ISNA(MATCH(IF(UPPER($M103)="UK","GB",$M103),'PRODUCT DATA'!$B$2:$B$58,0)))),NOT(IFERROR(COUNTIF(OFFSET('PRODUCT DATA'!$F$2,0,MATCH($AC103,'PRODUCT DATA'!$F$1:$NN$1,0)-1,114,1),$N103)&gt;0,FALSE()))),IF(UPPER(IFERROR(OFFSET('PRODUCT DATA'!$C$2,MATCH($N103,'PRODUCT DATA'!$B$2:$B$58,0)-1,0),""))="NO","Alcohol Restriction; ","Item Code / Country combination; "),"")&amp;IF($C103="","Quantity; ","")&amp;IF(AND($C103&lt;&gt;"",OR(NOT(ISNUMBER($C103)),$C103&lt;1,$C103&gt;999,MOD($C103,1)&lt;&gt;0)),"Quantity; ","")&amp;IF($D103="","Recipient Name; ","")&amp;IF(LEN($D103)&gt;35,"Recipient Name; ","")&amp;IF($E103="","Recipient Phone; ","")&amp;IF(AND($E103&lt;&gt;"",OR(LEN($E103)&lt;6,LEN($E103)&gt;20,NOT(IFERROR(ISNUMBER(1*$E103),FALSE())))),"Recipient Phone; ","")&amp;IF(LEN($F103)&gt;35,"Recipient Company Name; ","")&amp;IF($G103="","Address Line 1; ","")&amp;IF(LEN($G103)&gt;35,"Address Line 1; ","")&amp;IF(LEN($H103)&gt;35,"Address Line 2; ","")&amp;IF(LEN($I103)&gt;35,"Address Line 3; ","")&amp;IF($J103="","Town; ","")&amp;IF(LEN($J103)&gt;35,"Town; ","")&amp;IF(AND($N103="IE",$K103=""),"County; ","")&amp;IF(LEN($AB103)&gt;35,"County; ","")&amp;IF(AND($L103="",AND($N103&lt;&gt;"AE",$N103&lt;&gt;"QA")),"Postcode; ","")&amp;IF(LEN($L103)&gt;35,"Postcode; ","")&amp;IF($AE103&lt;&gt;"","Postcode; ","")&amp;IF(LEN($O103)&gt;40,"Gift Message 1; ","")&amp;IF(LEN($P103)&gt;40,"Gift Message 2; ","")&amp;IF(LEN($Q103)&gt;40,"Gift Message 3; ","")&amp;IF(LEN($R103)&gt;40,"Gift Message 4; ","")&amp;IF(LEN($S103)&gt;40,"Gift Message 5; ","")&amp;IF(LEN($T103)&gt;40,"Gift Message 6; ","")&amp;IF(LEN($U103)&gt;40,"Gift Message 7; ",""))</f>
        <v/>
      </c>
      <c r="X103" s="44" t="str">
        <f ca="1">IF(COUNTA($A103,$D103:$M103,$O103:$U103)=0,"",IF($A103="","Enter the Item Code (hamper) - type it, paste it, or choose it from the dropdown. ","")&amp;IF(AND($A103&lt;&gt;"",ISNA(MATCH($AC103,'PRODUCT DATA'!$D$2:$D$394,0))),"This Item Code is not recognised. Check the code (case does not matter, but spelling and digits must match exactly) or choose it from the dropdown. ","")&amp;IF($M103="","Enter the Country after the Item Code - type or paste the name or the 2-letter code, or choose it from the dropdown. ","")&amp;IF(AND($M103&lt;&gt;"",NOT(OR(NOT(ISNA(MATCH(IF(UPPER($M103)="UK","GB",$M103),'PRODUCT DATA'!$A$2:$A$58,0))),NOT(ISNA(MATCH(IF(UPPER($M103)="UK","GB",$M103),'PRODUCT DATA'!$B$2:$B$58,0)))))),"This Country is not recognised as either a full name or a 2-letter code. Check the spelling (case does not matter) or choose it from the dropdown. ","")&amp;IF(AND($A103&lt;&gt;"",$M103&lt;&gt;"",NOT(ISNA(MATCH($AC103,'PRODUCT DATA'!$D$2:$D$394,0))),OR(NOT(ISNA(MATCH(IF(UPPER($M103)="UK","GB",$M103),'PRODUCT DATA'!$A$2:$A$58,0))),NOT(ISNA(MATCH(IF(UPPER($M103)="UK","GB",$M103),'PRODUCT DATA'!$B$2:$B$58,0)))),NOT(IFERROR(COUNTIF(OFFSET('PRODUCT DATA'!$F$2,0,MATCH($AC103,'PRODUCT DATA'!$F$1:$NN$1,0)-1,114,1),$N103)&gt;0,FALSE()))),IF(UPPER(IFERROR(OFFSET('PRODUCT DATA'!$C$2,MATCH($N103,'PRODUCT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"),"")&amp;IF($C103="","Enter Quantity. ","")&amp;IF(AND($C103&lt;&gt;"",OR(NOT(ISNUMBER($C103)),$C103&lt;1,$C103&gt;999,MOD($C103,1)&lt;&gt;0)),"Quantity must be a whole number from 1 to 999 (use a quantity above 1 only for a genuine bulk order of identical items to ONE address — otherwise use a separate row per recipient). ","")&amp;IF($D103="","Enter Recipient Name. ","")&amp;IF(LEN($D103)&gt;35,"Recipient Name exceeds 35 characters. ","")&amp;IF($E103="","Enter Recipient Phone. ","")&amp;IF(AND($E103&lt;&gt;"",OR(LEN($E103)&lt;6,LEN($E103)&gt;20,NOT(IFERROR(ISNUMBER(1*$E103),FALSE())))),"Phone must be the LOCAL number for the destination country: digits only, no +, spaces, or country code, 6 to 20 digits. ","")&amp;IF(LEN($F103)&gt;35,"Recipient Company Name exceeds 35 characters. ","")&amp;IF($G103="","Enter Address Line 1. ","")&amp;IF(LEN($G103)&gt;35,"Address Line 1 exceeds the 35-character SAP limit. ","")&amp;IF(LEN($H103)&gt;35,"Address Line 2 exceeds the 35-character SAP limit. ","")&amp;IF(LEN($I103)&gt;35,"Address Line 3 exceeds the 35-character SAP limit. ","")&amp;IF($J103="","Enter Town. This must never be left blank, even if there is no conventional town name. ","")&amp;IF(LEN($J103)&gt;35,"Town exceeds 35 characters. ","")&amp;IF(AND($N103="IE",$K103=""),"County is required for deliveries within the Republic of Ireland. ","")&amp;IF(LEN($AB103)&gt;35,"County exceeds 35 characters. ","")&amp;IF(AND($L103="",AND($N103&lt;&gt;"AE",$N103&lt;&gt;"QA")),"Postcode is required for the selected country. If there is genuinely no postcode, enter the first 3 characters of the area (e.g. D15). ","")&amp;IF(LEN($L103)&gt;35,"Postcode exceeds 35 characters. ","")&amp;IF($AE103&lt;&gt;"",$AE103,"")&amp;IF(LEN($O103)&gt;40,"Gift Message Line 1 exceeds 40 characters. ","")&amp;IF(LEN($P103)&gt;40,"Gift Message Line 2 exceeds 40 characters. ","")&amp;IF(LEN($Q103)&gt;40,"Gift Message Line 3 exceeds 40 characters. ","")&amp;IF(LEN($R103)&gt;40,"Gift Message Line 4 exceeds 40 characters. ","")&amp;IF(LEN($S103)&gt;40,"Gift Message Line 5 exceeds 40 characters. ","")&amp;IF(LEN($T103)&gt;40,"Gift Message Line 6 exceeds 40 characters. ","")&amp;IF(LEN($U103)&gt;40,"Gift Message Line 7 exceeds 40 characters. ",""))</f>
        <v/>
      </c>
      <c r="Y103" s="44" t="str">
        <f t="shared" si="5"/>
        <v/>
      </c>
      <c r="Z103" s="44"/>
      <c r="AA103" s="44"/>
      <c r="AB103" s="32" t="str">
        <f t="shared" si="6"/>
        <v/>
      </c>
      <c r="AC103" s="32" t="str">
        <f>IF($A103="","",IFERROR(LEFT(INDEX('PRODUCT DATA'!$NO$2:$NO$25,MATCH($A103,'PRODUCT DATA'!$NP$2:$NP$25,0)),FIND("|",INDEX('PRODUCT DATA'!$NO$2:$NO$25,MATCH($A103,'PRODUCT DATA'!$NP$2:$NP$25,0)))-1),$A103))</f>
        <v/>
      </c>
      <c r="AD103" s="45"/>
      <c r="AE103" s="45" t="str">
        <f t="shared" si="7"/>
        <v/>
      </c>
    </row>
    <row r="104" spans="1:31" ht="15" customHeight="1" x14ac:dyDescent="0.25">
      <c r="A104" s="40"/>
      <c r="B104" s="43" t="str">
        <f>IF($A104="","",IFERROR(VLOOKUP($AC104,'PRODUCT DATA'!$NR$2:$NS$374,2,FALSE()),"UNKNOWN ITEM CODE - please check"))</f>
        <v/>
      </c>
      <c r="C104" s="39">
        <v>1</v>
      </c>
      <c r="D104" s="39"/>
      <c r="E104" s="40"/>
      <c r="F104" s="41"/>
      <c r="G104" s="39"/>
      <c r="H104" s="41"/>
      <c r="I104" s="41"/>
      <c r="J104" s="39"/>
      <c r="K104" s="41"/>
      <c r="L104" s="40"/>
      <c r="M104" s="40"/>
      <c r="N104" s="42" t="str">
        <f>IF($M104="","",IFERROR(INDEX('PRODUCT DATA'!$B$2:$B$58,MATCH(IF(UPPER($M104)="UK","GB",$M104),'PRODUCT DATA'!$B$2:$B$58,0)),IFERROR(INDEX('PRODUCT DATA'!$B$2:$B$58,MATCH(IF(UPPER($M104)="UK","GB",$M104),'PRODUCT DATA'!$A$2:$A$58,0)),"UNKNOWN COUNTRY - please check")))</f>
        <v/>
      </c>
      <c r="O104" s="41"/>
      <c r="P104" s="41"/>
      <c r="Q104" s="41"/>
      <c r="R104" s="41"/>
      <c r="S104" s="41"/>
      <c r="T104" s="41"/>
      <c r="U104" s="41"/>
      <c r="V104" s="43" t="str">
        <f t="shared" si="4"/>
        <v/>
      </c>
      <c r="W104" s="44" t="str">
        <f ca="1">IF(COUNTA($A104,$D104:$M104,$O104:$U104)=0,"",IF($A104="","Item Code; ","")&amp;IF(AND($A104&lt;&gt;"",ISNA(MATCH($AC104,'PRODUCT DATA'!$D$2:$D$394,0))),"Item Code; ","")&amp;IF($M104="","Country; ","")&amp;IF(AND($M104&lt;&gt;"",NOT(OR(NOT(ISNA(MATCH(IF(UPPER($M104)="UK","GB",$M104),'PRODUCT DATA'!$A$2:$A$58,0))),NOT(ISNA(MATCH(IF(UPPER($M104)="UK","GB",$M104),'PRODUCT DATA'!$B$2:$B$58,0)))))),"Country; ","")&amp;IF(AND($A104&lt;&gt;"",$M104&lt;&gt;"",NOT(ISNA(MATCH($AC104,'PRODUCT DATA'!$D$2:$D$394,0))),OR(NOT(ISNA(MATCH(IF(UPPER($M104)="UK","GB",$M104),'PRODUCT DATA'!$A$2:$A$58,0))),NOT(ISNA(MATCH(IF(UPPER($M104)="UK","GB",$M104),'PRODUCT DATA'!$B$2:$B$58,0)))),NOT(IFERROR(COUNTIF(OFFSET('PRODUCT DATA'!$F$2,0,MATCH($AC104,'PRODUCT DATA'!$F$1:$NN$1,0)-1,114,1),$N104)&gt;0,FALSE()))),IF(UPPER(IFERROR(OFFSET('PRODUCT DATA'!$C$2,MATCH($N104,'PRODUCT DATA'!$B$2:$B$58,0)-1,0),""))="NO","Alcohol Restriction; ","Item Code / Country combination; "),"")&amp;IF($C104="","Quantity; ","")&amp;IF(AND($C104&lt;&gt;"",OR(NOT(ISNUMBER($C104)),$C104&lt;1,$C104&gt;999,MOD($C104,1)&lt;&gt;0)),"Quantity; ","")&amp;IF($D104="","Recipient Name; ","")&amp;IF(LEN($D104)&gt;35,"Recipient Name; ","")&amp;IF($E104="","Recipient Phone; ","")&amp;IF(AND($E104&lt;&gt;"",OR(LEN($E104)&lt;6,LEN($E104)&gt;20,NOT(IFERROR(ISNUMBER(1*$E104),FALSE())))),"Recipient Phone; ","")&amp;IF(LEN($F104)&gt;35,"Recipient Company Name; ","")&amp;IF($G104="","Address Line 1; ","")&amp;IF(LEN($G104)&gt;35,"Address Line 1; ","")&amp;IF(LEN($H104)&gt;35,"Address Line 2; ","")&amp;IF(LEN($I104)&gt;35,"Address Line 3; ","")&amp;IF($J104="","Town; ","")&amp;IF(LEN($J104)&gt;35,"Town; ","")&amp;IF(AND($N104="IE",$K104=""),"County; ","")&amp;IF(LEN($AB104)&gt;35,"County; ","")&amp;IF(AND($L104="",AND($N104&lt;&gt;"AE",$N104&lt;&gt;"QA")),"Postcode; ","")&amp;IF(LEN($L104)&gt;35,"Postcode; ","")&amp;IF($AE104&lt;&gt;"","Postcode; ","")&amp;IF(LEN($O104)&gt;40,"Gift Message 1; ","")&amp;IF(LEN($P104)&gt;40,"Gift Message 2; ","")&amp;IF(LEN($Q104)&gt;40,"Gift Message 3; ","")&amp;IF(LEN($R104)&gt;40,"Gift Message 4; ","")&amp;IF(LEN($S104)&gt;40,"Gift Message 5; ","")&amp;IF(LEN($T104)&gt;40,"Gift Message 6; ","")&amp;IF(LEN($U104)&gt;40,"Gift Message 7; ",""))</f>
        <v/>
      </c>
      <c r="X104" s="44" t="str">
        <f ca="1">IF(COUNTA($A104,$D104:$M104,$O104:$U104)=0,"",IF($A104="","Enter the Item Code (hamper) - type it, paste it, or choose it from the dropdown. ","")&amp;IF(AND($A104&lt;&gt;"",ISNA(MATCH($AC104,'PRODUCT DATA'!$D$2:$D$394,0))),"This Item Code is not recognised. Check the code (case does not matter, but spelling and digits must match exactly) or choose it from the dropdown. ","")&amp;IF($M104="","Enter the Country after the Item Code - type or paste the name or the 2-letter code, or choose it from the dropdown. ","")&amp;IF(AND($M104&lt;&gt;"",NOT(OR(NOT(ISNA(MATCH(IF(UPPER($M104)="UK","GB",$M104),'PRODUCT DATA'!$A$2:$A$58,0))),NOT(ISNA(MATCH(IF(UPPER($M104)="UK","GB",$M104),'PRODUCT DATA'!$B$2:$B$58,0)))))),"This Country is not recognised as either a full name or a 2-letter code. Check the spelling (case does not matter) or choose it from the dropdown. ","")&amp;IF(AND($A104&lt;&gt;"",$M104&lt;&gt;"",NOT(ISNA(MATCH($AC104,'PRODUCT DATA'!$D$2:$D$394,0))),OR(NOT(ISNA(MATCH(IF(UPPER($M104)="UK","GB",$M104),'PRODUCT DATA'!$A$2:$A$58,0))),NOT(ISNA(MATCH(IF(UPPER($M104)="UK","GB",$M104),'PRODUCT DATA'!$B$2:$B$58,0)))),NOT(IFERROR(COUNTIF(OFFSET('PRODUCT DATA'!$F$2,0,MATCH($AC104,'PRODUCT DATA'!$F$1:$NN$1,0)-1,114,1),$N104)&gt;0,FALSE()))),IF(UPPER(IFERROR(OFFSET('PRODUCT DATA'!$C$2,MATCH($N104,'PRODUCT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"),"")&amp;IF($C104="","Enter Quantity. ","")&amp;IF(AND($C104&lt;&gt;"",OR(NOT(ISNUMBER($C104)),$C104&lt;1,$C104&gt;999,MOD($C104,1)&lt;&gt;0)),"Quantity must be a whole number from 1 to 999 (use a quantity above 1 only for a genuine bulk order of identical items to ONE address — otherwise use a separate row per recipient). ","")&amp;IF($D104="","Enter Recipient Name. ","")&amp;IF(LEN($D104)&gt;35,"Recipient Name exceeds 35 characters. ","")&amp;IF($E104="","Enter Recipient Phone. ","")&amp;IF(AND($E104&lt;&gt;"",OR(LEN($E104)&lt;6,LEN($E104)&gt;20,NOT(IFERROR(ISNUMBER(1*$E104),FALSE())))),"Phone must be the LOCAL number for the destination country: digits only, no +, spaces, or country code, 6 to 20 digits. ","")&amp;IF(LEN($F104)&gt;35,"Recipient Company Name exceeds 35 characters. ","")&amp;IF($G104="","Enter Address Line 1. ","")&amp;IF(LEN($G104)&gt;35,"Address Line 1 exceeds the 35-character SAP limit. ","")&amp;IF(LEN($H104)&gt;35,"Address Line 2 exceeds the 35-character SAP limit. ","")&amp;IF(LEN($I104)&gt;35,"Address Line 3 exceeds the 35-character SAP limit. ","")&amp;IF($J104="","Enter Town. This must never be left blank, even if there is no conventional town name. ","")&amp;IF(LEN($J104)&gt;35,"Town exceeds 35 characters. ","")&amp;IF(AND($N104="IE",$K104=""),"County is required for deliveries within the Republic of Ireland. ","")&amp;IF(LEN($AB104)&gt;35,"County exceeds 35 characters. ","")&amp;IF(AND($L104="",AND($N104&lt;&gt;"AE",$N104&lt;&gt;"QA")),"Postcode is required for the selected country. If there is genuinely no postcode, enter the first 3 characters of the area (e.g. D15). ","")&amp;IF(LEN($L104)&gt;35,"Postcode exceeds 35 characters. ","")&amp;IF($AE104&lt;&gt;"",$AE104,"")&amp;IF(LEN($O104)&gt;40,"Gift Message Line 1 exceeds 40 characters. ","")&amp;IF(LEN($P104)&gt;40,"Gift Message Line 2 exceeds 40 characters. ","")&amp;IF(LEN($Q104)&gt;40,"Gift Message Line 3 exceeds 40 characters. ","")&amp;IF(LEN($R104)&gt;40,"Gift Message Line 4 exceeds 40 characters. ","")&amp;IF(LEN($S104)&gt;40,"Gift Message Line 5 exceeds 40 characters. ","")&amp;IF(LEN($T104)&gt;40,"Gift Message Line 6 exceeds 40 characters. ","")&amp;IF(LEN($U104)&gt;40,"Gift Message Line 7 exceeds 40 characters. ",""))</f>
        <v/>
      </c>
      <c r="Y104" s="44" t="str">
        <f t="shared" si="5"/>
        <v/>
      </c>
      <c r="Z104" s="44"/>
      <c r="AA104" s="44"/>
      <c r="AB104" s="32" t="str">
        <f t="shared" si="6"/>
        <v/>
      </c>
      <c r="AC104" s="32" t="str">
        <f>IF($A104="","",IFERROR(LEFT(INDEX('PRODUCT DATA'!$NO$2:$NO$25,MATCH($A104,'PRODUCT DATA'!$NP$2:$NP$25,0)),FIND("|",INDEX('PRODUCT DATA'!$NO$2:$NO$25,MATCH($A104,'PRODUCT DATA'!$NP$2:$NP$25,0)))-1),$A104))</f>
        <v/>
      </c>
      <c r="AD104" s="45"/>
      <c r="AE104" s="45" t="str">
        <f t="shared" si="7"/>
        <v/>
      </c>
    </row>
    <row r="105" spans="1:31" ht="15" customHeight="1" x14ac:dyDescent="0.25">
      <c r="A105" s="40"/>
      <c r="B105" s="43" t="str">
        <f>IF($A105="","",IFERROR(VLOOKUP($AC105,'PRODUCT DATA'!$NR$2:$NS$374,2,FALSE()),"UNKNOWN ITEM CODE - please check"))</f>
        <v/>
      </c>
      <c r="C105" s="39">
        <v>1</v>
      </c>
      <c r="D105" s="39"/>
      <c r="E105" s="40"/>
      <c r="F105" s="41"/>
      <c r="G105" s="39"/>
      <c r="H105" s="41"/>
      <c r="I105" s="41"/>
      <c r="J105" s="39"/>
      <c r="K105" s="41"/>
      <c r="L105" s="40"/>
      <c r="M105" s="40"/>
      <c r="N105" s="42" t="str">
        <f>IF($M105="","",IFERROR(INDEX('PRODUCT DATA'!$B$2:$B$58,MATCH(IF(UPPER($M105)="UK","GB",$M105),'PRODUCT DATA'!$B$2:$B$58,0)),IFERROR(INDEX('PRODUCT DATA'!$B$2:$B$58,MATCH(IF(UPPER($M105)="UK","GB",$M105),'PRODUCT DATA'!$A$2:$A$58,0)),"UNKNOWN COUNTRY - please check")))</f>
        <v/>
      </c>
      <c r="O105" s="41"/>
      <c r="P105" s="41"/>
      <c r="Q105" s="41"/>
      <c r="R105" s="41"/>
      <c r="S105" s="41"/>
      <c r="T105" s="41"/>
      <c r="U105" s="41"/>
      <c r="V105" s="43" t="str">
        <f t="shared" si="4"/>
        <v/>
      </c>
      <c r="W105" s="44" t="str">
        <f ca="1">IF(COUNTA($A105,$D105:$M105,$O105:$U105)=0,"",IF($A105="","Item Code; ","")&amp;IF(AND($A105&lt;&gt;"",ISNA(MATCH($AC105,'PRODUCT DATA'!$D$2:$D$394,0))),"Item Code; ","")&amp;IF($M105="","Country; ","")&amp;IF(AND($M105&lt;&gt;"",NOT(OR(NOT(ISNA(MATCH(IF(UPPER($M105)="UK","GB",$M105),'PRODUCT DATA'!$A$2:$A$58,0))),NOT(ISNA(MATCH(IF(UPPER($M105)="UK","GB",$M105),'PRODUCT DATA'!$B$2:$B$58,0)))))),"Country; ","")&amp;IF(AND($A105&lt;&gt;"",$M105&lt;&gt;"",NOT(ISNA(MATCH($AC105,'PRODUCT DATA'!$D$2:$D$394,0))),OR(NOT(ISNA(MATCH(IF(UPPER($M105)="UK","GB",$M105),'PRODUCT DATA'!$A$2:$A$58,0))),NOT(ISNA(MATCH(IF(UPPER($M105)="UK","GB",$M105),'PRODUCT DATA'!$B$2:$B$58,0)))),NOT(IFERROR(COUNTIF(OFFSET('PRODUCT DATA'!$F$2,0,MATCH($AC105,'PRODUCT DATA'!$F$1:$NN$1,0)-1,114,1),$N105)&gt;0,FALSE()))),IF(UPPER(IFERROR(OFFSET('PRODUCT DATA'!$C$2,MATCH($N105,'PRODUCT DATA'!$B$2:$B$58,0)-1,0),""))="NO","Alcohol Restriction; ","Item Code / Country combination; "),"")&amp;IF($C105="","Quantity; ","")&amp;IF(AND($C105&lt;&gt;"",OR(NOT(ISNUMBER($C105)),$C105&lt;1,$C105&gt;999,MOD($C105,1)&lt;&gt;0)),"Quantity; ","")&amp;IF($D105="","Recipient Name; ","")&amp;IF(LEN($D105)&gt;35,"Recipient Name; ","")&amp;IF($E105="","Recipient Phone; ","")&amp;IF(AND($E105&lt;&gt;"",OR(LEN($E105)&lt;6,LEN($E105)&gt;20,NOT(IFERROR(ISNUMBER(1*$E105),FALSE())))),"Recipient Phone; ","")&amp;IF(LEN($F105)&gt;35,"Recipient Company Name; ","")&amp;IF($G105="","Address Line 1; ","")&amp;IF(LEN($G105)&gt;35,"Address Line 1; ","")&amp;IF(LEN($H105)&gt;35,"Address Line 2; ","")&amp;IF(LEN($I105)&gt;35,"Address Line 3; ","")&amp;IF($J105="","Town; ","")&amp;IF(LEN($J105)&gt;35,"Town; ","")&amp;IF(AND($N105="IE",$K105=""),"County; ","")&amp;IF(LEN($AB105)&gt;35,"County; ","")&amp;IF(AND($L105="",AND($N105&lt;&gt;"AE",$N105&lt;&gt;"QA")),"Postcode; ","")&amp;IF(LEN($L105)&gt;35,"Postcode; ","")&amp;IF($AE105&lt;&gt;"","Postcode; ","")&amp;IF(LEN($O105)&gt;40,"Gift Message 1; ","")&amp;IF(LEN($P105)&gt;40,"Gift Message 2; ","")&amp;IF(LEN($Q105)&gt;40,"Gift Message 3; ","")&amp;IF(LEN($R105)&gt;40,"Gift Message 4; ","")&amp;IF(LEN($S105)&gt;40,"Gift Message 5; ","")&amp;IF(LEN($T105)&gt;40,"Gift Message 6; ","")&amp;IF(LEN($U105)&gt;40,"Gift Message 7; ",""))</f>
        <v/>
      </c>
      <c r="X105" s="44" t="str">
        <f ca="1">IF(COUNTA($A105,$D105:$M105,$O105:$U105)=0,"",IF($A105="","Enter the Item Code (hamper) - type it, paste it, or choose it from the dropdown. ","")&amp;IF(AND($A105&lt;&gt;"",ISNA(MATCH($AC105,'PRODUCT DATA'!$D$2:$D$394,0))),"This Item Code is not recognised. Check the code (case does not matter, but spelling and digits must match exactly) or choose it from the dropdown. ","")&amp;IF($M105="","Enter the Country after the Item Code - type or paste the name or the 2-letter code, or choose it from the dropdown. ","")&amp;IF(AND($M105&lt;&gt;"",NOT(OR(NOT(ISNA(MATCH(IF(UPPER($M105)="UK","GB",$M105),'PRODUCT DATA'!$A$2:$A$58,0))),NOT(ISNA(MATCH(IF(UPPER($M105)="UK","GB",$M105),'PRODUCT DATA'!$B$2:$B$58,0)))))),"This Country is not recognised as either a full name or a 2-letter code. Check the spelling (case does not matter) or choose it from the dropdown. ","")&amp;IF(AND($A105&lt;&gt;"",$M105&lt;&gt;"",NOT(ISNA(MATCH($AC105,'PRODUCT DATA'!$D$2:$D$394,0))),OR(NOT(ISNA(MATCH(IF(UPPER($M105)="UK","GB",$M105),'PRODUCT DATA'!$A$2:$A$58,0))),NOT(ISNA(MATCH(IF(UPPER($M105)="UK","GB",$M105),'PRODUCT DATA'!$B$2:$B$58,0)))),NOT(IFERROR(COUNTIF(OFFSET('PRODUCT DATA'!$F$2,0,MATCH($AC105,'PRODUCT DATA'!$F$1:$NN$1,0)-1,114,1),$N105)&gt;0,FALSE()))),IF(UPPER(IFERROR(OFFSET('PRODUCT DATA'!$C$2,MATCH($N105,'PRODUCT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"),"")&amp;IF($C105="","Enter Quantity. ","")&amp;IF(AND($C105&lt;&gt;"",OR(NOT(ISNUMBER($C105)),$C105&lt;1,$C105&gt;999,MOD($C105,1)&lt;&gt;0)),"Quantity must be a whole number from 1 to 999 (use a quantity above 1 only for a genuine bulk order of identical items to ONE address — otherwise use a separate row per recipient). ","")&amp;IF($D105="","Enter Recipient Name. ","")&amp;IF(LEN($D105)&gt;35,"Recipient Name exceeds 35 characters. ","")&amp;IF($E105="","Enter Recipient Phone. ","")&amp;IF(AND($E105&lt;&gt;"",OR(LEN($E105)&lt;6,LEN($E105)&gt;20,NOT(IFERROR(ISNUMBER(1*$E105),FALSE())))),"Phone must be the LOCAL number for the destination country: digits only, no +, spaces, or country code, 6 to 20 digits. ","")&amp;IF(LEN($F105)&gt;35,"Recipient Company Name exceeds 35 characters. ","")&amp;IF($G105="","Enter Address Line 1. ","")&amp;IF(LEN($G105)&gt;35,"Address Line 1 exceeds the 35-character SAP limit. ","")&amp;IF(LEN($H105)&gt;35,"Address Line 2 exceeds the 35-character SAP limit. ","")&amp;IF(LEN($I105)&gt;35,"Address Line 3 exceeds the 35-character SAP limit. ","")&amp;IF($J105="","Enter Town. This must never be left blank, even if there is no conventional town name. ","")&amp;IF(LEN($J105)&gt;35,"Town exceeds 35 characters. ","")&amp;IF(AND($N105="IE",$K105=""),"County is required for deliveries within the Republic of Ireland. ","")&amp;IF(LEN($AB105)&gt;35,"County exceeds 35 characters. ","")&amp;IF(AND($L105="",AND($N105&lt;&gt;"AE",$N105&lt;&gt;"QA")),"Postcode is required for the selected country. If there is genuinely no postcode, enter the first 3 characters of the area (e.g. D15). ","")&amp;IF(LEN($L105)&gt;35,"Postcode exceeds 35 characters. ","")&amp;IF($AE105&lt;&gt;"",$AE105,"")&amp;IF(LEN($O105)&gt;40,"Gift Message Line 1 exceeds 40 characters. ","")&amp;IF(LEN($P105)&gt;40,"Gift Message Line 2 exceeds 40 characters. ","")&amp;IF(LEN($Q105)&gt;40,"Gift Message Line 3 exceeds 40 characters. ","")&amp;IF(LEN($R105)&gt;40,"Gift Message Line 4 exceeds 40 characters. ","")&amp;IF(LEN($S105)&gt;40,"Gift Message Line 5 exceeds 40 characters. ","")&amp;IF(LEN($T105)&gt;40,"Gift Message Line 6 exceeds 40 characters. ","")&amp;IF(LEN($U105)&gt;40,"Gift Message Line 7 exceeds 40 characters. ",""))</f>
        <v/>
      </c>
      <c r="Y105" s="44" t="str">
        <f t="shared" si="5"/>
        <v/>
      </c>
      <c r="Z105" s="44"/>
      <c r="AA105" s="44"/>
      <c r="AB105" s="32" t="str">
        <f t="shared" si="6"/>
        <v/>
      </c>
      <c r="AC105" s="32" t="str">
        <f>IF($A105="","",IFERROR(LEFT(INDEX('PRODUCT DATA'!$NO$2:$NO$25,MATCH($A105,'PRODUCT DATA'!$NP$2:$NP$25,0)),FIND("|",INDEX('PRODUCT DATA'!$NO$2:$NO$25,MATCH($A105,'PRODUCT DATA'!$NP$2:$NP$25,0)))-1),$A105))</f>
        <v/>
      </c>
      <c r="AD105" s="45"/>
      <c r="AE105" s="45" t="str">
        <f t="shared" si="7"/>
        <v/>
      </c>
    </row>
    <row r="106" spans="1:31" ht="15" customHeight="1" x14ac:dyDescent="0.25">
      <c r="A106" s="40"/>
      <c r="B106" s="43" t="str">
        <f>IF($A106="","",IFERROR(VLOOKUP($AC106,'PRODUCT DATA'!$NR$2:$NS$374,2,FALSE()),"UNKNOWN ITEM CODE - please check"))</f>
        <v/>
      </c>
      <c r="C106" s="39">
        <v>1</v>
      </c>
      <c r="D106" s="39"/>
      <c r="E106" s="40"/>
      <c r="F106" s="41"/>
      <c r="G106" s="39"/>
      <c r="H106" s="41"/>
      <c r="I106" s="41"/>
      <c r="J106" s="39"/>
      <c r="K106" s="41"/>
      <c r="L106" s="40"/>
      <c r="M106" s="40"/>
      <c r="N106" s="42" t="str">
        <f>IF($M106="","",IFERROR(INDEX('PRODUCT DATA'!$B$2:$B$58,MATCH(IF(UPPER($M106)="UK","GB",$M106),'PRODUCT DATA'!$B$2:$B$58,0)),IFERROR(INDEX('PRODUCT DATA'!$B$2:$B$58,MATCH(IF(UPPER($M106)="UK","GB",$M106),'PRODUCT DATA'!$A$2:$A$58,0)),"UNKNOWN COUNTRY - please check")))</f>
        <v/>
      </c>
      <c r="O106" s="41"/>
      <c r="P106" s="41"/>
      <c r="Q106" s="41"/>
      <c r="R106" s="41"/>
      <c r="S106" s="41"/>
      <c r="T106" s="41"/>
      <c r="U106" s="41"/>
      <c r="V106" s="43" t="str">
        <f t="shared" si="4"/>
        <v/>
      </c>
      <c r="W106" s="44" t="str">
        <f ca="1">IF(COUNTA($A106,$D106:$M106,$O106:$U106)=0,"",IF($A106="","Item Code; ","")&amp;IF(AND($A106&lt;&gt;"",ISNA(MATCH($AC106,'PRODUCT DATA'!$D$2:$D$394,0))),"Item Code; ","")&amp;IF($M106="","Country; ","")&amp;IF(AND($M106&lt;&gt;"",NOT(OR(NOT(ISNA(MATCH(IF(UPPER($M106)="UK","GB",$M106),'PRODUCT DATA'!$A$2:$A$58,0))),NOT(ISNA(MATCH(IF(UPPER($M106)="UK","GB",$M106),'PRODUCT DATA'!$B$2:$B$58,0)))))),"Country; ","")&amp;IF(AND($A106&lt;&gt;"",$M106&lt;&gt;"",NOT(ISNA(MATCH($AC106,'PRODUCT DATA'!$D$2:$D$394,0))),OR(NOT(ISNA(MATCH(IF(UPPER($M106)="UK","GB",$M106),'PRODUCT DATA'!$A$2:$A$58,0))),NOT(ISNA(MATCH(IF(UPPER($M106)="UK","GB",$M106),'PRODUCT DATA'!$B$2:$B$58,0)))),NOT(IFERROR(COUNTIF(OFFSET('PRODUCT DATA'!$F$2,0,MATCH($AC106,'PRODUCT DATA'!$F$1:$NN$1,0)-1,114,1),$N106)&gt;0,FALSE()))),IF(UPPER(IFERROR(OFFSET('PRODUCT DATA'!$C$2,MATCH($N106,'PRODUCT DATA'!$B$2:$B$58,0)-1,0),""))="NO","Alcohol Restriction; ","Item Code / Country combination; "),"")&amp;IF($C106="","Quantity; ","")&amp;IF(AND($C106&lt;&gt;"",OR(NOT(ISNUMBER($C106)),$C106&lt;1,$C106&gt;999,MOD($C106,1)&lt;&gt;0)),"Quantity; ","")&amp;IF($D106="","Recipient Name; ","")&amp;IF(LEN($D106)&gt;35,"Recipient Name; ","")&amp;IF($E106="","Recipient Phone; ","")&amp;IF(AND($E106&lt;&gt;"",OR(LEN($E106)&lt;6,LEN($E106)&gt;20,NOT(IFERROR(ISNUMBER(1*$E106),FALSE())))),"Recipient Phone; ","")&amp;IF(LEN($F106)&gt;35,"Recipient Company Name; ","")&amp;IF($G106="","Address Line 1; ","")&amp;IF(LEN($G106)&gt;35,"Address Line 1; ","")&amp;IF(LEN($H106)&gt;35,"Address Line 2; ","")&amp;IF(LEN($I106)&gt;35,"Address Line 3; ","")&amp;IF($J106="","Town; ","")&amp;IF(LEN($J106)&gt;35,"Town; ","")&amp;IF(AND($N106="IE",$K106=""),"County; ","")&amp;IF(LEN($AB106)&gt;35,"County; ","")&amp;IF(AND($L106="",AND($N106&lt;&gt;"AE",$N106&lt;&gt;"QA")),"Postcode; ","")&amp;IF(LEN($L106)&gt;35,"Postcode; ","")&amp;IF($AE106&lt;&gt;"","Postcode; ","")&amp;IF(LEN($O106)&gt;40,"Gift Message 1; ","")&amp;IF(LEN($P106)&gt;40,"Gift Message 2; ","")&amp;IF(LEN($Q106)&gt;40,"Gift Message 3; ","")&amp;IF(LEN($R106)&gt;40,"Gift Message 4; ","")&amp;IF(LEN($S106)&gt;40,"Gift Message 5; ","")&amp;IF(LEN($T106)&gt;40,"Gift Message 6; ","")&amp;IF(LEN($U106)&gt;40,"Gift Message 7; ",""))</f>
        <v/>
      </c>
      <c r="X106" s="44" t="str">
        <f ca="1">IF(COUNTA($A106,$D106:$M106,$O106:$U106)=0,"",IF($A106="","Enter the Item Code (hamper) - type it, paste it, or choose it from the dropdown. ","")&amp;IF(AND($A106&lt;&gt;"",ISNA(MATCH($AC106,'PRODUCT DATA'!$D$2:$D$394,0))),"This Item Code is not recognised. Check the code (case does not matter, but spelling and digits must match exactly) or choose it from the dropdown. ","")&amp;IF($M106="","Enter the Country after the Item Code - type or paste the name or the 2-letter code, or choose it from the dropdown. ","")&amp;IF(AND($M106&lt;&gt;"",NOT(OR(NOT(ISNA(MATCH(IF(UPPER($M106)="UK","GB",$M106),'PRODUCT DATA'!$A$2:$A$58,0))),NOT(ISNA(MATCH(IF(UPPER($M106)="UK","GB",$M106),'PRODUCT DATA'!$B$2:$B$58,0)))))),"This Country is not recognised as either a full name or a 2-letter code. Check the spelling (case does not matter) or choose it from the dropdown. ","")&amp;IF(AND($A106&lt;&gt;"",$M106&lt;&gt;"",NOT(ISNA(MATCH($AC106,'PRODUCT DATA'!$D$2:$D$394,0))),OR(NOT(ISNA(MATCH(IF(UPPER($M106)="UK","GB",$M106),'PRODUCT DATA'!$A$2:$A$58,0))),NOT(ISNA(MATCH(IF(UPPER($M106)="UK","GB",$M106),'PRODUCT DATA'!$B$2:$B$58,0)))),NOT(IFERROR(COUNTIF(OFFSET('PRODUCT DATA'!$F$2,0,MATCH($AC106,'PRODUCT DATA'!$F$1:$NN$1,0)-1,114,1),$N106)&gt;0,FALSE()))),IF(UPPER(IFERROR(OFFSET('PRODUCT DATA'!$C$2,MATCH($N106,'PRODUCT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"),"")&amp;IF($C106="","Enter Quantity. ","")&amp;IF(AND($C106&lt;&gt;"",OR(NOT(ISNUMBER($C106)),$C106&lt;1,$C106&gt;999,MOD($C106,1)&lt;&gt;0)),"Quantity must be a whole number from 1 to 999 (use a quantity above 1 only for a genuine bulk order of identical items to ONE address — otherwise use a separate row per recipient). ","")&amp;IF($D106="","Enter Recipient Name. ","")&amp;IF(LEN($D106)&gt;35,"Recipient Name exceeds 35 characters. ","")&amp;IF($E106="","Enter Recipient Phone. ","")&amp;IF(AND($E106&lt;&gt;"",OR(LEN($E106)&lt;6,LEN($E106)&gt;20,NOT(IFERROR(ISNUMBER(1*$E106),FALSE())))),"Phone must be the LOCAL number for the destination country: digits only, no +, spaces, or country code, 6 to 20 digits. ","")&amp;IF(LEN($F106)&gt;35,"Recipient Company Name exceeds 35 characters. ","")&amp;IF($G106="","Enter Address Line 1. ","")&amp;IF(LEN($G106)&gt;35,"Address Line 1 exceeds the 35-character SAP limit. ","")&amp;IF(LEN($H106)&gt;35,"Address Line 2 exceeds the 35-character SAP limit. ","")&amp;IF(LEN($I106)&gt;35,"Address Line 3 exceeds the 35-character SAP limit. ","")&amp;IF($J106="","Enter Town. This must never be left blank, even if there is no conventional town name. ","")&amp;IF(LEN($J106)&gt;35,"Town exceeds 35 characters. ","")&amp;IF(AND($N106="IE",$K106=""),"County is required for deliveries within the Republic of Ireland. ","")&amp;IF(LEN($AB106)&gt;35,"County exceeds 35 characters. ","")&amp;IF(AND($L106="",AND($N106&lt;&gt;"AE",$N106&lt;&gt;"QA")),"Postcode is required for the selected country. If there is genuinely no postcode, enter the first 3 characters of the area (e.g. D15). ","")&amp;IF(LEN($L106)&gt;35,"Postcode exceeds 35 characters. ","")&amp;IF($AE106&lt;&gt;"",$AE106,"")&amp;IF(LEN($O106)&gt;40,"Gift Message Line 1 exceeds 40 characters. ","")&amp;IF(LEN($P106)&gt;40,"Gift Message Line 2 exceeds 40 characters. ","")&amp;IF(LEN($Q106)&gt;40,"Gift Message Line 3 exceeds 40 characters. ","")&amp;IF(LEN($R106)&gt;40,"Gift Message Line 4 exceeds 40 characters. ","")&amp;IF(LEN($S106)&gt;40,"Gift Message Line 5 exceeds 40 characters. ","")&amp;IF(LEN($T106)&gt;40,"Gift Message Line 6 exceeds 40 characters. ","")&amp;IF(LEN($U106)&gt;40,"Gift Message Line 7 exceeds 40 characters. ",""))</f>
        <v/>
      </c>
      <c r="Y106" s="44" t="str">
        <f t="shared" si="5"/>
        <v/>
      </c>
      <c r="Z106" s="44"/>
      <c r="AA106" s="44"/>
      <c r="AB106" s="32" t="str">
        <f t="shared" si="6"/>
        <v/>
      </c>
      <c r="AC106" s="32" t="str">
        <f>IF($A106="","",IFERROR(LEFT(INDEX('PRODUCT DATA'!$NO$2:$NO$25,MATCH($A106,'PRODUCT DATA'!$NP$2:$NP$25,0)),FIND("|",INDEX('PRODUCT DATA'!$NO$2:$NO$25,MATCH($A106,'PRODUCT DATA'!$NP$2:$NP$25,0)))-1),$A106))</f>
        <v/>
      </c>
      <c r="AD106" s="45"/>
      <c r="AE106" s="45" t="str">
        <f t="shared" si="7"/>
        <v/>
      </c>
    </row>
    <row r="107" spans="1:31" ht="15" customHeight="1" x14ac:dyDescent="0.25">
      <c r="A107" s="40"/>
      <c r="B107" s="43" t="str">
        <f>IF($A107="","",IFERROR(VLOOKUP($AC107,'PRODUCT DATA'!$NR$2:$NS$374,2,FALSE()),"UNKNOWN ITEM CODE - please check"))</f>
        <v/>
      </c>
      <c r="C107" s="39">
        <v>1</v>
      </c>
      <c r="D107" s="39"/>
      <c r="E107" s="40"/>
      <c r="F107" s="41"/>
      <c r="G107" s="39"/>
      <c r="H107" s="41"/>
      <c r="I107" s="41"/>
      <c r="J107" s="39"/>
      <c r="K107" s="41"/>
      <c r="L107" s="40"/>
      <c r="M107" s="40"/>
      <c r="N107" s="42" t="str">
        <f>IF($M107="","",IFERROR(INDEX('PRODUCT DATA'!$B$2:$B$58,MATCH(IF(UPPER($M107)="UK","GB",$M107),'PRODUCT DATA'!$B$2:$B$58,0)),IFERROR(INDEX('PRODUCT DATA'!$B$2:$B$58,MATCH(IF(UPPER($M107)="UK","GB",$M107),'PRODUCT DATA'!$A$2:$A$58,0)),"UNKNOWN COUNTRY - please check")))</f>
        <v/>
      </c>
      <c r="O107" s="41"/>
      <c r="P107" s="41"/>
      <c r="Q107" s="41"/>
      <c r="R107" s="41"/>
      <c r="S107" s="41"/>
      <c r="T107" s="41"/>
      <c r="U107" s="41"/>
      <c r="V107" s="43" t="str">
        <f t="shared" si="4"/>
        <v/>
      </c>
      <c r="W107" s="44" t="str">
        <f ca="1">IF(COUNTA($A107,$D107:$M107,$O107:$U107)=0,"",IF($A107="","Item Code; ","")&amp;IF(AND($A107&lt;&gt;"",ISNA(MATCH($AC107,'PRODUCT DATA'!$D$2:$D$394,0))),"Item Code; ","")&amp;IF($M107="","Country; ","")&amp;IF(AND($M107&lt;&gt;"",NOT(OR(NOT(ISNA(MATCH(IF(UPPER($M107)="UK","GB",$M107),'PRODUCT DATA'!$A$2:$A$58,0))),NOT(ISNA(MATCH(IF(UPPER($M107)="UK","GB",$M107),'PRODUCT DATA'!$B$2:$B$58,0)))))),"Country; ","")&amp;IF(AND($A107&lt;&gt;"",$M107&lt;&gt;"",NOT(ISNA(MATCH($AC107,'PRODUCT DATA'!$D$2:$D$394,0))),OR(NOT(ISNA(MATCH(IF(UPPER($M107)="UK","GB",$M107),'PRODUCT DATA'!$A$2:$A$58,0))),NOT(ISNA(MATCH(IF(UPPER($M107)="UK","GB",$M107),'PRODUCT DATA'!$B$2:$B$58,0)))),NOT(IFERROR(COUNTIF(OFFSET('PRODUCT DATA'!$F$2,0,MATCH($AC107,'PRODUCT DATA'!$F$1:$NN$1,0)-1,114,1),$N107)&gt;0,FALSE()))),IF(UPPER(IFERROR(OFFSET('PRODUCT DATA'!$C$2,MATCH($N107,'PRODUCT DATA'!$B$2:$B$58,0)-1,0),""))="NO","Alcohol Restriction; ","Item Code / Country combination; "),"")&amp;IF($C107="","Quantity; ","")&amp;IF(AND($C107&lt;&gt;"",OR(NOT(ISNUMBER($C107)),$C107&lt;1,$C107&gt;999,MOD($C107,1)&lt;&gt;0)),"Quantity; ","")&amp;IF($D107="","Recipient Name; ","")&amp;IF(LEN($D107)&gt;35,"Recipient Name; ","")&amp;IF($E107="","Recipient Phone; ","")&amp;IF(AND($E107&lt;&gt;"",OR(LEN($E107)&lt;6,LEN($E107)&gt;20,NOT(IFERROR(ISNUMBER(1*$E107),FALSE())))),"Recipient Phone; ","")&amp;IF(LEN($F107)&gt;35,"Recipient Company Name; ","")&amp;IF($G107="","Address Line 1; ","")&amp;IF(LEN($G107)&gt;35,"Address Line 1; ","")&amp;IF(LEN($H107)&gt;35,"Address Line 2; ","")&amp;IF(LEN($I107)&gt;35,"Address Line 3; ","")&amp;IF($J107="","Town; ","")&amp;IF(LEN($J107)&gt;35,"Town; ","")&amp;IF(AND($N107="IE",$K107=""),"County; ","")&amp;IF(LEN($AB107)&gt;35,"County; ","")&amp;IF(AND($L107="",AND($N107&lt;&gt;"AE",$N107&lt;&gt;"QA")),"Postcode; ","")&amp;IF(LEN($L107)&gt;35,"Postcode; ","")&amp;IF($AE107&lt;&gt;"","Postcode; ","")&amp;IF(LEN($O107)&gt;40,"Gift Message 1; ","")&amp;IF(LEN($P107)&gt;40,"Gift Message 2; ","")&amp;IF(LEN($Q107)&gt;40,"Gift Message 3; ","")&amp;IF(LEN($R107)&gt;40,"Gift Message 4; ","")&amp;IF(LEN($S107)&gt;40,"Gift Message 5; ","")&amp;IF(LEN($T107)&gt;40,"Gift Message 6; ","")&amp;IF(LEN($U107)&gt;40,"Gift Message 7; ",""))</f>
        <v/>
      </c>
      <c r="X107" s="44" t="str">
        <f ca="1">IF(COUNTA($A107,$D107:$M107,$O107:$U107)=0,"",IF($A107="","Enter the Item Code (hamper) - type it, paste it, or choose it from the dropdown. ","")&amp;IF(AND($A107&lt;&gt;"",ISNA(MATCH($AC107,'PRODUCT DATA'!$D$2:$D$394,0))),"This Item Code is not recognised. Check the code (case does not matter, but spelling and digits must match exactly) or choose it from the dropdown. ","")&amp;IF($M107="","Enter the Country after the Item Code - type or paste the name or the 2-letter code, or choose it from the dropdown. ","")&amp;IF(AND($M107&lt;&gt;"",NOT(OR(NOT(ISNA(MATCH(IF(UPPER($M107)="UK","GB",$M107),'PRODUCT DATA'!$A$2:$A$58,0))),NOT(ISNA(MATCH(IF(UPPER($M107)="UK","GB",$M107),'PRODUCT DATA'!$B$2:$B$58,0)))))),"This Country is not recognised as either a full name or a 2-letter code. Check the spelling (case does not matter) or choose it from the dropdown. ","")&amp;IF(AND($A107&lt;&gt;"",$M107&lt;&gt;"",NOT(ISNA(MATCH($AC107,'PRODUCT DATA'!$D$2:$D$394,0))),OR(NOT(ISNA(MATCH(IF(UPPER($M107)="UK","GB",$M107),'PRODUCT DATA'!$A$2:$A$58,0))),NOT(ISNA(MATCH(IF(UPPER($M107)="UK","GB",$M107),'PRODUCT DATA'!$B$2:$B$58,0)))),NOT(IFERROR(COUNTIF(OFFSET('PRODUCT DATA'!$F$2,0,MATCH($AC107,'PRODUCT DATA'!$F$1:$NN$1,0)-1,114,1),$N107)&gt;0,FALSE()))),IF(UPPER(IFERROR(OFFSET('PRODUCT DATA'!$C$2,MATCH($N107,'PRODUCT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"),"")&amp;IF($C107="","Enter Quantity. ","")&amp;IF(AND($C107&lt;&gt;"",OR(NOT(ISNUMBER($C107)),$C107&lt;1,$C107&gt;999,MOD($C107,1)&lt;&gt;0)),"Quantity must be a whole number from 1 to 999 (use a quantity above 1 only for a genuine bulk order of identical items to ONE address — otherwise use a separate row per recipient). ","")&amp;IF($D107="","Enter Recipient Name. ","")&amp;IF(LEN($D107)&gt;35,"Recipient Name exceeds 35 characters. ","")&amp;IF($E107="","Enter Recipient Phone. ","")&amp;IF(AND($E107&lt;&gt;"",OR(LEN($E107)&lt;6,LEN($E107)&gt;20,NOT(IFERROR(ISNUMBER(1*$E107),FALSE())))),"Phone must be the LOCAL number for the destination country: digits only, no +, spaces, or country code, 6 to 20 digits. ","")&amp;IF(LEN($F107)&gt;35,"Recipient Company Name exceeds 35 characters. ","")&amp;IF($G107="","Enter Address Line 1. ","")&amp;IF(LEN($G107)&gt;35,"Address Line 1 exceeds the 35-character SAP limit. ","")&amp;IF(LEN($H107)&gt;35,"Address Line 2 exceeds the 35-character SAP limit. ","")&amp;IF(LEN($I107)&gt;35,"Address Line 3 exceeds the 35-character SAP limit. ","")&amp;IF($J107="","Enter Town. This must never be left blank, even if there is no conventional town name. ","")&amp;IF(LEN($J107)&gt;35,"Town exceeds 35 characters. ","")&amp;IF(AND($N107="IE",$K107=""),"County is required for deliveries within the Republic of Ireland. ","")&amp;IF(LEN($AB107)&gt;35,"County exceeds 35 characters. ","")&amp;IF(AND($L107="",AND($N107&lt;&gt;"AE",$N107&lt;&gt;"QA")),"Postcode is required for the selected country. If there is genuinely no postcode, enter the first 3 characters of the area (e.g. D15). ","")&amp;IF(LEN($L107)&gt;35,"Postcode exceeds 35 characters. ","")&amp;IF($AE107&lt;&gt;"",$AE107,"")&amp;IF(LEN($O107)&gt;40,"Gift Message Line 1 exceeds 40 characters. ","")&amp;IF(LEN($P107)&gt;40,"Gift Message Line 2 exceeds 40 characters. ","")&amp;IF(LEN($Q107)&gt;40,"Gift Message Line 3 exceeds 40 characters. ","")&amp;IF(LEN($R107)&gt;40,"Gift Message Line 4 exceeds 40 characters. ","")&amp;IF(LEN($S107)&gt;40,"Gift Message Line 5 exceeds 40 characters. ","")&amp;IF(LEN($T107)&gt;40,"Gift Message Line 6 exceeds 40 characters. ","")&amp;IF(LEN($U107)&gt;40,"Gift Message Line 7 exceeds 40 characters. ",""))</f>
        <v/>
      </c>
      <c r="Y107" s="44" t="str">
        <f t="shared" si="5"/>
        <v/>
      </c>
      <c r="Z107" s="44"/>
      <c r="AA107" s="44"/>
      <c r="AB107" s="32" t="str">
        <f t="shared" si="6"/>
        <v/>
      </c>
      <c r="AC107" s="32" t="str">
        <f>IF($A107="","",IFERROR(LEFT(INDEX('PRODUCT DATA'!$NO$2:$NO$25,MATCH($A107,'PRODUCT DATA'!$NP$2:$NP$25,0)),FIND("|",INDEX('PRODUCT DATA'!$NO$2:$NO$25,MATCH($A107,'PRODUCT DATA'!$NP$2:$NP$25,0)))-1),$A107))</f>
        <v/>
      </c>
      <c r="AD107" s="45"/>
      <c r="AE107" s="45" t="str">
        <f t="shared" si="7"/>
        <v/>
      </c>
    </row>
    <row r="108" spans="1:31" ht="15" customHeight="1" x14ac:dyDescent="0.25">
      <c r="A108" s="40"/>
      <c r="B108" s="43" t="str">
        <f>IF($A108="","",IFERROR(VLOOKUP($AC108,'PRODUCT DATA'!$NR$2:$NS$374,2,FALSE()),"UNKNOWN ITEM CODE - please check"))</f>
        <v/>
      </c>
      <c r="C108" s="39">
        <v>1</v>
      </c>
      <c r="D108" s="39"/>
      <c r="E108" s="40"/>
      <c r="F108" s="41"/>
      <c r="G108" s="39"/>
      <c r="H108" s="41"/>
      <c r="I108" s="41"/>
      <c r="J108" s="39"/>
      <c r="K108" s="41"/>
      <c r="L108" s="40"/>
      <c r="M108" s="40"/>
      <c r="N108" s="42" t="str">
        <f>IF($M108="","",IFERROR(INDEX('PRODUCT DATA'!$B$2:$B$58,MATCH(IF(UPPER($M108)="UK","GB",$M108),'PRODUCT DATA'!$B$2:$B$58,0)),IFERROR(INDEX('PRODUCT DATA'!$B$2:$B$58,MATCH(IF(UPPER($M108)="UK","GB",$M108),'PRODUCT DATA'!$A$2:$A$58,0)),"UNKNOWN COUNTRY - please check")))</f>
        <v/>
      </c>
      <c r="O108" s="41"/>
      <c r="P108" s="41"/>
      <c r="Q108" s="41"/>
      <c r="R108" s="41"/>
      <c r="S108" s="41"/>
      <c r="T108" s="41"/>
      <c r="U108" s="41"/>
      <c r="V108" s="43" t="str">
        <f t="shared" si="4"/>
        <v/>
      </c>
      <c r="W108" s="44" t="str">
        <f ca="1">IF(COUNTA($A108,$D108:$M108,$O108:$U108)=0,"",IF($A108="","Item Code; ","")&amp;IF(AND($A108&lt;&gt;"",ISNA(MATCH($AC108,'PRODUCT DATA'!$D$2:$D$394,0))),"Item Code; ","")&amp;IF($M108="","Country; ","")&amp;IF(AND($M108&lt;&gt;"",NOT(OR(NOT(ISNA(MATCH(IF(UPPER($M108)="UK","GB",$M108),'PRODUCT DATA'!$A$2:$A$58,0))),NOT(ISNA(MATCH(IF(UPPER($M108)="UK","GB",$M108),'PRODUCT DATA'!$B$2:$B$58,0)))))),"Country; ","")&amp;IF(AND($A108&lt;&gt;"",$M108&lt;&gt;"",NOT(ISNA(MATCH($AC108,'PRODUCT DATA'!$D$2:$D$394,0))),OR(NOT(ISNA(MATCH(IF(UPPER($M108)="UK","GB",$M108),'PRODUCT DATA'!$A$2:$A$58,0))),NOT(ISNA(MATCH(IF(UPPER($M108)="UK","GB",$M108),'PRODUCT DATA'!$B$2:$B$58,0)))),NOT(IFERROR(COUNTIF(OFFSET('PRODUCT DATA'!$F$2,0,MATCH($AC108,'PRODUCT DATA'!$F$1:$NN$1,0)-1,114,1),$N108)&gt;0,FALSE()))),IF(UPPER(IFERROR(OFFSET('PRODUCT DATA'!$C$2,MATCH($N108,'PRODUCT DATA'!$B$2:$B$58,0)-1,0),""))="NO","Alcohol Restriction; ","Item Code / Country combination; "),"")&amp;IF($C108="","Quantity; ","")&amp;IF(AND($C108&lt;&gt;"",OR(NOT(ISNUMBER($C108)),$C108&lt;1,$C108&gt;999,MOD($C108,1)&lt;&gt;0)),"Quantity; ","")&amp;IF($D108="","Recipient Name; ","")&amp;IF(LEN($D108)&gt;35,"Recipient Name; ","")&amp;IF($E108="","Recipient Phone; ","")&amp;IF(AND($E108&lt;&gt;"",OR(LEN($E108)&lt;6,LEN($E108)&gt;20,NOT(IFERROR(ISNUMBER(1*$E108),FALSE())))),"Recipient Phone; ","")&amp;IF(LEN($F108)&gt;35,"Recipient Company Name; ","")&amp;IF($G108="","Address Line 1; ","")&amp;IF(LEN($G108)&gt;35,"Address Line 1; ","")&amp;IF(LEN($H108)&gt;35,"Address Line 2; ","")&amp;IF(LEN($I108)&gt;35,"Address Line 3; ","")&amp;IF($J108="","Town; ","")&amp;IF(LEN($J108)&gt;35,"Town; ","")&amp;IF(AND($N108="IE",$K108=""),"County; ","")&amp;IF(LEN($AB108)&gt;35,"County; ","")&amp;IF(AND($L108="",AND($N108&lt;&gt;"AE",$N108&lt;&gt;"QA")),"Postcode; ","")&amp;IF(LEN($L108)&gt;35,"Postcode; ","")&amp;IF($AE108&lt;&gt;"","Postcode; ","")&amp;IF(LEN($O108)&gt;40,"Gift Message 1; ","")&amp;IF(LEN($P108)&gt;40,"Gift Message 2; ","")&amp;IF(LEN($Q108)&gt;40,"Gift Message 3; ","")&amp;IF(LEN($R108)&gt;40,"Gift Message 4; ","")&amp;IF(LEN($S108)&gt;40,"Gift Message 5; ","")&amp;IF(LEN($T108)&gt;40,"Gift Message 6; ","")&amp;IF(LEN($U108)&gt;40,"Gift Message 7; ",""))</f>
        <v/>
      </c>
      <c r="X108" s="44" t="str">
        <f ca="1">IF(COUNTA($A108,$D108:$M108,$O108:$U108)=0,"",IF($A108="","Enter the Item Code (hamper) - type it, paste it, or choose it from the dropdown. ","")&amp;IF(AND($A108&lt;&gt;"",ISNA(MATCH($AC108,'PRODUCT DATA'!$D$2:$D$394,0))),"This Item Code is not recognised. Check the code (case does not matter, but spelling and digits must match exactly) or choose it from the dropdown. ","")&amp;IF($M108="","Enter the Country after the Item Code - type or paste the name or the 2-letter code, or choose it from the dropdown. ","")&amp;IF(AND($M108&lt;&gt;"",NOT(OR(NOT(ISNA(MATCH(IF(UPPER($M108)="UK","GB",$M108),'PRODUCT DATA'!$A$2:$A$58,0))),NOT(ISNA(MATCH(IF(UPPER($M108)="UK","GB",$M108),'PRODUCT DATA'!$B$2:$B$58,0)))))),"This Country is not recognised as either a full name or a 2-letter code. Check the spelling (case does not matter) or choose it from the dropdown. ","")&amp;IF(AND($A108&lt;&gt;"",$M108&lt;&gt;"",NOT(ISNA(MATCH($AC108,'PRODUCT DATA'!$D$2:$D$394,0))),OR(NOT(ISNA(MATCH(IF(UPPER($M108)="UK","GB",$M108),'PRODUCT DATA'!$A$2:$A$58,0))),NOT(ISNA(MATCH(IF(UPPER($M108)="UK","GB",$M108),'PRODUCT DATA'!$B$2:$B$58,0)))),NOT(IFERROR(COUNTIF(OFFSET('PRODUCT DATA'!$F$2,0,MATCH($AC108,'PRODUCT DATA'!$F$1:$NN$1,0)-1,114,1),$N108)&gt;0,FALSE()))),IF(UPPER(IFERROR(OFFSET('PRODUCT DATA'!$C$2,MATCH($N108,'PRODUCT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"),"")&amp;IF($C108="","Enter Quantity. ","")&amp;IF(AND($C108&lt;&gt;"",OR(NOT(ISNUMBER($C108)),$C108&lt;1,$C108&gt;999,MOD($C108,1)&lt;&gt;0)),"Quantity must be a whole number from 1 to 999 (use a quantity above 1 only for a genuine bulk order of identical items to ONE address — otherwise use a separate row per recipient). ","")&amp;IF($D108="","Enter Recipient Name. ","")&amp;IF(LEN($D108)&gt;35,"Recipient Name exceeds 35 characters. ","")&amp;IF($E108="","Enter Recipient Phone. ","")&amp;IF(AND($E108&lt;&gt;"",OR(LEN($E108)&lt;6,LEN($E108)&gt;20,NOT(IFERROR(ISNUMBER(1*$E108),FALSE())))),"Phone must be the LOCAL number for the destination country: digits only, no +, spaces, or country code, 6 to 20 digits. ","")&amp;IF(LEN($F108)&gt;35,"Recipient Company Name exceeds 35 characters. ","")&amp;IF($G108="","Enter Address Line 1. ","")&amp;IF(LEN($G108)&gt;35,"Address Line 1 exceeds the 35-character SAP limit. ","")&amp;IF(LEN($H108)&gt;35,"Address Line 2 exceeds the 35-character SAP limit. ","")&amp;IF(LEN($I108)&gt;35,"Address Line 3 exceeds the 35-character SAP limit. ","")&amp;IF($J108="","Enter Town. This must never be left blank, even if there is no conventional town name. ","")&amp;IF(LEN($J108)&gt;35,"Town exceeds 35 characters. ","")&amp;IF(AND($N108="IE",$K108=""),"County is required for deliveries within the Republic of Ireland. ","")&amp;IF(LEN($AB108)&gt;35,"County exceeds 35 characters. ","")&amp;IF(AND($L108="",AND($N108&lt;&gt;"AE",$N108&lt;&gt;"QA")),"Postcode is required for the selected country. If there is genuinely no postcode, enter the first 3 characters of the area (e.g. D15). ","")&amp;IF(LEN($L108)&gt;35,"Postcode exceeds 35 characters. ","")&amp;IF($AE108&lt;&gt;"",$AE108,"")&amp;IF(LEN($O108)&gt;40,"Gift Message Line 1 exceeds 40 characters. ","")&amp;IF(LEN($P108)&gt;40,"Gift Message Line 2 exceeds 40 characters. ","")&amp;IF(LEN($Q108)&gt;40,"Gift Message Line 3 exceeds 40 characters. ","")&amp;IF(LEN($R108)&gt;40,"Gift Message Line 4 exceeds 40 characters. ","")&amp;IF(LEN($S108)&gt;40,"Gift Message Line 5 exceeds 40 characters. ","")&amp;IF(LEN($T108)&gt;40,"Gift Message Line 6 exceeds 40 characters. ","")&amp;IF(LEN($U108)&gt;40,"Gift Message Line 7 exceeds 40 characters. ",""))</f>
        <v/>
      </c>
      <c r="Y108" s="44" t="str">
        <f t="shared" si="5"/>
        <v/>
      </c>
      <c r="Z108" s="44"/>
      <c r="AA108" s="44"/>
      <c r="AB108" s="32" t="str">
        <f t="shared" si="6"/>
        <v/>
      </c>
      <c r="AC108" s="32" t="str">
        <f>IF($A108="","",IFERROR(LEFT(INDEX('PRODUCT DATA'!$NO$2:$NO$25,MATCH($A108,'PRODUCT DATA'!$NP$2:$NP$25,0)),FIND("|",INDEX('PRODUCT DATA'!$NO$2:$NO$25,MATCH($A108,'PRODUCT DATA'!$NP$2:$NP$25,0)))-1),$A108))</f>
        <v/>
      </c>
      <c r="AD108" s="45"/>
      <c r="AE108" s="45" t="str">
        <f t="shared" si="7"/>
        <v/>
      </c>
    </row>
    <row r="109" spans="1:31" ht="15" customHeight="1" x14ac:dyDescent="0.25">
      <c r="A109" s="40"/>
      <c r="B109" s="43" t="str">
        <f>IF($A109="","",IFERROR(VLOOKUP($AC109,'PRODUCT DATA'!$NR$2:$NS$374,2,FALSE()),"UNKNOWN ITEM CODE - please check"))</f>
        <v/>
      </c>
      <c r="C109" s="39">
        <v>1</v>
      </c>
      <c r="D109" s="39"/>
      <c r="E109" s="40"/>
      <c r="F109" s="41"/>
      <c r="G109" s="39"/>
      <c r="H109" s="41"/>
      <c r="I109" s="41"/>
      <c r="J109" s="39"/>
      <c r="K109" s="41"/>
      <c r="L109" s="40"/>
      <c r="M109" s="40"/>
      <c r="N109" s="42" t="str">
        <f>IF($M109="","",IFERROR(INDEX('PRODUCT DATA'!$B$2:$B$58,MATCH(IF(UPPER($M109)="UK","GB",$M109),'PRODUCT DATA'!$B$2:$B$58,0)),IFERROR(INDEX('PRODUCT DATA'!$B$2:$B$58,MATCH(IF(UPPER($M109)="UK","GB",$M109),'PRODUCT DATA'!$A$2:$A$58,0)),"UNKNOWN COUNTRY - please check")))</f>
        <v/>
      </c>
      <c r="O109" s="41"/>
      <c r="P109" s="41"/>
      <c r="Q109" s="41"/>
      <c r="R109" s="41"/>
      <c r="S109" s="41"/>
      <c r="T109" s="41"/>
      <c r="U109" s="41"/>
      <c r="V109" s="43" t="str">
        <f t="shared" si="4"/>
        <v/>
      </c>
      <c r="W109" s="44" t="str">
        <f ca="1">IF(COUNTA($A109,$D109:$M109,$O109:$U109)=0,"",IF($A109="","Item Code; ","")&amp;IF(AND($A109&lt;&gt;"",ISNA(MATCH($AC109,'PRODUCT DATA'!$D$2:$D$394,0))),"Item Code; ","")&amp;IF($M109="","Country; ","")&amp;IF(AND($M109&lt;&gt;"",NOT(OR(NOT(ISNA(MATCH(IF(UPPER($M109)="UK","GB",$M109),'PRODUCT DATA'!$A$2:$A$58,0))),NOT(ISNA(MATCH(IF(UPPER($M109)="UK","GB",$M109),'PRODUCT DATA'!$B$2:$B$58,0)))))),"Country; ","")&amp;IF(AND($A109&lt;&gt;"",$M109&lt;&gt;"",NOT(ISNA(MATCH($AC109,'PRODUCT DATA'!$D$2:$D$394,0))),OR(NOT(ISNA(MATCH(IF(UPPER($M109)="UK","GB",$M109),'PRODUCT DATA'!$A$2:$A$58,0))),NOT(ISNA(MATCH(IF(UPPER($M109)="UK","GB",$M109),'PRODUCT DATA'!$B$2:$B$58,0)))),NOT(IFERROR(COUNTIF(OFFSET('PRODUCT DATA'!$F$2,0,MATCH($AC109,'PRODUCT DATA'!$F$1:$NN$1,0)-1,114,1),$N109)&gt;0,FALSE()))),IF(UPPER(IFERROR(OFFSET('PRODUCT DATA'!$C$2,MATCH($N109,'PRODUCT DATA'!$B$2:$B$58,0)-1,0),""))="NO","Alcohol Restriction; ","Item Code / Country combination; "),"")&amp;IF($C109="","Quantity; ","")&amp;IF(AND($C109&lt;&gt;"",OR(NOT(ISNUMBER($C109)),$C109&lt;1,$C109&gt;999,MOD($C109,1)&lt;&gt;0)),"Quantity; ","")&amp;IF($D109="","Recipient Name; ","")&amp;IF(LEN($D109)&gt;35,"Recipient Name; ","")&amp;IF($E109="","Recipient Phone; ","")&amp;IF(AND($E109&lt;&gt;"",OR(LEN($E109)&lt;6,LEN($E109)&gt;20,NOT(IFERROR(ISNUMBER(1*$E109),FALSE())))),"Recipient Phone; ","")&amp;IF(LEN($F109)&gt;35,"Recipient Company Name; ","")&amp;IF($G109="","Address Line 1; ","")&amp;IF(LEN($G109)&gt;35,"Address Line 1; ","")&amp;IF(LEN($H109)&gt;35,"Address Line 2; ","")&amp;IF(LEN($I109)&gt;35,"Address Line 3; ","")&amp;IF($J109="","Town; ","")&amp;IF(LEN($J109)&gt;35,"Town; ","")&amp;IF(AND($N109="IE",$K109=""),"County; ","")&amp;IF(LEN($AB109)&gt;35,"County; ","")&amp;IF(AND($L109="",AND($N109&lt;&gt;"AE",$N109&lt;&gt;"QA")),"Postcode; ","")&amp;IF(LEN($L109)&gt;35,"Postcode; ","")&amp;IF($AE109&lt;&gt;"","Postcode; ","")&amp;IF(LEN($O109)&gt;40,"Gift Message 1; ","")&amp;IF(LEN($P109)&gt;40,"Gift Message 2; ","")&amp;IF(LEN($Q109)&gt;40,"Gift Message 3; ","")&amp;IF(LEN($R109)&gt;40,"Gift Message 4; ","")&amp;IF(LEN($S109)&gt;40,"Gift Message 5; ","")&amp;IF(LEN($T109)&gt;40,"Gift Message 6; ","")&amp;IF(LEN($U109)&gt;40,"Gift Message 7; ",""))</f>
        <v/>
      </c>
      <c r="X109" s="44" t="str">
        <f ca="1">IF(COUNTA($A109,$D109:$M109,$O109:$U109)=0,"",IF($A109="","Enter the Item Code (hamper) - type it, paste it, or choose it from the dropdown. ","")&amp;IF(AND($A109&lt;&gt;"",ISNA(MATCH($AC109,'PRODUCT DATA'!$D$2:$D$394,0))),"This Item Code is not recognised. Check the code (case does not matter, but spelling and digits must match exactly) or choose it from the dropdown. ","")&amp;IF($M109="","Enter the Country after the Item Code - type or paste the name or the 2-letter code, or choose it from the dropdown. ","")&amp;IF(AND($M109&lt;&gt;"",NOT(OR(NOT(ISNA(MATCH(IF(UPPER($M109)="UK","GB",$M109),'PRODUCT DATA'!$A$2:$A$58,0))),NOT(ISNA(MATCH(IF(UPPER($M109)="UK","GB",$M109),'PRODUCT DATA'!$B$2:$B$58,0)))))),"This Country is not recognised as either a full name or a 2-letter code. Check the spelling (case does not matter) or choose it from the dropdown. ","")&amp;IF(AND($A109&lt;&gt;"",$M109&lt;&gt;"",NOT(ISNA(MATCH($AC109,'PRODUCT DATA'!$D$2:$D$394,0))),OR(NOT(ISNA(MATCH(IF(UPPER($M109)="UK","GB",$M109),'PRODUCT DATA'!$A$2:$A$58,0))),NOT(ISNA(MATCH(IF(UPPER($M109)="UK","GB",$M109),'PRODUCT DATA'!$B$2:$B$58,0)))),NOT(IFERROR(COUNTIF(OFFSET('PRODUCT DATA'!$F$2,0,MATCH($AC109,'PRODUCT DATA'!$F$1:$NN$1,0)-1,114,1),$N109)&gt;0,FALSE()))),IF(UPPER(IFERROR(OFFSET('PRODUCT DATA'!$C$2,MATCH($N109,'PRODUCT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"),"")&amp;IF($C109="","Enter Quantity. ","")&amp;IF(AND($C109&lt;&gt;"",OR(NOT(ISNUMBER($C109)),$C109&lt;1,$C109&gt;999,MOD($C109,1)&lt;&gt;0)),"Quantity must be a whole number from 1 to 999 (use a quantity above 1 only for a genuine bulk order of identical items to ONE address — otherwise use a separate row per recipient). ","")&amp;IF($D109="","Enter Recipient Name. ","")&amp;IF(LEN($D109)&gt;35,"Recipient Name exceeds 35 characters. ","")&amp;IF($E109="","Enter Recipient Phone. ","")&amp;IF(AND($E109&lt;&gt;"",OR(LEN($E109)&lt;6,LEN($E109)&gt;20,NOT(IFERROR(ISNUMBER(1*$E109),FALSE())))),"Phone must be the LOCAL number for the destination country: digits only, no +, spaces, or country code, 6 to 20 digits. ","")&amp;IF(LEN($F109)&gt;35,"Recipient Company Name exceeds 35 characters. ","")&amp;IF($G109="","Enter Address Line 1. ","")&amp;IF(LEN($G109)&gt;35,"Address Line 1 exceeds the 35-character SAP limit. ","")&amp;IF(LEN($H109)&gt;35,"Address Line 2 exceeds the 35-character SAP limit. ","")&amp;IF(LEN($I109)&gt;35,"Address Line 3 exceeds the 35-character SAP limit. ","")&amp;IF($J109="","Enter Town. This must never be left blank, even if there is no conventional town name. ","")&amp;IF(LEN($J109)&gt;35,"Town exceeds 35 characters. ","")&amp;IF(AND($N109="IE",$K109=""),"County is required for deliveries within the Republic of Ireland. ","")&amp;IF(LEN($AB109)&gt;35,"County exceeds 35 characters. ","")&amp;IF(AND($L109="",AND($N109&lt;&gt;"AE",$N109&lt;&gt;"QA")),"Postcode is required for the selected country. If there is genuinely no postcode, enter the first 3 characters of the area (e.g. D15). ","")&amp;IF(LEN($L109)&gt;35,"Postcode exceeds 35 characters. ","")&amp;IF($AE109&lt;&gt;"",$AE109,"")&amp;IF(LEN($O109)&gt;40,"Gift Message Line 1 exceeds 40 characters. ","")&amp;IF(LEN($P109)&gt;40,"Gift Message Line 2 exceeds 40 characters. ","")&amp;IF(LEN($Q109)&gt;40,"Gift Message Line 3 exceeds 40 characters. ","")&amp;IF(LEN($R109)&gt;40,"Gift Message Line 4 exceeds 40 characters. ","")&amp;IF(LEN($S109)&gt;40,"Gift Message Line 5 exceeds 40 characters. ","")&amp;IF(LEN($T109)&gt;40,"Gift Message Line 6 exceeds 40 characters. ","")&amp;IF(LEN($U109)&gt;40,"Gift Message Line 7 exceeds 40 characters. ",""))</f>
        <v/>
      </c>
      <c r="Y109" s="44" t="str">
        <f t="shared" si="5"/>
        <v/>
      </c>
      <c r="Z109" s="44"/>
      <c r="AA109" s="44"/>
      <c r="AB109" s="32" t="str">
        <f t="shared" si="6"/>
        <v/>
      </c>
      <c r="AC109" s="32" t="str">
        <f>IF($A109="","",IFERROR(LEFT(INDEX('PRODUCT DATA'!$NO$2:$NO$25,MATCH($A109,'PRODUCT DATA'!$NP$2:$NP$25,0)),FIND("|",INDEX('PRODUCT DATA'!$NO$2:$NO$25,MATCH($A109,'PRODUCT DATA'!$NP$2:$NP$25,0)))-1),$A109))</f>
        <v/>
      </c>
      <c r="AD109" s="45"/>
      <c r="AE109" s="45" t="str">
        <f t="shared" si="7"/>
        <v/>
      </c>
    </row>
    <row r="110" spans="1:31" ht="15" customHeight="1" x14ac:dyDescent="0.25">
      <c r="A110" s="40"/>
      <c r="B110" s="43" t="str">
        <f>IF($A110="","",IFERROR(VLOOKUP($AC110,'PRODUCT DATA'!$NR$2:$NS$374,2,FALSE()),"UNKNOWN ITEM CODE - please check"))</f>
        <v/>
      </c>
      <c r="C110" s="39">
        <v>1</v>
      </c>
      <c r="D110" s="39"/>
      <c r="E110" s="40"/>
      <c r="F110" s="41"/>
      <c r="G110" s="39"/>
      <c r="H110" s="41"/>
      <c r="I110" s="41"/>
      <c r="J110" s="39"/>
      <c r="K110" s="41"/>
      <c r="L110" s="40"/>
      <c r="M110" s="40"/>
      <c r="N110" s="42" t="str">
        <f>IF($M110="","",IFERROR(INDEX('PRODUCT DATA'!$B$2:$B$58,MATCH(IF(UPPER($M110)="UK","GB",$M110),'PRODUCT DATA'!$B$2:$B$58,0)),IFERROR(INDEX('PRODUCT DATA'!$B$2:$B$58,MATCH(IF(UPPER($M110)="UK","GB",$M110),'PRODUCT DATA'!$A$2:$A$58,0)),"UNKNOWN COUNTRY - please check")))</f>
        <v/>
      </c>
      <c r="O110" s="41"/>
      <c r="P110" s="41"/>
      <c r="Q110" s="41"/>
      <c r="R110" s="41"/>
      <c r="S110" s="41"/>
      <c r="T110" s="41"/>
      <c r="U110" s="41"/>
      <c r="V110" s="43" t="str">
        <f t="shared" si="4"/>
        <v/>
      </c>
      <c r="W110" s="44" t="str">
        <f ca="1">IF(COUNTA($A110,$D110:$M110,$O110:$U110)=0,"",IF($A110="","Item Code; ","")&amp;IF(AND($A110&lt;&gt;"",ISNA(MATCH($AC110,'PRODUCT DATA'!$D$2:$D$394,0))),"Item Code; ","")&amp;IF($M110="","Country; ","")&amp;IF(AND($M110&lt;&gt;"",NOT(OR(NOT(ISNA(MATCH(IF(UPPER($M110)="UK","GB",$M110),'PRODUCT DATA'!$A$2:$A$58,0))),NOT(ISNA(MATCH(IF(UPPER($M110)="UK","GB",$M110),'PRODUCT DATA'!$B$2:$B$58,0)))))),"Country; ","")&amp;IF(AND($A110&lt;&gt;"",$M110&lt;&gt;"",NOT(ISNA(MATCH($AC110,'PRODUCT DATA'!$D$2:$D$394,0))),OR(NOT(ISNA(MATCH(IF(UPPER($M110)="UK","GB",$M110),'PRODUCT DATA'!$A$2:$A$58,0))),NOT(ISNA(MATCH(IF(UPPER($M110)="UK","GB",$M110),'PRODUCT DATA'!$B$2:$B$58,0)))),NOT(IFERROR(COUNTIF(OFFSET('PRODUCT DATA'!$F$2,0,MATCH($AC110,'PRODUCT DATA'!$F$1:$NN$1,0)-1,114,1),$N110)&gt;0,FALSE()))),IF(UPPER(IFERROR(OFFSET('PRODUCT DATA'!$C$2,MATCH($N110,'PRODUCT DATA'!$B$2:$B$58,0)-1,0),""))="NO","Alcohol Restriction; ","Item Code / Country combination; "),"")&amp;IF($C110="","Quantity; ","")&amp;IF(AND($C110&lt;&gt;"",OR(NOT(ISNUMBER($C110)),$C110&lt;1,$C110&gt;999,MOD($C110,1)&lt;&gt;0)),"Quantity; ","")&amp;IF($D110="","Recipient Name; ","")&amp;IF(LEN($D110)&gt;35,"Recipient Name; ","")&amp;IF($E110="","Recipient Phone; ","")&amp;IF(AND($E110&lt;&gt;"",OR(LEN($E110)&lt;6,LEN($E110)&gt;20,NOT(IFERROR(ISNUMBER(1*$E110),FALSE())))),"Recipient Phone; ","")&amp;IF(LEN($F110)&gt;35,"Recipient Company Name; ","")&amp;IF($G110="","Address Line 1; ","")&amp;IF(LEN($G110)&gt;35,"Address Line 1; ","")&amp;IF(LEN($H110)&gt;35,"Address Line 2; ","")&amp;IF(LEN($I110)&gt;35,"Address Line 3; ","")&amp;IF($J110="","Town; ","")&amp;IF(LEN($J110)&gt;35,"Town; ","")&amp;IF(AND($N110="IE",$K110=""),"County; ","")&amp;IF(LEN($AB110)&gt;35,"County; ","")&amp;IF(AND($L110="",AND($N110&lt;&gt;"AE",$N110&lt;&gt;"QA")),"Postcode; ","")&amp;IF(LEN($L110)&gt;35,"Postcode; ","")&amp;IF($AE110&lt;&gt;"","Postcode; ","")&amp;IF(LEN($O110)&gt;40,"Gift Message 1; ","")&amp;IF(LEN($P110)&gt;40,"Gift Message 2; ","")&amp;IF(LEN($Q110)&gt;40,"Gift Message 3; ","")&amp;IF(LEN($R110)&gt;40,"Gift Message 4; ","")&amp;IF(LEN($S110)&gt;40,"Gift Message 5; ","")&amp;IF(LEN($T110)&gt;40,"Gift Message 6; ","")&amp;IF(LEN($U110)&gt;40,"Gift Message 7; ",""))</f>
        <v/>
      </c>
      <c r="X110" s="44" t="str">
        <f ca="1">IF(COUNTA($A110,$D110:$M110,$O110:$U110)=0,"",IF($A110="","Enter the Item Code (hamper) - type it, paste it, or choose it from the dropdown. ","")&amp;IF(AND($A110&lt;&gt;"",ISNA(MATCH($AC110,'PRODUCT DATA'!$D$2:$D$394,0))),"This Item Code is not recognised. Check the code (case does not matter, but spelling and digits must match exactly) or choose it from the dropdown. ","")&amp;IF($M110="","Enter the Country after the Item Code - type or paste the name or the 2-letter code, or choose it from the dropdown. ","")&amp;IF(AND($M110&lt;&gt;"",NOT(OR(NOT(ISNA(MATCH(IF(UPPER($M110)="UK","GB",$M110),'PRODUCT DATA'!$A$2:$A$58,0))),NOT(ISNA(MATCH(IF(UPPER($M110)="UK","GB",$M110),'PRODUCT DATA'!$B$2:$B$58,0)))))),"This Country is not recognised as either a full name or a 2-letter code. Check the spelling (case does not matter) or choose it from the dropdown. ","")&amp;IF(AND($A110&lt;&gt;"",$M110&lt;&gt;"",NOT(ISNA(MATCH($AC110,'PRODUCT DATA'!$D$2:$D$394,0))),OR(NOT(ISNA(MATCH(IF(UPPER($M110)="UK","GB",$M110),'PRODUCT DATA'!$A$2:$A$58,0))),NOT(ISNA(MATCH(IF(UPPER($M110)="UK","GB",$M110),'PRODUCT DATA'!$B$2:$B$58,0)))),NOT(IFERROR(COUNTIF(OFFSET('PRODUCT DATA'!$F$2,0,MATCH($AC110,'PRODUCT DATA'!$F$1:$NN$1,0)-1,114,1),$N110)&gt;0,FALSE()))),IF(UPPER(IFERROR(OFFSET('PRODUCT DATA'!$C$2,MATCH($N110,'PRODUCT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"),"")&amp;IF($C110="","Enter Quantity. ","")&amp;IF(AND($C110&lt;&gt;"",OR(NOT(ISNUMBER($C110)),$C110&lt;1,$C110&gt;999,MOD($C110,1)&lt;&gt;0)),"Quantity must be a whole number from 1 to 999 (use a quantity above 1 only for a genuine bulk order of identical items to ONE address — otherwise use a separate row per recipient). ","")&amp;IF($D110="","Enter Recipient Name. ","")&amp;IF(LEN($D110)&gt;35,"Recipient Name exceeds 35 characters. ","")&amp;IF($E110="","Enter Recipient Phone. ","")&amp;IF(AND($E110&lt;&gt;"",OR(LEN($E110)&lt;6,LEN($E110)&gt;20,NOT(IFERROR(ISNUMBER(1*$E110),FALSE())))),"Phone must be the LOCAL number for the destination country: digits only, no +, spaces, or country code, 6 to 20 digits. ","")&amp;IF(LEN($F110)&gt;35,"Recipient Company Name exceeds 35 characters. ","")&amp;IF($G110="","Enter Address Line 1. ","")&amp;IF(LEN($G110)&gt;35,"Address Line 1 exceeds the 35-character SAP limit. ","")&amp;IF(LEN($H110)&gt;35,"Address Line 2 exceeds the 35-character SAP limit. ","")&amp;IF(LEN($I110)&gt;35,"Address Line 3 exceeds the 35-character SAP limit. ","")&amp;IF($J110="","Enter Town. This must never be left blank, even if there is no conventional town name. ","")&amp;IF(LEN($J110)&gt;35,"Town exceeds 35 characters. ","")&amp;IF(AND($N110="IE",$K110=""),"County is required for deliveries within the Republic of Ireland. ","")&amp;IF(LEN($AB110)&gt;35,"County exceeds 35 characters. ","")&amp;IF(AND($L110="",AND($N110&lt;&gt;"AE",$N110&lt;&gt;"QA")),"Postcode is required for the selected country. If there is genuinely no postcode, enter the first 3 characters of the area (e.g. D15). ","")&amp;IF(LEN($L110)&gt;35,"Postcode exceeds 35 characters. ","")&amp;IF($AE110&lt;&gt;"",$AE110,"")&amp;IF(LEN($O110)&gt;40,"Gift Message Line 1 exceeds 40 characters. ","")&amp;IF(LEN($P110)&gt;40,"Gift Message Line 2 exceeds 40 characters. ","")&amp;IF(LEN($Q110)&gt;40,"Gift Message Line 3 exceeds 40 characters. ","")&amp;IF(LEN($R110)&gt;40,"Gift Message Line 4 exceeds 40 characters. ","")&amp;IF(LEN($S110)&gt;40,"Gift Message Line 5 exceeds 40 characters. ","")&amp;IF(LEN($T110)&gt;40,"Gift Message Line 6 exceeds 40 characters. ","")&amp;IF(LEN($U110)&gt;40,"Gift Message Line 7 exceeds 40 characters. ",""))</f>
        <v/>
      </c>
      <c r="Y110" s="44" t="str">
        <f t="shared" si="5"/>
        <v/>
      </c>
      <c r="Z110" s="44"/>
      <c r="AA110" s="44"/>
      <c r="AB110" s="32" t="str">
        <f t="shared" si="6"/>
        <v/>
      </c>
      <c r="AC110" s="32" t="str">
        <f>IF($A110="","",IFERROR(LEFT(INDEX('PRODUCT DATA'!$NO$2:$NO$25,MATCH($A110,'PRODUCT DATA'!$NP$2:$NP$25,0)),FIND("|",INDEX('PRODUCT DATA'!$NO$2:$NO$25,MATCH($A110,'PRODUCT DATA'!$NP$2:$NP$25,0)))-1),$A110))</f>
        <v/>
      </c>
      <c r="AD110" s="45"/>
      <c r="AE110" s="45" t="str">
        <f t="shared" si="7"/>
        <v/>
      </c>
    </row>
    <row r="111" spans="1:31" ht="15" customHeight="1" x14ac:dyDescent="0.25">
      <c r="A111" s="40"/>
      <c r="B111" s="43" t="str">
        <f>IF($A111="","",IFERROR(VLOOKUP($AC111,'PRODUCT DATA'!$NR$2:$NS$374,2,FALSE()),"UNKNOWN ITEM CODE - please check"))</f>
        <v/>
      </c>
      <c r="C111" s="39">
        <v>1</v>
      </c>
      <c r="D111" s="39"/>
      <c r="E111" s="40"/>
      <c r="F111" s="41"/>
      <c r="G111" s="39"/>
      <c r="H111" s="41"/>
      <c r="I111" s="41"/>
      <c r="J111" s="39"/>
      <c r="K111" s="41"/>
      <c r="L111" s="40"/>
      <c r="M111" s="40"/>
      <c r="N111" s="42" t="str">
        <f>IF($M111="","",IFERROR(INDEX('PRODUCT DATA'!$B$2:$B$58,MATCH(IF(UPPER($M111)="UK","GB",$M111),'PRODUCT DATA'!$B$2:$B$58,0)),IFERROR(INDEX('PRODUCT DATA'!$B$2:$B$58,MATCH(IF(UPPER($M111)="UK","GB",$M111),'PRODUCT DATA'!$A$2:$A$58,0)),"UNKNOWN COUNTRY - please check")))</f>
        <v/>
      </c>
      <c r="O111" s="41"/>
      <c r="P111" s="41"/>
      <c r="Q111" s="41"/>
      <c r="R111" s="41"/>
      <c r="S111" s="41"/>
      <c r="T111" s="41"/>
      <c r="U111" s="41"/>
      <c r="V111" s="43" t="str">
        <f t="shared" si="4"/>
        <v/>
      </c>
      <c r="W111" s="44" t="str">
        <f ca="1">IF(COUNTA($A111,$D111:$M111,$O111:$U111)=0,"",IF($A111="","Item Code; ","")&amp;IF(AND($A111&lt;&gt;"",ISNA(MATCH($AC111,'PRODUCT DATA'!$D$2:$D$394,0))),"Item Code; ","")&amp;IF($M111="","Country; ","")&amp;IF(AND($M111&lt;&gt;"",NOT(OR(NOT(ISNA(MATCH(IF(UPPER($M111)="UK","GB",$M111),'PRODUCT DATA'!$A$2:$A$58,0))),NOT(ISNA(MATCH(IF(UPPER($M111)="UK","GB",$M111),'PRODUCT DATA'!$B$2:$B$58,0)))))),"Country; ","")&amp;IF(AND($A111&lt;&gt;"",$M111&lt;&gt;"",NOT(ISNA(MATCH($AC111,'PRODUCT DATA'!$D$2:$D$394,0))),OR(NOT(ISNA(MATCH(IF(UPPER($M111)="UK","GB",$M111),'PRODUCT DATA'!$A$2:$A$58,0))),NOT(ISNA(MATCH(IF(UPPER($M111)="UK","GB",$M111),'PRODUCT DATA'!$B$2:$B$58,0)))),NOT(IFERROR(COUNTIF(OFFSET('PRODUCT DATA'!$F$2,0,MATCH($AC111,'PRODUCT DATA'!$F$1:$NN$1,0)-1,114,1),$N111)&gt;0,FALSE()))),IF(UPPER(IFERROR(OFFSET('PRODUCT DATA'!$C$2,MATCH($N111,'PRODUCT DATA'!$B$2:$B$58,0)-1,0),""))="NO","Alcohol Restriction; ","Item Code / Country combination; "),"")&amp;IF($C111="","Quantity; ","")&amp;IF(AND($C111&lt;&gt;"",OR(NOT(ISNUMBER($C111)),$C111&lt;1,$C111&gt;999,MOD($C111,1)&lt;&gt;0)),"Quantity; ","")&amp;IF($D111="","Recipient Name; ","")&amp;IF(LEN($D111)&gt;35,"Recipient Name; ","")&amp;IF($E111="","Recipient Phone; ","")&amp;IF(AND($E111&lt;&gt;"",OR(LEN($E111)&lt;6,LEN($E111)&gt;20,NOT(IFERROR(ISNUMBER(1*$E111),FALSE())))),"Recipient Phone; ","")&amp;IF(LEN($F111)&gt;35,"Recipient Company Name; ","")&amp;IF($G111="","Address Line 1; ","")&amp;IF(LEN($G111)&gt;35,"Address Line 1; ","")&amp;IF(LEN($H111)&gt;35,"Address Line 2; ","")&amp;IF(LEN($I111)&gt;35,"Address Line 3; ","")&amp;IF($J111="","Town; ","")&amp;IF(LEN($J111)&gt;35,"Town; ","")&amp;IF(AND($N111="IE",$K111=""),"County; ","")&amp;IF(LEN($AB111)&gt;35,"County; ","")&amp;IF(AND($L111="",AND($N111&lt;&gt;"AE",$N111&lt;&gt;"QA")),"Postcode; ","")&amp;IF(LEN($L111)&gt;35,"Postcode; ","")&amp;IF($AE111&lt;&gt;"","Postcode; ","")&amp;IF(LEN($O111)&gt;40,"Gift Message 1; ","")&amp;IF(LEN($P111)&gt;40,"Gift Message 2; ","")&amp;IF(LEN($Q111)&gt;40,"Gift Message 3; ","")&amp;IF(LEN($R111)&gt;40,"Gift Message 4; ","")&amp;IF(LEN($S111)&gt;40,"Gift Message 5; ","")&amp;IF(LEN($T111)&gt;40,"Gift Message 6; ","")&amp;IF(LEN($U111)&gt;40,"Gift Message 7; ",""))</f>
        <v/>
      </c>
      <c r="X111" s="44" t="str">
        <f ca="1">IF(COUNTA($A111,$D111:$M111,$O111:$U111)=0,"",IF($A111="","Enter the Item Code (hamper) - type it, paste it, or choose it from the dropdown. ","")&amp;IF(AND($A111&lt;&gt;"",ISNA(MATCH($AC111,'PRODUCT DATA'!$D$2:$D$394,0))),"This Item Code is not recognised. Check the code (case does not matter, but spelling and digits must match exactly) or choose it from the dropdown. ","")&amp;IF($M111="","Enter the Country after the Item Code - type or paste the name or the 2-letter code, or choose it from the dropdown. ","")&amp;IF(AND($M111&lt;&gt;"",NOT(OR(NOT(ISNA(MATCH(IF(UPPER($M111)="UK","GB",$M111),'PRODUCT DATA'!$A$2:$A$58,0))),NOT(ISNA(MATCH(IF(UPPER($M111)="UK","GB",$M111),'PRODUCT DATA'!$B$2:$B$58,0)))))),"This Country is not recognised as either a full name or a 2-letter code. Check the spelling (case does not matter) or choose it from the dropdown. ","")&amp;IF(AND($A111&lt;&gt;"",$M111&lt;&gt;"",NOT(ISNA(MATCH($AC111,'PRODUCT DATA'!$D$2:$D$394,0))),OR(NOT(ISNA(MATCH(IF(UPPER($M111)="UK","GB",$M111),'PRODUCT DATA'!$A$2:$A$58,0))),NOT(ISNA(MATCH(IF(UPPER($M111)="UK","GB",$M111),'PRODUCT DATA'!$B$2:$B$58,0)))),NOT(IFERROR(COUNTIF(OFFSET('PRODUCT DATA'!$F$2,0,MATCH($AC111,'PRODUCT DATA'!$F$1:$NN$1,0)-1,114,1),$N111)&gt;0,FALSE()))),IF(UPPER(IFERROR(OFFSET('PRODUCT DATA'!$C$2,MATCH($N111,'PRODUCT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"),"")&amp;IF($C111="","Enter Quantity. ","")&amp;IF(AND($C111&lt;&gt;"",OR(NOT(ISNUMBER($C111)),$C111&lt;1,$C111&gt;999,MOD($C111,1)&lt;&gt;0)),"Quantity must be a whole number from 1 to 999 (use a quantity above 1 only for a genuine bulk order of identical items to ONE address — otherwise use a separate row per recipient). ","")&amp;IF($D111="","Enter Recipient Name. ","")&amp;IF(LEN($D111)&gt;35,"Recipient Name exceeds 35 characters. ","")&amp;IF($E111="","Enter Recipient Phone. ","")&amp;IF(AND($E111&lt;&gt;"",OR(LEN($E111)&lt;6,LEN($E111)&gt;20,NOT(IFERROR(ISNUMBER(1*$E111),FALSE())))),"Phone must be the LOCAL number for the destination country: digits only, no +, spaces, or country code, 6 to 20 digits. ","")&amp;IF(LEN($F111)&gt;35,"Recipient Company Name exceeds 35 characters. ","")&amp;IF($G111="","Enter Address Line 1. ","")&amp;IF(LEN($G111)&gt;35,"Address Line 1 exceeds the 35-character SAP limit. ","")&amp;IF(LEN($H111)&gt;35,"Address Line 2 exceeds the 35-character SAP limit. ","")&amp;IF(LEN($I111)&gt;35,"Address Line 3 exceeds the 35-character SAP limit. ","")&amp;IF($J111="","Enter Town. This must never be left blank, even if there is no conventional town name. ","")&amp;IF(LEN($J111)&gt;35,"Town exceeds 35 characters. ","")&amp;IF(AND($N111="IE",$K111=""),"County is required for deliveries within the Republic of Ireland. ","")&amp;IF(LEN($AB111)&gt;35,"County exceeds 35 characters. ","")&amp;IF(AND($L111="",AND($N111&lt;&gt;"AE",$N111&lt;&gt;"QA")),"Postcode is required for the selected country. If there is genuinely no postcode, enter the first 3 characters of the area (e.g. D15). ","")&amp;IF(LEN($L111)&gt;35,"Postcode exceeds 35 characters. ","")&amp;IF($AE111&lt;&gt;"",$AE111,"")&amp;IF(LEN($O111)&gt;40,"Gift Message Line 1 exceeds 40 characters. ","")&amp;IF(LEN($P111)&gt;40,"Gift Message Line 2 exceeds 40 characters. ","")&amp;IF(LEN($Q111)&gt;40,"Gift Message Line 3 exceeds 40 characters. ","")&amp;IF(LEN($R111)&gt;40,"Gift Message Line 4 exceeds 40 characters. ","")&amp;IF(LEN($S111)&gt;40,"Gift Message Line 5 exceeds 40 characters. ","")&amp;IF(LEN($T111)&gt;40,"Gift Message Line 6 exceeds 40 characters. ","")&amp;IF(LEN($U111)&gt;40,"Gift Message Line 7 exceeds 40 characters. ",""))</f>
        <v/>
      </c>
      <c r="Y111" s="44" t="str">
        <f t="shared" si="5"/>
        <v/>
      </c>
      <c r="Z111" s="44"/>
      <c r="AA111" s="44"/>
      <c r="AB111" s="32" t="str">
        <f t="shared" si="6"/>
        <v/>
      </c>
      <c r="AC111" s="32" t="str">
        <f>IF($A111="","",IFERROR(LEFT(INDEX('PRODUCT DATA'!$NO$2:$NO$25,MATCH($A111,'PRODUCT DATA'!$NP$2:$NP$25,0)),FIND("|",INDEX('PRODUCT DATA'!$NO$2:$NO$25,MATCH($A111,'PRODUCT DATA'!$NP$2:$NP$25,0)))-1),$A111))</f>
        <v/>
      </c>
      <c r="AD111" s="45"/>
      <c r="AE111" s="45" t="str">
        <f t="shared" si="7"/>
        <v/>
      </c>
    </row>
    <row r="112" spans="1:31" ht="15" customHeight="1" x14ac:dyDescent="0.25">
      <c r="A112" s="40"/>
      <c r="B112" s="43" t="str">
        <f>IF($A112="","",IFERROR(VLOOKUP($AC112,'PRODUCT DATA'!$NR$2:$NS$374,2,FALSE()),"UNKNOWN ITEM CODE - please check"))</f>
        <v/>
      </c>
      <c r="C112" s="39">
        <v>1</v>
      </c>
      <c r="D112" s="39"/>
      <c r="E112" s="40"/>
      <c r="F112" s="41"/>
      <c r="G112" s="39"/>
      <c r="H112" s="41"/>
      <c r="I112" s="41"/>
      <c r="J112" s="39"/>
      <c r="K112" s="41"/>
      <c r="L112" s="40"/>
      <c r="M112" s="40"/>
      <c r="N112" s="42" t="str">
        <f>IF($M112="","",IFERROR(INDEX('PRODUCT DATA'!$B$2:$B$58,MATCH(IF(UPPER($M112)="UK","GB",$M112),'PRODUCT DATA'!$B$2:$B$58,0)),IFERROR(INDEX('PRODUCT DATA'!$B$2:$B$58,MATCH(IF(UPPER($M112)="UK","GB",$M112),'PRODUCT DATA'!$A$2:$A$58,0)),"UNKNOWN COUNTRY - please check")))</f>
        <v/>
      </c>
      <c r="O112" s="41"/>
      <c r="P112" s="41"/>
      <c r="Q112" s="41"/>
      <c r="R112" s="41"/>
      <c r="S112" s="41"/>
      <c r="T112" s="41"/>
      <c r="U112" s="41"/>
      <c r="V112" s="43" t="str">
        <f t="shared" si="4"/>
        <v/>
      </c>
      <c r="W112" s="44" t="str">
        <f ca="1">IF(COUNTA($A112,$D112:$M112,$O112:$U112)=0,"",IF($A112="","Item Code; ","")&amp;IF(AND($A112&lt;&gt;"",ISNA(MATCH($AC112,'PRODUCT DATA'!$D$2:$D$394,0))),"Item Code; ","")&amp;IF($M112="","Country; ","")&amp;IF(AND($M112&lt;&gt;"",NOT(OR(NOT(ISNA(MATCH(IF(UPPER($M112)="UK","GB",$M112),'PRODUCT DATA'!$A$2:$A$58,0))),NOT(ISNA(MATCH(IF(UPPER($M112)="UK","GB",$M112),'PRODUCT DATA'!$B$2:$B$58,0)))))),"Country; ","")&amp;IF(AND($A112&lt;&gt;"",$M112&lt;&gt;"",NOT(ISNA(MATCH($AC112,'PRODUCT DATA'!$D$2:$D$394,0))),OR(NOT(ISNA(MATCH(IF(UPPER($M112)="UK","GB",$M112),'PRODUCT DATA'!$A$2:$A$58,0))),NOT(ISNA(MATCH(IF(UPPER($M112)="UK","GB",$M112),'PRODUCT DATA'!$B$2:$B$58,0)))),NOT(IFERROR(COUNTIF(OFFSET('PRODUCT DATA'!$F$2,0,MATCH($AC112,'PRODUCT DATA'!$F$1:$NN$1,0)-1,114,1),$N112)&gt;0,FALSE()))),IF(UPPER(IFERROR(OFFSET('PRODUCT DATA'!$C$2,MATCH($N112,'PRODUCT DATA'!$B$2:$B$58,0)-1,0),""))="NO","Alcohol Restriction; ","Item Code / Country combination; "),"")&amp;IF($C112="","Quantity; ","")&amp;IF(AND($C112&lt;&gt;"",OR(NOT(ISNUMBER($C112)),$C112&lt;1,$C112&gt;999,MOD($C112,1)&lt;&gt;0)),"Quantity; ","")&amp;IF($D112="","Recipient Name; ","")&amp;IF(LEN($D112)&gt;35,"Recipient Name; ","")&amp;IF($E112="","Recipient Phone; ","")&amp;IF(AND($E112&lt;&gt;"",OR(LEN($E112)&lt;6,LEN($E112)&gt;20,NOT(IFERROR(ISNUMBER(1*$E112),FALSE())))),"Recipient Phone; ","")&amp;IF(LEN($F112)&gt;35,"Recipient Company Name; ","")&amp;IF($G112="","Address Line 1; ","")&amp;IF(LEN($G112)&gt;35,"Address Line 1; ","")&amp;IF(LEN($H112)&gt;35,"Address Line 2; ","")&amp;IF(LEN($I112)&gt;35,"Address Line 3; ","")&amp;IF($J112="","Town; ","")&amp;IF(LEN($J112)&gt;35,"Town; ","")&amp;IF(AND($N112="IE",$K112=""),"County; ","")&amp;IF(LEN($AB112)&gt;35,"County; ","")&amp;IF(AND($L112="",AND($N112&lt;&gt;"AE",$N112&lt;&gt;"QA")),"Postcode; ","")&amp;IF(LEN($L112)&gt;35,"Postcode; ","")&amp;IF($AE112&lt;&gt;"","Postcode; ","")&amp;IF(LEN($O112)&gt;40,"Gift Message 1; ","")&amp;IF(LEN($P112)&gt;40,"Gift Message 2; ","")&amp;IF(LEN($Q112)&gt;40,"Gift Message 3; ","")&amp;IF(LEN($R112)&gt;40,"Gift Message 4; ","")&amp;IF(LEN($S112)&gt;40,"Gift Message 5; ","")&amp;IF(LEN($T112)&gt;40,"Gift Message 6; ","")&amp;IF(LEN($U112)&gt;40,"Gift Message 7; ",""))</f>
        <v/>
      </c>
      <c r="X112" s="44" t="str">
        <f ca="1">IF(COUNTA($A112,$D112:$M112,$O112:$U112)=0,"",IF($A112="","Enter the Item Code (hamper) - type it, paste it, or choose it from the dropdown. ","")&amp;IF(AND($A112&lt;&gt;"",ISNA(MATCH($AC112,'PRODUCT DATA'!$D$2:$D$394,0))),"This Item Code is not recognised. Check the code (case does not matter, but spelling and digits must match exactly) or choose it from the dropdown. ","")&amp;IF($M112="","Enter the Country after the Item Code - type or paste the name or the 2-letter code, or choose it from the dropdown. ","")&amp;IF(AND($M112&lt;&gt;"",NOT(OR(NOT(ISNA(MATCH(IF(UPPER($M112)="UK","GB",$M112),'PRODUCT DATA'!$A$2:$A$58,0))),NOT(ISNA(MATCH(IF(UPPER($M112)="UK","GB",$M112),'PRODUCT DATA'!$B$2:$B$58,0)))))),"This Country is not recognised as either a full name or a 2-letter code. Check the spelling (case does not matter) or choose it from the dropdown. ","")&amp;IF(AND($A112&lt;&gt;"",$M112&lt;&gt;"",NOT(ISNA(MATCH($AC112,'PRODUCT DATA'!$D$2:$D$394,0))),OR(NOT(ISNA(MATCH(IF(UPPER($M112)="UK","GB",$M112),'PRODUCT DATA'!$A$2:$A$58,0))),NOT(ISNA(MATCH(IF(UPPER($M112)="UK","GB",$M112),'PRODUCT DATA'!$B$2:$B$58,0)))),NOT(IFERROR(COUNTIF(OFFSET('PRODUCT DATA'!$F$2,0,MATCH($AC112,'PRODUCT DATA'!$F$1:$NN$1,0)-1,114,1),$N112)&gt;0,FALSE()))),IF(UPPER(IFERROR(OFFSET('PRODUCT DATA'!$C$2,MATCH($N112,'PRODUCT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"),"")&amp;IF($C112="","Enter Quantity. ","")&amp;IF(AND($C112&lt;&gt;"",OR(NOT(ISNUMBER($C112)),$C112&lt;1,$C112&gt;999,MOD($C112,1)&lt;&gt;0)),"Quantity must be a whole number from 1 to 999 (use a quantity above 1 only for a genuine bulk order of identical items to ONE address — otherwise use a separate row per recipient). ","")&amp;IF($D112="","Enter Recipient Name. ","")&amp;IF(LEN($D112)&gt;35,"Recipient Name exceeds 35 characters. ","")&amp;IF($E112="","Enter Recipient Phone. ","")&amp;IF(AND($E112&lt;&gt;"",OR(LEN($E112)&lt;6,LEN($E112)&gt;20,NOT(IFERROR(ISNUMBER(1*$E112),FALSE())))),"Phone must be the LOCAL number for the destination country: digits only, no +, spaces, or country code, 6 to 20 digits. ","")&amp;IF(LEN($F112)&gt;35,"Recipient Company Name exceeds 35 characters. ","")&amp;IF($G112="","Enter Address Line 1. ","")&amp;IF(LEN($G112)&gt;35,"Address Line 1 exceeds the 35-character SAP limit. ","")&amp;IF(LEN($H112)&gt;35,"Address Line 2 exceeds the 35-character SAP limit. ","")&amp;IF(LEN($I112)&gt;35,"Address Line 3 exceeds the 35-character SAP limit. ","")&amp;IF($J112="","Enter Town. This must never be left blank, even if there is no conventional town name. ","")&amp;IF(LEN($J112)&gt;35,"Town exceeds 35 characters. ","")&amp;IF(AND($N112="IE",$K112=""),"County is required for deliveries within the Republic of Ireland. ","")&amp;IF(LEN($AB112)&gt;35,"County exceeds 35 characters. ","")&amp;IF(AND($L112="",AND($N112&lt;&gt;"AE",$N112&lt;&gt;"QA")),"Postcode is required for the selected country. If there is genuinely no postcode, enter the first 3 characters of the area (e.g. D15). ","")&amp;IF(LEN($L112)&gt;35,"Postcode exceeds 35 characters. ","")&amp;IF($AE112&lt;&gt;"",$AE112,"")&amp;IF(LEN($O112)&gt;40,"Gift Message Line 1 exceeds 40 characters. ","")&amp;IF(LEN($P112)&gt;40,"Gift Message Line 2 exceeds 40 characters. ","")&amp;IF(LEN($Q112)&gt;40,"Gift Message Line 3 exceeds 40 characters. ","")&amp;IF(LEN($R112)&gt;40,"Gift Message Line 4 exceeds 40 characters. ","")&amp;IF(LEN($S112)&gt;40,"Gift Message Line 5 exceeds 40 characters. ","")&amp;IF(LEN($T112)&gt;40,"Gift Message Line 6 exceeds 40 characters. ","")&amp;IF(LEN($U112)&gt;40,"Gift Message Line 7 exceeds 40 characters. ",""))</f>
        <v/>
      </c>
      <c r="Y112" s="44" t="str">
        <f t="shared" si="5"/>
        <v/>
      </c>
      <c r="Z112" s="44"/>
      <c r="AA112" s="44"/>
      <c r="AB112" s="32" t="str">
        <f t="shared" si="6"/>
        <v/>
      </c>
      <c r="AC112" s="32" t="str">
        <f>IF($A112="","",IFERROR(LEFT(INDEX('PRODUCT DATA'!$NO$2:$NO$25,MATCH($A112,'PRODUCT DATA'!$NP$2:$NP$25,0)),FIND("|",INDEX('PRODUCT DATA'!$NO$2:$NO$25,MATCH($A112,'PRODUCT DATA'!$NP$2:$NP$25,0)))-1),$A112))</f>
        <v/>
      </c>
      <c r="AD112" s="45"/>
      <c r="AE112" s="45" t="str">
        <f t="shared" si="7"/>
        <v/>
      </c>
    </row>
    <row r="113" spans="1:31" ht="15" customHeight="1" x14ac:dyDescent="0.25">
      <c r="A113" s="40"/>
      <c r="B113" s="43" t="str">
        <f>IF($A113="","",IFERROR(VLOOKUP($AC113,'PRODUCT DATA'!$NR$2:$NS$374,2,FALSE()),"UNKNOWN ITEM CODE - please check"))</f>
        <v/>
      </c>
      <c r="C113" s="39">
        <v>1</v>
      </c>
      <c r="D113" s="39"/>
      <c r="E113" s="40"/>
      <c r="F113" s="41"/>
      <c r="G113" s="39"/>
      <c r="H113" s="41"/>
      <c r="I113" s="41"/>
      <c r="J113" s="39"/>
      <c r="K113" s="41"/>
      <c r="L113" s="40"/>
      <c r="M113" s="40"/>
      <c r="N113" s="42" t="str">
        <f>IF($M113="","",IFERROR(INDEX('PRODUCT DATA'!$B$2:$B$58,MATCH(IF(UPPER($M113)="UK","GB",$M113),'PRODUCT DATA'!$B$2:$B$58,0)),IFERROR(INDEX('PRODUCT DATA'!$B$2:$B$58,MATCH(IF(UPPER($M113)="UK","GB",$M113),'PRODUCT DATA'!$A$2:$A$58,0)),"UNKNOWN COUNTRY - please check")))</f>
        <v/>
      </c>
      <c r="O113" s="41"/>
      <c r="P113" s="41"/>
      <c r="Q113" s="41"/>
      <c r="R113" s="41"/>
      <c r="S113" s="41"/>
      <c r="T113" s="41"/>
      <c r="U113" s="41"/>
      <c r="V113" s="43" t="str">
        <f t="shared" si="4"/>
        <v/>
      </c>
      <c r="W113" s="44" t="str">
        <f ca="1">IF(COUNTA($A113,$D113:$M113,$O113:$U113)=0,"",IF($A113="","Item Code; ","")&amp;IF(AND($A113&lt;&gt;"",ISNA(MATCH($AC113,'PRODUCT DATA'!$D$2:$D$394,0))),"Item Code; ","")&amp;IF($M113="","Country; ","")&amp;IF(AND($M113&lt;&gt;"",NOT(OR(NOT(ISNA(MATCH(IF(UPPER($M113)="UK","GB",$M113),'PRODUCT DATA'!$A$2:$A$58,0))),NOT(ISNA(MATCH(IF(UPPER($M113)="UK","GB",$M113),'PRODUCT DATA'!$B$2:$B$58,0)))))),"Country; ","")&amp;IF(AND($A113&lt;&gt;"",$M113&lt;&gt;"",NOT(ISNA(MATCH($AC113,'PRODUCT DATA'!$D$2:$D$394,0))),OR(NOT(ISNA(MATCH(IF(UPPER($M113)="UK","GB",$M113),'PRODUCT DATA'!$A$2:$A$58,0))),NOT(ISNA(MATCH(IF(UPPER($M113)="UK","GB",$M113),'PRODUCT DATA'!$B$2:$B$58,0)))),NOT(IFERROR(COUNTIF(OFFSET('PRODUCT DATA'!$F$2,0,MATCH($AC113,'PRODUCT DATA'!$F$1:$NN$1,0)-1,114,1),$N113)&gt;0,FALSE()))),IF(UPPER(IFERROR(OFFSET('PRODUCT DATA'!$C$2,MATCH($N113,'PRODUCT DATA'!$B$2:$B$58,0)-1,0),""))="NO","Alcohol Restriction; ","Item Code / Country combination; "),"")&amp;IF($C113="","Quantity; ","")&amp;IF(AND($C113&lt;&gt;"",OR(NOT(ISNUMBER($C113)),$C113&lt;1,$C113&gt;999,MOD($C113,1)&lt;&gt;0)),"Quantity; ","")&amp;IF($D113="","Recipient Name; ","")&amp;IF(LEN($D113)&gt;35,"Recipient Name; ","")&amp;IF($E113="","Recipient Phone; ","")&amp;IF(AND($E113&lt;&gt;"",OR(LEN($E113)&lt;6,LEN($E113)&gt;20,NOT(IFERROR(ISNUMBER(1*$E113),FALSE())))),"Recipient Phone; ","")&amp;IF(LEN($F113)&gt;35,"Recipient Company Name; ","")&amp;IF($G113="","Address Line 1; ","")&amp;IF(LEN($G113)&gt;35,"Address Line 1; ","")&amp;IF(LEN($H113)&gt;35,"Address Line 2; ","")&amp;IF(LEN($I113)&gt;35,"Address Line 3; ","")&amp;IF($J113="","Town; ","")&amp;IF(LEN($J113)&gt;35,"Town; ","")&amp;IF(AND($N113="IE",$K113=""),"County; ","")&amp;IF(LEN($AB113)&gt;35,"County; ","")&amp;IF(AND($L113="",AND($N113&lt;&gt;"AE",$N113&lt;&gt;"QA")),"Postcode; ","")&amp;IF(LEN($L113)&gt;35,"Postcode; ","")&amp;IF($AE113&lt;&gt;"","Postcode; ","")&amp;IF(LEN($O113)&gt;40,"Gift Message 1; ","")&amp;IF(LEN($P113)&gt;40,"Gift Message 2; ","")&amp;IF(LEN($Q113)&gt;40,"Gift Message 3; ","")&amp;IF(LEN($R113)&gt;40,"Gift Message 4; ","")&amp;IF(LEN($S113)&gt;40,"Gift Message 5; ","")&amp;IF(LEN($T113)&gt;40,"Gift Message 6; ","")&amp;IF(LEN($U113)&gt;40,"Gift Message 7; ",""))</f>
        <v/>
      </c>
      <c r="X113" s="44" t="str">
        <f ca="1">IF(COUNTA($A113,$D113:$M113,$O113:$U113)=0,"",IF($A113="","Enter the Item Code (hamper) - type it, paste it, or choose it from the dropdown. ","")&amp;IF(AND($A113&lt;&gt;"",ISNA(MATCH($AC113,'PRODUCT DATA'!$D$2:$D$394,0))),"This Item Code is not recognised. Check the code (case does not matter, but spelling and digits must match exactly) or choose it from the dropdown. ","")&amp;IF($M113="","Enter the Country after the Item Code - type or paste the name or the 2-letter code, or choose it from the dropdown. ","")&amp;IF(AND($M113&lt;&gt;"",NOT(OR(NOT(ISNA(MATCH(IF(UPPER($M113)="UK","GB",$M113),'PRODUCT DATA'!$A$2:$A$58,0))),NOT(ISNA(MATCH(IF(UPPER($M113)="UK","GB",$M113),'PRODUCT DATA'!$B$2:$B$58,0)))))),"This Country is not recognised as either a full name or a 2-letter code. Check the spelling (case does not matter) or choose it from the dropdown. ","")&amp;IF(AND($A113&lt;&gt;"",$M113&lt;&gt;"",NOT(ISNA(MATCH($AC113,'PRODUCT DATA'!$D$2:$D$394,0))),OR(NOT(ISNA(MATCH(IF(UPPER($M113)="UK","GB",$M113),'PRODUCT DATA'!$A$2:$A$58,0))),NOT(ISNA(MATCH(IF(UPPER($M113)="UK","GB",$M113),'PRODUCT DATA'!$B$2:$B$58,0)))),NOT(IFERROR(COUNTIF(OFFSET('PRODUCT DATA'!$F$2,0,MATCH($AC113,'PRODUCT DATA'!$F$1:$NN$1,0)-1,114,1),$N113)&gt;0,FALSE()))),IF(UPPER(IFERROR(OFFSET('PRODUCT DATA'!$C$2,MATCH($N113,'PRODUCT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"),"")&amp;IF($C113="","Enter Quantity. ","")&amp;IF(AND($C113&lt;&gt;"",OR(NOT(ISNUMBER($C113)),$C113&lt;1,$C113&gt;999,MOD($C113,1)&lt;&gt;0)),"Quantity must be a whole number from 1 to 999 (use a quantity above 1 only for a genuine bulk order of identical items to ONE address — otherwise use a separate row per recipient). ","")&amp;IF($D113="","Enter Recipient Name. ","")&amp;IF(LEN($D113)&gt;35,"Recipient Name exceeds 35 characters. ","")&amp;IF($E113="","Enter Recipient Phone. ","")&amp;IF(AND($E113&lt;&gt;"",OR(LEN($E113)&lt;6,LEN($E113)&gt;20,NOT(IFERROR(ISNUMBER(1*$E113),FALSE())))),"Phone must be the LOCAL number for the destination country: digits only, no +, spaces, or country code, 6 to 20 digits. ","")&amp;IF(LEN($F113)&gt;35,"Recipient Company Name exceeds 35 characters. ","")&amp;IF($G113="","Enter Address Line 1. ","")&amp;IF(LEN($G113)&gt;35,"Address Line 1 exceeds the 35-character SAP limit. ","")&amp;IF(LEN($H113)&gt;35,"Address Line 2 exceeds the 35-character SAP limit. ","")&amp;IF(LEN($I113)&gt;35,"Address Line 3 exceeds the 35-character SAP limit. ","")&amp;IF($J113="","Enter Town. This must never be left blank, even if there is no conventional town name. ","")&amp;IF(LEN($J113)&gt;35,"Town exceeds 35 characters. ","")&amp;IF(AND($N113="IE",$K113=""),"County is required for deliveries within the Republic of Ireland. ","")&amp;IF(LEN($AB113)&gt;35,"County exceeds 35 characters. ","")&amp;IF(AND($L113="",AND($N113&lt;&gt;"AE",$N113&lt;&gt;"QA")),"Postcode is required for the selected country. If there is genuinely no postcode, enter the first 3 characters of the area (e.g. D15). ","")&amp;IF(LEN($L113)&gt;35,"Postcode exceeds 35 characters. ","")&amp;IF($AE113&lt;&gt;"",$AE113,"")&amp;IF(LEN($O113)&gt;40,"Gift Message Line 1 exceeds 40 characters. ","")&amp;IF(LEN($P113)&gt;40,"Gift Message Line 2 exceeds 40 characters. ","")&amp;IF(LEN($Q113)&gt;40,"Gift Message Line 3 exceeds 40 characters. ","")&amp;IF(LEN($R113)&gt;40,"Gift Message Line 4 exceeds 40 characters. ","")&amp;IF(LEN($S113)&gt;40,"Gift Message Line 5 exceeds 40 characters. ","")&amp;IF(LEN($T113)&gt;40,"Gift Message Line 6 exceeds 40 characters. ","")&amp;IF(LEN($U113)&gt;40,"Gift Message Line 7 exceeds 40 characters. ",""))</f>
        <v/>
      </c>
      <c r="Y113" s="44" t="str">
        <f t="shared" si="5"/>
        <v/>
      </c>
      <c r="Z113" s="44"/>
      <c r="AA113" s="44"/>
      <c r="AB113" s="32" t="str">
        <f t="shared" si="6"/>
        <v/>
      </c>
      <c r="AC113" s="32" t="str">
        <f>IF($A113="","",IFERROR(LEFT(INDEX('PRODUCT DATA'!$NO$2:$NO$25,MATCH($A113,'PRODUCT DATA'!$NP$2:$NP$25,0)),FIND("|",INDEX('PRODUCT DATA'!$NO$2:$NO$25,MATCH($A113,'PRODUCT DATA'!$NP$2:$NP$25,0)))-1),$A113))</f>
        <v/>
      </c>
      <c r="AD113" s="45"/>
      <c r="AE113" s="45" t="str">
        <f t="shared" si="7"/>
        <v/>
      </c>
    </row>
    <row r="114" spans="1:31" ht="15" customHeight="1" x14ac:dyDescent="0.25">
      <c r="A114" s="40"/>
      <c r="B114" s="43" t="str">
        <f>IF($A114="","",IFERROR(VLOOKUP($AC114,'PRODUCT DATA'!$NR$2:$NS$374,2,FALSE()),"UNKNOWN ITEM CODE - please check"))</f>
        <v/>
      </c>
      <c r="C114" s="39">
        <v>1</v>
      </c>
      <c r="D114" s="39"/>
      <c r="E114" s="40"/>
      <c r="F114" s="41"/>
      <c r="G114" s="39"/>
      <c r="H114" s="41"/>
      <c r="I114" s="41"/>
      <c r="J114" s="39"/>
      <c r="K114" s="41"/>
      <c r="L114" s="40"/>
      <c r="M114" s="40"/>
      <c r="N114" s="42" t="str">
        <f>IF($M114="","",IFERROR(INDEX('PRODUCT DATA'!$B$2:$B$58,MATCH(IF(UPPER($M114)="UK","GB",$M114),'PRODUCT DATA'!$B$2:$B$58,0)),IFERROR(INDEX('PRODUCT DATA'!$B$2:$B$58,MATCH(IF(UPPER($M114)="UK","GB",$M114),'PRODUCT DATA'!$A$2:$A$58,0)),"UNKNOWN COUNTRY - please check")))</f>
        <v/>
      </c>
      <c r="O114" s="41"/>
      <c r="P114" s="41"/>
      <c r="Q114" s="41"/>
      <c r="R114" s="41"/>
      <c r="S114" s="41"/>
      <c r="T114" s="41"/>
      <c r="U114" s="41"/>
      <c r="V114" s="43" t="str">
        <f t="shared" si="4"/>
        <v/>
      </c>
      <c r="W114" s="44" t="str">
        <f ca="1">IF(COUNTA($A114,$D114:$M114,$O114:$U114)=0,"",IF($A114="","Item Code; ","")&amp;IF(AND($A114&lt;&gt;"",ISNA(MATCH($AC114,'PRODUCT DATA'!$D$2:$D$394,0))),"Item Code; ","")&amp;IF($M114="","Country; ","")&amp;IF(AND($M114&lt;&gt;"",NOT(OR(NOT(ISNA(MATCH(IF(UPPER($M114)="UK","GB",$M114),'PRODUCT DATA'!$A$2:$A$58,0))),NOT(ISNA(MATCH(IF(UPPER($M114)="UK","GB",$M114),'PRODUCT DATA'!$B$2:$B$58,0)))))),"Country; ","")&amp;IF(AND($A114&lt;&gt;"",$M114&lt;&gt;"",NOT(ISNA(MATCH($AC114,'PRODUCT DATA'!$D$2:$D$394,0))),OR(NOT(ISNA(MATCH(IF(UPPER($M114)="UK","GB",$M114),'PRODUCT DATA'!$A$2:$A$58,0))),NOT(ISNA(MATCH(IF(UPPER($M114)="UK","GB",$M114),'PRODUCT DATA'!$B$2:$B$58,0)))),NOT(IFERROR(COUNTIF(OFFSET('PRODUCT DATA'!$F$2,0,MATCH($AC114,'PRODUCT DATA'!$F$1:$NN$1,0)-1,114,1),$N114)&gt;0,FALSE()))),IF(UPPER(IFERROR(OFFSET('PRODUCT DATA'!$C$2,MATCH($N114,'PRODUCT DATA'!$B$2:$B$58,0)-1,0),""))="NO","Alcohol Restriction; ","Item Code / Country combination; "),"")&amp;IF($C114="","Quantity; ","")&amp;IF(AND($C114&lt;&gt;"",OR(NOT(ISNUMBER($C114)),$C114&lt;1,$C114&gt;999,MOD($C114,1)&lt;&gt;0)),"Quantity; ","")&amp;IF($D114="","Recipient Name; ","")&amp;IF(LEN($D114)&gt;35,"Recipient Name; ","")&amp;IF($E114="","Recipient Phone; ","")&amp;IF(AND($E114&lt;&gt;"",OR(LEN($E114)&lt;6,LEN($E114)&gt;20,NOT(IFERROR(ISNUMBER(1*$E114),FALSE())))),"Recipient Phone; ","")&amp;IF(LEN($F114)&gt;35,"Recipient Company Name; ","")&amp;IF($G114="","Address Line 1; ","")&amp;IF(LEN($G114)&gt;35,"Address Line 1; ","")&amp;IF(LEN($H114)&gt;35,"Address Line 2; ","")&amp;IF(LEN($I114)&gt;35,"Address Line 3; ","")&amp;IF($J114="","Town; ","")&amp;IF(LEN($J114)&gt;35,"Town; ","")&amp;IF(AND($N114="IE",$K114=""),"County; ","")&amp;IF(LEN($AB114)&gt;35,"County; ","")&amp;IF(AND($L114="",AND($N114&lt;&gt;"AE",$N114&lt;&gt;"QA")),"Postcode; ","")&amp;IF(LEN($L114)&gt;35,"Postcode; ","")&amp;IF($AE114&lt;&gt;"","Postcode; ","")&amp;IF(LEN($O114)&gt;40,"Gift Message 1; ","")&amp;IF(LEN($P114)&gt;40,"Gift Message 2; ","")&amp;IF(LEN($Q114)&gt;40,"Gift Message 3; ","")&amp;IF(LEN($R114)&gt;40,"Gift Message 4; ","")&amp;IF(LEN($S114)&gt;40,"Gift Message 5; ","")&amp;IF(LEN($T114)&gt;40,"Gift Message 6; ","")&amp;IF(LEN($U114)&gt;40,"Gift Message 7; ",""))</f>
        <v/>
      </c>
      <c r="X114" s="44" t="str">
        <f ca="1">IF(COUNTA($A114,$D114:$M114,$O114:$U114)=0,"",IF($A114="","Enter the Item Code (hamper) - type it, paste it, or choose it from the dropdown. ","")&amp;IF(AND($A114&lt;&gt;"",ISNA(MATCH($AC114,'PRODUCT DATA'!$D$2:$D$394,0))),"This Item Code is not recognised. Check the code (case does not matter, but spelling and digits must match exactly) or choose it from the dropdown. ","")&amp;IF($M114="","Enter the Country after the Item Code - type or paste the name or the 2-letter code, or choose it from the dropdown. ","")&amp;IF(AND($M114&lt;&gt;"",NOT(OR(NOT(ISNA(MATCH(IF(UPPER($M114)="UK","GB",$M114),'PRODUCT DATA'!$A$2:$A$58,0))),NOT(ISNA(MATCH(IF(UPPER($M114)="UK","GB",$M114),'PRODUCT DATA'!$B$2:$B$58,0)))))),"This Country is not recognised as either a full name or a 2-letter code. Check the spelling (case does not matter) or choose it from the dropdown. ","")&amp;IF(AND($A114&lt;&gt;"",$M114&lt;&gt;"",NOT(ISNA(MATCH($AC114,'PRODUCT DATA'!$D$2:$D$394,0))),OR(NOT(ISNA(MATCH(IF(UPPER($M114)="UK","GB",$M114),'PRODUCT DATA'!$A$2:$A$58,0))),NOT(ISNA(MATCH(IF(UPPER($M114)="UK","GB",$M114),'PRODUCT DATA'!$B$2:$B$58,0)))),NOT(IFERROR(COUNTIF(OFFSET('PRODUCT DATA'!$F$2,0,MATCH($AC114,'PRODUCT DATA'!$F$1:$NN$1,0)-1,114,1),$N114)&gt;0,FALSE()))),IF(UPPER(IFERROR(OFFSET('PRODUCT DATA'!$C$2,MATCH($N114,'PRODUCT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"),"")&amp;IF($C114="","Enter Quantity. ","")&amp;IF(AND($C114&lt;&gt;"",OR(NOT(ISNUMBER($C114)),$C114&lt;1,$C114&gt;999,MOD($C114,1)&lt;&gt;0)),"Quantity must be a whole number from 1 to 999 (use a quantity above 1 only for a genuine bulk order of identical items to ONE address — otherwise use a separate row per recipient). ","")&amp;IF($D114="","Enter Recipient Name. ","")&amp;IF(LEN($D114)&gt;35,"Recipient Name exceeds 35 characters. ","")&amp;IF($E114="","Enter Recipient Phone. ","")&amp;IF(AND($E114&lt;&gt;"",OR(LEN($E114)&lt;6,LEN($E114)&gt;20,NOT(IFERROR(ISNUMBER(1*$E114),FALSE())))),"Phone must be the LOCAL number for the destination country: digits only, no +, spaces, or country code, 6 to 20 digits. ","")&amp;IF(LEN($F114)&gt;35,"Recipient Company Name exceeds 35 characters. ","")&amp;IF($G114="","Enter Address Line 1. ","")&amp;IF(LEN($G114)&gt;35,"Address Line 1 exceeds the 35-character SAP limit. ","")&amp;IF(LEN($H114)&gt;35,"Address Line 2 exceeds the 35-character SAP limit. ","")&amp;IF(LEN($I114)&gt;35,"Address Line 3 exceeds the 35-character SAP limit. ","")&amp;IF($J114="","Enter Town. This must never be left blank, even if there is no conventional town name. ","")&amp;IF(LEN($J114)&gt;35,"Town exceeds 35 characters. ","")&amp;IF(AND($N114="IE",$K114=""),"County is required for deliveries within the Republic of Ireland. ","")&amp;IF(LEN($AB114)&gt;35,"County exceeds 35 characters. ","")&amp;IF(AND($L114="",AND($N114&lt;&gt;"AE",$N114&lt;&gt;"QA")),"Postcode is required for the selected country. If there is genuinely no postcode, enter the first 3 characters of the area (e.g. D15). ","")&amp;IF(LEN($L114)&gt;35,"Postcode exceeds 35 characters. ","")&amp;IF($AE114&lt;&gt;"",$AE114,"")&amp;IF(LEN($O114)&gt;40,"Gift Message Line 1 exceeds 40 characters. ","")&amp;IF(LEN($P114)&gt;40,"Gift Message Line 2 exceeds 40 characters. ","")&amp;IF(LEN($Q114)&gt;40,"Gift Message Line 3 exceeds 40 characters. ","")&amp;IF(LEN($R114)&gt;40,"Gift Message Line 4 exceeds 40 characters. ","")&amp;IF(LEN($S114)&gt;40,"Gift Message Line 5 exceeds 40 characters. ","")&amp;IF(LEN($T114)&gt;40,"Gift Message Line 6 exceeds 40 characters. ","")&amp;IF(LEN($U114)&gt;40,"Gift Message Line 7 exceeds 40 characters. ",""))</f>
        <v/>
      </c>
      <c r="Y114" s="44" t="str">
        <f t="shared" si="5"/>
        <v/>
      </c>
      <c r="Z114" s="44"/>
      <c r="AA114" s="44"/>
      <c r="AB114" s="32" t="str">
        <f t="shared" si="6"/>
        <v/>
      </c>
      <c r="AC114" s="32" t="str">
        <f>IF($A114="","",IFERROR(LEFT(INDEX('PRODUCT DATA'!$NO$2:$NO$25,MATCH($A114,'PRODUCT DATA'!$NP$2:$NP$25,0)),FIND("|",INDEX('PRODUCT DATA'!$NO$2:$NO$25,MATCH($A114,'PRODUCT DATA'!$NP$2:$NP$25,0)))-1),$A114))</f>
        <v/>
      </c>
      <c r="AD114" s="45"/>
      <c r="AE114" s="45" t="str">
        <f t="shared" si="7"/>
        <v/>
      </c>
    </row>
    <row r="115" spans="1:31" ht="15" customHeight="1" x14ac:dyDescent="0.25">
      <c r="A115" s="40"/>
      <c r="B115" s="43" t="str">
        <f>IF($A115="","",IFERROR(VLOOKUP($AC115,'PRODUCT DATA'!$NR$2:$NS$374,2,FALSE()),"UNKNOWN ITEM CODE - please check"))</f>
        <v/>
      </c>
      <c r="C115" s="39">
        <v>1</v>
      </c>
      <c r="D115" s="39"/>
      <c r="E115" s="40"/>
      <c r="F115" s="41"/>
      <c r="G115" s="39"/>
      <c r="H115" s="41"/>
      <c r="I115" s="41"/>
      <c r="J115" s="39"/>
      <c r="K115" s="41"/>
      <c r="L115" s="40"/>
      <c r="M115" s="40"/>
      <c r="N115" s="42" t="str">
        <f>IF($M115="","",IFERROR(INDEX('PRODUCT DATA'!$B$2:$B$58,MATCH(IF(UPPER($M115)="UK","GB",$M115),'PRODUCT DATA'!$B$2:$B$58,0)),IFERROR(INDEX('PRODUCT DATA'!$B$2:$B$58,MATCH(IF(UPPER($M115)="UK","GB",$M115),'PRODUCT DATA'!$A$2:$A$58,0)),"UNKNOWN COUNTRY - please check")))</f>
        <v/>
      </c>
      <c r="O115" s="41"/>
      <c r="P115" s="41"/>
      <c r="Q115" s="41"/>
      <c r="R115" s="41"/>
      <c r="S115" s="41"/>
      <c r="T115" s="41"/>
      <c r="U115" s="41"/>
      <c r="V115" s="43" t="str">
        <f t="shared" si="4"/>
        <v/>
      </c>
      <c r="W115" s="44" t="str">
        <f ca="1">IF(COUNTA($A115,$D115:$M115,$O115:$U115)=0,"",IF($A115="","Item Code; ","")&amp;IF(AND($A115&lt;&gt;"",ISNA(MATCH($AC115,'PRODUCT DATA'!$D$2:$D$394,0))),"Item Code; ","")&amp;IF($M115="","Country; ","")&amp;IF(AND($M115&lt;&gt;"",NOT(OR(NOT(ISNA(MATCH(IF(UPPER($M115)="UK","GB",$M115),'PRODUCT DATA'!$A$2:$A$58,0))),NOT(ISNA(MATCH(IF(UPPER($M115)="UK","GB",$M115),'PRODUCT DATA'!$B$2:$B$58,0)))))),"Country; ","")&amp;IF(AND($A115&lt;&gt;"",$M115&lt;&gt;"",NOT(ISNA(MATCH($AC115,'PRODUCT DATA'!$D$2:$D$394,0))),OR(NOT(ISNA(MATCH(IF(UPPER($M115)="UK","GB",$M115),'PRODUCT DATA'!$A$2:$A$58,0))),NOT(ISNA(MATCH(IF(UPPER($M115)="UK","GB",$M115),'PRODUCT DATA'!$B$2:$B$58,0)))),NOT(IFERROR(COUNTIF(OFFSET('PRODUCT DATA'!$F$2,0,MATCH($AC115,'PRODUCT DATA'!$F$1:$NN$1,0)-1,114,1),$N115)&gt;0,FALSE()))),IF(UPPER(IFERROR(OFFSET('PRODUCT DATA'!$C$2,MATCH($N115,'PRODUCT DATA'!$B$2:$B$58,0)-1,0),""))="NO","Alcohol Restriction; ","Item Code / Country combination; "),"")&amp;IF($C115="","Quantity; ","")&amp;IF(AND($C115&lt;&gt;"",OR(NOT(ISNUMBER($C115)),$C115&lt;1,$C115&gt;999,MOD($C115,1)&lt;&gt;0)),"Quantity; ","")&amp;IF($D115="","Recipient Name; ","")&amp;IF(LEN($D115)&gt;35,"Recipient Name; ","")&amp;IF($E115="","Recipient Phone; ","")&amp;IF(AND($E115&lt;&gt;"",OR(LEN($E115)&lt;6,LEN($E115)&gt;20,NOT(IFERROR(ISNUMBER(1*$E115),FALSE())))),"Recipient Phone; ","")&amp;IF(LEN($F115)&gt;35,"Recipient Company Name; ","")&amp;IF($G115="","Address Line 1; ","")&amp;IF(LEN($G115)&gt;35,"Address Line 1; ","")&amp;IF(LEN($H115)&gt;35,"Address Line 2; ","")&amp;IF(LEN($I115)&gt;35,"Address Line 3; ","")&amp;IF($J115="","Town; ","")&amp;IF(LEN($J115)&gt;35,"Town; ","")&amp;IF(AND($N115="IE",$K115=""),"County; ","")&amp;IF(LEN($AB115)&gt;35,"County; ","")&amp;IF(AND($L115="",AND($N115&lt;&gt;"AE",$N115&lt;&gt;"QA")),"Postcode; ","")&amp;IF(LEN($L115)&gt;35,"Postcode; ","")&amp;IF($AE115&lt;&gt;"","Postcode; ","")&amp;IF(LEN($O115)&gt;40,"Gift Message 1; ","")&amp;IF(LEN($P115)&gt;40,"Gift Message 2; ","")&amp;IF(LEN($Q115)&gt;40,"Gift Message 3; ","")&amp;IF(LEN($R115)&gt;40,"Gift Message 4; ","")&amp;IF(LEN($S115)&gt;40,"Gift Message 5; ","")&amp;IF(LEN($T115)&gt;40,"Gift Message 6; ","")&amp;IF(LEN($U115)&gt;40,"Gift Message 7; ",""))</f>
        <v/>
      </c>
      <c r="X115" s="44" t="str">
        <f ca="1">IF(COUNTA($A115,$D115:$M115,$O115:$U115)=0,"",IF($A115="","Enter the Item Code (hamper) - type it, paste it, or choose it from the dropdown. ","")&amp;IF(AND($A115&lt;&gt;"",ISNA(MATCH($AC115,'PRODUCT DATA'!$D$2:$D$394,0))),"This Item Code is not recognised. Check the code (case does not matter, but spelling and digits must match exactly) or choose it from the dropdown. ","")&amp;IF($M115="","Enter the Country after the Item Code - type or paste the name or the 2-letter code, or choose it from the dropdown. ","")&amp;IF(AND($M115&lt;&gt;"",NOT(OR(NOT(ISNA(MATCH(IF(UPPER($M115)="UK","GB",$M115),'PRODUCT DATA'!$A$2:$A$58,0))),NOT(ISNA(MATCH(IF(UPPER($M115)="UK","GB",$M115),'PRODUCT DATA'!$B$2:$B$58,0)))))),"This Country is not recognised as either a full name or a 2-letter code. Check the spelling (case does not matter) or choose it from the dropdown. ","")&amp;IF(AND($A115&lt;&gt;"",$M115&lt;&gt;"",NOT(ISNA(MATCH($AC115,'PRODUCT DATA'!$D$2:$D$394,0))),OR(NOT(ISNA(MATCH(IF(UPPER($M115)="UK","GB",$M115),'PRODUCT DATA'!$A$2:$A$58,0))),NOT(ISNA(MATCH(IF(UPPER($M115)="UK","GB",$M115),'PRODUCT DATA'!$B$2:$B$58,0)))),NOT(IFERROR(COUNTIF(OFFSET('PRODUCT DATA'!$F$2,0,MATCH($AC115,'PRODUCT DATA'!$F$1:$NN$1,0)-1,114,1),$N115)&gt;0,FALSE()))),IF(UPPER(IFERROR(OFFSET('PRODUCT DATA'!$C$2,MATCH($N115,'PRODUCT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"),"")&amp;IF($C115="","Enter Quantity. ","")&amp;IF(AND($C115&lt;&gt;"",OR(NOT(ISNUMBER($C115)),$C115&lt;1,$C115&gt;999,MOD($C115,1)&lt;&gt;0)),"Quantity must be a whole number from 1 to 999 (use a quantity above 1 only for a genuine bulk order of identical items to ONE address — otherwise use a separate row per recipient). ","")&amp;IF($D115="","Enter Recipient Name. ","")&amp;IF(LEN($D115)&gt;35,"Recipient Name exceeds 35 characters. ","")&amp;IF($E115="","Enter Recipient Phone. ","")&amp;IF(AND($E115&lt;&gt;"",OR(LEN($E115)&lt;6,LEN($E115)&gt;20,NOT(IFERROR(ISNUMBER(1*$E115),FALSE())))),"Phone must be the LOCAL number for the destination country: digits only, no +, spaces, or country code, 6 to 20 digits. ","")&amp;IF(LEN($F115)&gt;35,"Recipient Company Name exceeds 35 characters. ","")&amp;IF($G115="","Enter Address Line 1. ","")&amp;IF(LEN($G115)&gt;35,"Address Line 1 exceeds the 35-character SAP limit. ","")&amp;IF(LEN($H115)&gt;35,"Address Line 2 exceeds the 35-character SAP limit. ","")&amp;IF(LEN($I115)&gt;35,"Address Line 3 exceeds the 35-character SAP limit. ","")&amp;IF($J115="","Enter Town. This must never be left blank, even if there is no conventional town name. ","")&amp;IF(LEN($J115)&gt;35,"Town exceeds 35 characters. ","")&amp;IF(AND($N115="IE",$K115=""),"County is required for deliveries within the Republic of Ireland. ","")&amp;IF(LEN($AB115)&gt;35,"County exceeds 35 characters. ","")&amp;IF(AND($L115="",AND($N115&lt;&gt;"AE",$N115&lt;&gt;"QA")),"Postcode is required for the selected country. If there is genuinely no postcode, enter the first 3 characters of the area (e.g. D15). ","")&amp;IF(LEN($L115)&gt;35,"Postcode exceeds 35 characters. ","")&amp;IF($AE115&lt;&gt;"",$AE115,"")&amp;IF(LEN($O115)&gt;40,"Gift Message Line 1 exceeds 40 characters. ","")&amp;IF(LEN($P115)&gt;40,"Gift Message Line 2 exceeds 40 characters. ","")&amp;IF(LEN($Q115)&gt;40,"Gift Message Line 3 exceeds 40 characters. ","")&amp;IF(LEN($R115)&gt;40,"Gift Message Line 4 exceeds 40 characters. ","")&amp;IF(LEN($S115)&gt;40,"Gift Message Line 5 exceeds 40 characters. ","")&amp;IF(LEN($T115)&gt;40,"Gift Message Line 6 exceeds 40 characters. ","")&amp;IF(LEN($U115)&gt;40,"Gift Message Line 7 exceeds 40 characters. ",""))</f>
        <v/>
      </c>
      <c r="Y115" s="44" t="str">
        <f t="shared" si="5"/>
        <v/>
      </c>
      <c r="Z115" s="44"/>
      <c r="AA115" s="44"/>
      <c r="AB115" s="32" t="str">
        <f t="shared" si="6"/>
        <v/>
      </c>
      <c r="AC115" s="32" t="str">
        <f>IF($A115="","",IFERROR(LEFT(INDEX('PRODUCT DATA'!$NO$2:$NO$25,MATCH($A115,'PRODUCT DATA'!$NP$2:$NP$25,0)),FIND("|",INDEX('PRODUCT DATA'!$NO$2:$NO$25,MATCH($A115,'PRODUCT DATA'!$NP$2:$NP$25,0)))-1),$A115))</f>
        <v/>
      </c>
      <c r="AD115" s="45"/>
      <c r="AE115" s="45" t="str">
        <f t="shared" si="7"/>
        <v/>
      </c>
    </row>
    <row r="116" spans="1:31" ht="15" customHeight="1" x14ac:dyDescent="0.25">
      <c r="A116" s="40"/>
      <c r="B116" s="43" t="str">
        <f>IF($A116="","",IFERROR(VLOOKUP($AC116,'PRODUCT DATA'!$NR$2:$NS$374,2,FALSE()),"UNKNOWN ITEM CODE - please check"))</f>
        <v/>
      </c>
      <c r="C116" s="39">
        <v>1</v>
      </c>
      <c r="D116" s="39"/>
      <c r="E116" s="40"/>
      <c r="F116" s="41"/>
      <c r="G116" s="39"/>
      <c r="H116" s="41"/>
      <c r="I116" s="41"/>
      <c r="J116" s="39"/>
      <c r="K116" s="41"/>
      <c r="L116" s="40"/>
      <c r="M116" s="40"/>
      <c r="N116" s="42" t="str">
        <f>IF($M116="","",IFERROR(INDEX('PRODUCT DATA'!$B$2:$B$58,MATCH(IF(UPPER($M116)="UK","GB",$M116),'PRODUCT DATA'!$B$2:$B$58,0)),IFERROR(INDEX('PRODUCT DATA'!$B$2:$B$58,MATCH(IF(UPPER($M116)="UK","GB",$M116),'PRODUCT DATA'!$A$2:$A$58,0)),"UNKNOWN COUNTRY - please check")))</f>
        <v/>
      </c>
      <c r="O116" s="41"/>
      <c r="P116" s="41"/>
      <c r="Q116" s="41"/>
      <c r="R116" s="41"/>
      <c r="S116" s="41"/>
      <c r="T116" s="41"/>
      <c r="U116" s="41"/>
      <c r="V116" s="43" t="str">
        <f t="shared" si="4"/>
        <v/>
      </c>
      <c r="W116" s="44" t="str">
        <f ca="1">IF(COUNTA($A116,$D116:$M116,$O116:$U116)=0,"",IF($A116="","Item Code; ","")&amp;IF(AND($A116&lt;&gt;"",ISNA(MATCH($AC116,'PRODUCT DATA'!$D$2:$D$394,0))),"Item Code; ","")&amp;IF($M116="","Country; ","")&amp;IF(AND($M116&lt;&gt;"",NOT(OR(NOT(ISNA(MATCH(IF(UPPER($M116)="UK","GB",$M116),'PRODUCT DATA'!$A$2:$A$58,0))),NOT(ISNA(MATCH(IF(UPPER($M116)="UK","GB",$M116),'PRODUCT DATA'!$B$2:$B$58,0)))))),"Country; ","")&amp;IF(AND($A116&lt;&gt;"",$M116&lt;&gt;"",NOT(ISNA(MATCH($AC116,'PRODUCT DATA'!$D$2:$D$394,0))),OR(NOT(ISNA(MATCH(IF(UPPER($M116)="UK","GB",$M116),'PRODUCT DATA'!$A$2:$A$58,0))),NOT(ISNA(MATCH(IF(UPPER($M116)="UK","GB",$M116),'PRODUCT DATA'!$B$2:$B$58,0)))),NOT(IFERROR(COUNTIF(OFFSET('PRODUCT DATA'!$F$2,0,MATCH($AC116,'PRODUCT DATA'!$F$1:$NN$1,0)-1,114,1),$N116)&gt;0,FALSE()))),IF(UPPER(IFERROR(OFFSET('PRODUCT DATA'!$C$2,MATCH($N116,'PRODUCT DATA'!$B$2:$B$58,0)-1,0),""))="NO","Alcohol Restriction; ","Item Code / Country combination; "),"")&amp;IF($C116="","Quantity; ","")&amp;IF(AND($C116&lt;&gt;"",OR(NOT(ISNUMBER($C116)),$C116&lt;1,$C116&gt;999,MOD($C116,1)&lt;&gt;0)),"Quantity; ","")&amp;IF($D116="","Recipient Name; ","")&amp;IF(LEN($D116)&gt;35,"Recipient Name; ","")&amp;IF($E116="","Recipient Phone; ","")&amp;IF(AND($E116&lt;&gt;"",OR(LEN($E116)&lt;6,LEN($E116)&gt;20,NOT(IFERROR(ISNUMBER(1*$E116),FALSE())))),"Recipient Phone; ","")&amp;IF(LEN($F116)&gt;35,"Recipient Company Name; ","")&amp;IF($G116="","Address Line 1; ","")&amp;IF(LEN($G116)&gt;35,"Address Line 1; ","")&amp;IF(LEN($H116)&gt;35,"Address Line 2; ","")&amp;IF(LEN($I116)&gt;35,"Address Line 3; ","")&amp;IF($J116="","Town; ","")&amp;IF(LEN($J116)&gt;35,"Town; ","")&amp;IF(AND($N116="IE",$K116=""),"County; ","")&amp;IF(LEN($AB116)&gt;35,"County; ","")&amp;IF(AND($L116="",AND($N116&lt;&gt;"AE",$N116&lt;&gt;"QA")),"Postcode; ","")&amp;IF(LEN($L116)&gt;35,"Postcode; ","")&amp;IF($AE116&lt;&gt;"","Postcode; ","")&amp;IF(LEN($O116)&gt;40,"Gift Message 1; ","")&amp;IF(LEN($P116)&gt;40,"Gift Message 2; ","")&amp;IF(LEN($Q116)&gt;40,"Gift Message 3; ","")&amp;IF(LEN($R116)&gt;40,"Gift Message 4; ","")&amp;IF(LEN($S116)&gt;40,"Gift Message 5; ","")&amp;IF(LEN($T116)&gt;40,"Gift Message 6; ","")&amp;IF(LEN($U116)&gt;40,"Gift Message 7; ",""))</f>
        <v/>
      </c>
      <c r="X116" s="44" t="str">
        <f ca="1">IF(COUNTA($A116,$D116:$M116,$O116:$U116)=0,"",IF($A116="","Enter the Item Code (hamper) - type it, paste it, or choose it from the dropdown. ","")&amp;IF(AND($A116&lt;&gt;"",ISNA(MATCH($AC116,'PRODUCT DATA'!$D$2:$D$394,0))),"This Item Code is not recognised. Check the code (case does not matter, but spelling and digits must match exactly) or choose it from the dropdown. ","")&amp;IF($M116="","Enter the Country after the Item Code - type or paste the name or the 2-letter code, or choose it from the dropdown. ","")&amp;IF(AND($M116&lt;&gt;"",NOT(OR(NOT(ISNA(MATCH(IF(UPPER($M116)="UK","GB",$M116),'PRODUCT DATA'!$A$2:$A$58,0))),NOT(ISNA(MATCH(IF(UPPER($M116)="UK","GB",$M116),'PRODUCT DATA'!$B$2:$B$58,0)))))),"This Country is not recognised as either a full name or a 2-letter code. Check the spelling (case does not matter) or choose it from the dropdown. ","")&amp;IF(AND($A116&lt;&gt;"",$M116&lt;&gt;"",NOT(ISNA(MATCH($AC116,'PRODUCT DATA'!$D$2:$D$394,0))),OR(NOT(ISNA(MATCH(IF(UPPER($M116)="UK","GB",$M116),'PRODUCT DATA'!$A$2:$A$58,0))),NOT(ISNA(MATCH(IF(UPPER($M116)="UK","GB",$M116),'PRODUCT DATA'!$B$2:$B$58,0)))),NOT(IFERROR(COUNTIF(OFFSET('PRODUCT DATA'!$F$2,0,MATCH($AC116,'PRODUCT DATA'!$F$1:$NN$1,0)-1,114,1),$N116)&gt;0,FALSE()))),IF(UPPER(IFERROR(OFFSET('PRODUCT DATA'!$C$2,MATCH($N116,'PRODUCT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"),"")&amp;IF($C116="","Enter Quantity. ","")&amp;IF(AND($C116&lt;&gt;"",OR(NOT(ISNUMBER($C116)),$C116&lt;1,$C116&gt;999,MOD($C116,1)&lt;&gt;0)),"Quantity must be a whole number from 1 to 999 (use a quantity above 1 only for a genuine bulk order of identical items to ONE address — otherwise use a separate row per recipient). ","")&amp;IF($D116="","Enter Recipient Name. ","")&amp;IF(LEN($D116)&gt;35,"Recipient Name exceeds 35 characters. ","")&amp;IF($E116="","Enter Recipient Phone. ","")&amp;IF(AND($E116&lt;&gt;"",OR(LEN($E116)&lt;6,LEN($E116)&gt;20,NOT(IFERROR(ISNUMBER(1*$E116),FALSE())))),"Phone must be the LOCAL number for the destination country: digits only, no +, spaces, or country code, 6 to 20 digits. ","")&amp;IF(LEN($F116)&gt;35,"Recipient Company Name exceeds 35 characters. ","")&amp;IF($G116="","Enter Address Line 1. ","")&amp;IF(LEN($G116)&gt;35,"Address Line 1 exceeds the 35-character SAP limit. ","")&amp;IF(LEN($H116)&gt;35,"Address Line 2 exceeds the 35-character SAP limit. ","")&amp;IF(LEN($I116)&gt;35,"Address Line 3 exceeds the 35-character SAP limit. ","")&amp;IF($J116="","Enter Town. This must never be left blank, even if there is no conventional town name. ","")&amp;IF(LEN($J116)&gt;35,"Town exceeds 35 characters. ","")&amp;IF(AND($N116="IE",$K116=""),"County is required for deliveries within the Republic of Ireland. ","")&amp;IF(LEN($AB116)&gt;35,"County exceeds 35 characters. ","")&amp;IF(AND($L116="",AND($N116&lt;&gt;"AE",$N116&lt;&gt;"QA")),"Postcode is required for the selected country. If there is genuinely no postcode, enter the first 3 characters of the area (e.g. D15). ","")&amp;IF(LEN($L116)&gt;35,"Postcode exceeds 35 characters. ","")&amp;IF($AE116&lt;&gt;"",$AE116,"")&amp;IF(LEN($O116)&gt;40,"Gift Message Line 1 exceeds 40 characters. ","")&amp;IF(LEN($P116)&gt;40,"Gift Message Line 2 exceeds 40 characters. ","")&amp;IF(LEN($Q116)&gt;40,"Gift Message Line 3 exceeds 40 characters. ","")&amp;IF(LEN($R116)&gt;40,"Gift Message Line 4 exceeds 40 characters. ","")&amp;IF(LEN($S116)&gt;40,"Gift Message Line 5 exceeds 40 characters. ","")&amp;IF(LEN($T116)&gt;40,"Gift Message Line 6 exceeds 40 characters. ","")&amp;IF(LEN($U116)&gt;40,"Gift Message Line 7 exceeds 40 characters. ",""))</f>
        <v/>
      </c>
      <c r="Y116" s="44" t="str">
        <f t="shared" si="5"/>
        <v/>
      </c>
      <c r="Z116" s="44"/>
      <c r="AA116" s="44"/>
      <c r="AB116" s="32" t="str">
        <f t="shared" si="6"/>
        <v/>
      </c>
      <c r="AC116" s="32" t="str">
        <f>IF($A116="","",IFERROR(LEFT(INDEX('PRODUCT DATA'!$NO$2:$NO$25,MATCH($A116,'PRODUCT DATA'!$NP$2:$NP$25,0)),FIND("|",INDEX('PRODUCT DATA'!$NO$2:$NO$25,MATCH($A116,'PRODUCT DATA'!$NP$2:$NP$25,0)))-1),$A116))</f>
        <v/>
      </c>
      <c r="AD116" s="45"/>
      <c r="AE116" s="45" t="str">
        <f t="shared" si="7"/>
        <v/>
      </c>
    </row>
    <row r="117" spans="1:31" ht="15" customHeight="1" x14ac:dyDescent="0.25">
      <c r="A117" s="40"/>
      <c r="B117" s="43" t="str">
        <f>IF($A117="","",IFERROR(VLOOKUP($AC117,'PRODUCT DATA'!$NR$2:$NS$374,2,FALSE()),"UNKNOWN ITEM CODE - please check"))</f>
        <v/>
      </c>
      <c r="C117" s="39">
        <v>1</v>
      </c>
      <c r="D117" s="39"/>
      <c r="E117" s="40"/>
      <c r="F117" s="41"/>
      <c r="G117" s="39"/>
      <c r="H117" s="41"/>
      <c r="I117" s="41"/>
      <c r="J117" s="39"/>
      <c r="K117" s="41"/>
      <c r="L117" s="40"/>
      <c r="M117" s="40"/>
      <c r="N117" s="42" t="str">
        <f>IF($M117="","",IFERROR(INDEX('PRODUCT DATA'!$B$2:$B$58,MATCH(IF(UPPER($M117)="UK","GB",$M117),'PRODUCT DATA'!$B$2:$B$58,0)),IFERROR(INDEX('PRODUCT DATA'!$B$2:$B$58,MATCH(IF(UPPER($M117)="UK","GB",$M117),'PRODUCT DATA'!$A$2:$A$58,0)),"UNKNOWN COUNTRY - please check")))</f>
        <v/>
      </c>
      <c r="O117" s="41"/>
      <c r="P117" s="41"/>
      <c r="Q117" s="41"/>
      <c r="R117" s="41"/>
      <c r="S117" s="41"/>
      <c r="T117" s="41"/>
      <c r="U117" s="41"/>
      <c r="V117" s="43" t="str">
        <f t="shared" si="4"/>
        <v/>
      </c>
      <c r="W117" s="44" t="str">
        <f ca="1">IF(COUNTA($A117,$D117:$M117,$O117:$U117)=0,"",IF($A117="","Item Code; ","")&amp;IF(AND($A117&lt;&gt;"",ISNA(MATCH($AC117,'PRODUCT DATA'!$D$2:$D$394,0))),"Item Code; ","")&amp;IF($M117="","Country; ","")&amp;IF(AND($M117&lt;&gt;"",NOT(OR(NOT(ISNA(MATCH(IF(UPPER($M117)="UK","GB",$M117),'PRODUCT DATA'!$A$2:$A$58,0))),NOT(ISNA(MATCH(IF(UPPER($M117)="UK","GB",$M117),'PRODUCT DATA'!$B$2:$B$58,0)))))),"Country; ","")&amp;IF(AND($A117&lt;&gt;"",$M117&lt;&gt;"",NOT(ISNA(MATCH($AC117,'PRODUCT DATA'!$D$2:$D$394,0))),OR(NOT(ISNA(MATCH(IF(UPPER($M117)="UK","GB",$M117),'PRODUCT DATA'!$A$2:$A$58,0))),NOT(ISNA(MATCH(IF(UPPER($M117)="UK","GB",$M117),'PRODUCT DATA'!$B$2:$B$58,0)))),NOT(IFERROR(COUNTIF(OFFSET('PRODUCT DATA'!$F$2,0,MATCH($AC117,'PRODUCT DATA'!$F$1:$NN$1,0)-1,114,1),$N117)&gt;0,FALSE()))),IF(UPPER(IFERROR(OFFSET('PRODUCT DATA'!$C$2,MATCH($N117,'PRODUCT DATA'!$B$2:$B$58,0)-1,0),""))="NO","Alcohol Restriction; ","Item Code / Country combination; "),"")&amp;IF($C117="","Quantity; ","")&amp;IF(AND($C117&lt;&gt;"",OR(NOT(ISNUMBER($C117)),$C117&lt;1,$C117&gt;999,MOD($C117,1)&lt;&gt;0)),"Quantity; ","")&amp;IF($D117="","Recipient Name; ","")&amp;IF(LEN($D117)&gt;35,"Recipient Name; ","")&amp;IF($E117="","Recipient Phone; ","")&amp;IF(AND($E117&lt;&gt;"",OR(LEN($E117)&lt;6,LEN($E117)&gt;20,NOT(IFERROR(ISNUMBER(1*$E117),FALSE())))),"Recipient Phone; ","")&amp;IF(LEN($F117)&gt;35,"Recipient Company Name; ","")&amp;IF($G117="","Address Line 1; ","")&amp;IF(LEN($G117)&gt;35,"Address Line 1; ","")&amp;IF(LEN($H117)&gt;35,"Address Line 2; ","")&amp;IF(LEN($I117)&gt;35,"Address Line 3; ","")&amp;IF($J117="","Town; ","")&amp;IF(LEN($J117)&gt;35,"Town; ","")&amp;IF(AND($N117="IE",$K117=""),"County; ","")&amp;IF(LEN($AB117)&gt;35,"County; ","")&amp;IF(AND($L117="",AND($N117&lt;&gt;"AE",$N117&lt;&gt;"QA")),"Postcode; ","")&amp;IF(LEN($L117)&gt;35,"Postcode; ","")&amp;IF($AE117&lt;&gt;"","Postcode; ","")&amp;IF(LEN($O117)&gt;40,"Gift Message 1; ","")&amp;IF(LEN($P117)&gt;40,"Gift Message 2; ","")&amp;IF(LEN($Q117)&gt;40,"Gift Message 3; ","")&amp;IF(LEN($R117)&gt;40,"Gift Message 4; ","")&amp;IF(LEN($S117)&gt;40,"Gift Message 5; ","")&amp;IF(LEN($T117)&gt;40,"Gift Message 6; ","")&amp;IF(LEN($U117)&gt;40,"Gift Message 7; ",""))</f>
        <v/>
      </c>
      <c r="X117" s="44" t="str">
        <f ca="1">IF(COUNTA($A117,$D117:$M117,$O117:$U117)=0,"",IF($A117="","Enter the Item Code (hamper) - type it, paste it, or choose it from the dropdown. ","")&amp;IF(AND($A117&lt;&gt;"",ISNA(MATCH($AC117,'PRODUCT DATA'!$D$2:$D$394,0))),"This Item Code is not recognised. Check the code (case does not matter, but spelling and digits must match exactly) or choose it from the dropdown. ","")&amp;IF($M117="","Enter the Country after the Item Code - type or paste the name or the 2-letter code, or choose it from the dropdown. ","")&amp;IF(AND($M117&lt;&gt;"",NOT(OR(NOT(ISNA(MATCH(IF(UPPER($M117)="UK","GB",$M117),'PRODUCT DATA'!$A$2:$A$58,0))),NOT(ISNA(MATCH(IF(UPPER($M117)="UK","GB",$M117),'PRODUCT DATA'!$B$2:$B$58,0)))))),"This Country is not recognised as either a full name or a 2-letter code. Check the spelling (case does not matter) or choose it from the dropdown. ","")&amp;IF(AND($A117&lt;&gt;"",$M117&lt;&gt;"",NOT(ISNA(MATCH($AC117,'PRODUCT DATA'!$D$2:$D$394,0))),OR(NOT(ISNA(MATCH(IF(UPPER($M117)="UK","GB",$M117),'PRODUCT DATA'!$A$2:$A$58,0))),NOT(ISNA(MATCH(IF(UPPER($M117)="UK","GB",$M117),'PRODUCT DATA'!$B$2:$B$58,0)))),NOT(IFERROR(COUNTIF(OFFSET('PRODUCT DATA'!$F$2,0,MATCH($AC117,'PRODUCT DATA'!$F$1:$NN$1,0)-1,114,1),$N117)&gt;0,FALSE()))),IF(UPPER(IFERROR(OFFSET('PRODUCT DATA'!$C$2,MATCH($N117,'PRODUCT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"),"")&amp;IF($C117="","Enter Quantity. ","")&amp;IF(AND($C117&lt;&gt;"",OR(NOT(ISNUMBER($C117)),$C117&lt;1,$C117&gt;999,MOD($C117,1)&lt;&gt;0)),"Quantity must be a whole number from 1 to 999 (use a quantity above 1 only for a genuine bulk order of identical items to ONE address — otherwise use a separate row per recipient). ","")&amp;IF($D117="","Enter Recipient Name. ","")&amp;IF(LEN($D117)&gt;35,"Recipient Name exceeds 35 characters. ","")&amp;IF($E117="","Enter Recipient Phone. ","")&amp;IF(AND($E117&lt;&gt;"",OR(LEN($E117)&lt;6,LEN($E117)&gt;20,NOT(IFERROR(ISNUMBER(1*$E117),FALSE())))),"Phone must be the LOCAL number for the destination country: digits only, no +, spaces, or country code, 6 to 20 digits. ","")&amp;IF(LEN($F117)&gt;35,"Recipient Company Name exceeds 35 characters. ","")&amp;IF($G117="","Enter Address Line 1. ","")&amp;IF(LEN($G117)&gt;35,"Address Line 1 exceeds the 35-character SAP limit. ","")&amp;IF(LEN($H117)&gt;35,"Address Line 2 exceeds the 35-character SAP limit. ","")&amp;IF(LEN($I117)&gt;35,"Address Line 3 exceeds the 35-character SAP limit. ","")&amp;IF($J117="","Enter Town. This must never be left blank, even if there is no conventional town name. ","")&amp;IF(LEN($J117)&gt;35,"Town exceeds 35 characters. ","")&amp;IF(AND($N117="IE",$K117=""),"County is required for deliveries within the Republic of Ireland. ","")&amp;IF(LEN($AB117)&gt;35,"County exceeds 35 characters. ","")&amp;IF(AND($L117="",AND($N117&lt;&gt;"AE",$N117&lt;&gt;"QA")),"Postcode is required for the selected country. If there is genuinely no postcode, enter the first 3 characters of the area (e.g. D15). ","")&amp;IF(LEN($L117)&gt;35,"Postcode exceeds 35 characters. ","")&amp;IF($AE117&lt;&gt;"",$AE117,"")&amp;IF(LEN($O117)&gt;40,"Gift Message Line 1 exceeds 40 characters. ","")&amp;IF(LEN($P117)&gt;40,"Gift Message Line 2 exceeds 40 characters. ","")&amp;IF(LEN($Q117)&gt;40,"Gift Message Line 3 exceeds 40 characters. ","")&amp;IF(LEN($R117)&gt;40,"Gift Message Line 4 exceeds 40 characters. ","")&amp;IF(LEN($S117)&gt;40,"Gift Message Line 5 exceeds 40 characters. ","")&amp;IF(LEN($T117)&gt;40,"Gift Message Line 6 exceeds 40 characters. ","")&amp;IF(LEN($U117)&gt;40,"Gift Message Line 7 exceeds 40 characters. ",""))</f>
        <v/>
      </c>
      <c r="Y117" s="44" t="str">
        <f t="shared" si="5"/>
        <v/>
      </c>
      <c r="Z117" s="44"/>
      <c r="AA117" s="44"/>
      <c r="AB117" s="32" t="str">
        <f t="shared" si="6"/>
        <v/>
      </c>
      <c r="AC117" s="32" t="str">
        <f>IF($A117="","",IFERROR(LEFT(INDEX('PRODUCT DATA'!$NO$2:$NO$25,MATCH($A117,'PRODUCT DATA'!$NP$2:$NP$25,0)),FIND("|",INDEX('PRODUCT DATA'!$NO$2:$NO$25,MATCH($A117,'PRODUCT DATA'!$NP$2:$NP$25,0)))-1),$A117))</f>
        <v/>
      </c>
      <c r="AD117" s="45"/>
      <c r="AE117" s="45" t="str">
        <f t="shared" si="7"/>
        <v/>
      </c>
    </row>
    <row r="118" spans="1:31" ht="15" customHeight="1" x14ac:dyDescent="0.25">
      <c r="A118" s="40"/>
      <c r="B118" s="43" t="str">
        <f>IF($A118="","",IFERROR(VLOOKUP($AC118,'PRODUCT DATA'!$NR$2:$NS$374,2,FALSE()),"UNKNOWN ITEM CODE - please check"))</f>
        <v/>
      </c>
      <c r="C118" s="39">
        <v>1</v>
      </c>
      <c r="D118" s="39"/>
      <c r="E118" s="40"/>
      <c r="F118" s="41"/>
      <c r="G118" s="39"/>
      <c r="H118" s="41"/>
      <c r="I118" s="41"/>
      <c r="J118" s="39"/>
      <c r="K118" s="41"/>
      <c r="L118" s="40"/>
      <c r="M118" s="40"/>
      <c r="N118" s="42" t="str">
        <f>IF($M118="","",IFERROR(INDEX('PRODUCT DATA'!$B$2:$B$58,MATCH(IF(UPPER($M118)="UK","GB",$M118),'PRODUCT DATA'!$B$2:$B$58,0)),IFERROR(INDEX('PRODUCT DATA'!$B$2:$B$58,MATCH(IF(UPPER($M118)="UK","GB",$M118),'PRODUCT DATA'!$A$2:$A$58,0)),"UNKNOWN COUNTRY - please check")))</f>
        <v/>
      </c>
      <c r="O118" s="41"/>
      <c r="P118" s="41"/>
      <c r="Q118" s="41"/>
      <c r="R118" s="41"/>
      <c r="S118" s="41"/>
      <c r="T118" s="41"/>
      <c r="U118" s="41"/>
      <c r="V118" s="43" t="str">
        <f t="shared" si="4"/>
        <v/>
      </c>
      <c r="W118" s="44" t="str">
        <f ca="1">IF(COUNTA($A118,$D118:$M118,$O118:$U118)=0,"",IF($A118="","Item Code; ","")&amp;IF(AND($A118&lt;&gt;"",ISNA(MATCH($AC118,'PRODUCT DATA'!$D$2:$D$394,0))),"Item Code; ","")&amp;IF($M118="","Country; ","")&amp;IF(AND($M118&lt;&gt;"",NOT(OR(NOT(ISNA(MATCH(IF(UPPER($M118)="UK","GB",$M118),'PRODUCT DATA'!$A$2:$A$58,0))),NOT(ISNA(MATCH(IF(UPPER($M118)="UK","GB",$M118),'PRODUCT DATA'!$B$2:$B$58,0)))))),"Country; ","")&amp;IF(AND($A118&lt;&gt;"",$M118&lt;&gt;"",NOT(ISNA(MATCH($AC118,'PRODUCT DATA'!$D$2:$D$394,0))),OR(NOT(ISNA(MATCH(IF(UPPER($M118)="UK","GB",$M118),'PRODUCT DATA'!$A$2:$A$58,0))),NOT(ISNA(MATCH(IF(UPPER($M118)="UK","GB",$M118),'PRODUCT DATA'!$B$2:$B$58,0)))),NOT(IFERROR(COUNTIF(OFFSET('PRODUCT DATA'!$F$2,0,MATCH($AC118,'PRODUCT DATA'!$F$1:$NN$1,0)-1,114,1),$N118)&gt;0,FALSE()))),IF(UPPER(IFERROR(OFFSET('PRODUCT DATA'!$C$2,MATCH($N118,'PRODUCT DATA'!$B$2:$B$58,0)-1,0),""))="NO","Alcohol Restriction; ","Item Code / Country combination; "),"")&amp;IF($C118="","Quantity; ","")&amp;IF(AND($C118&lt;&gt;"",OR(NOT(ISNUMBER($C118)),$C118&lt;1,$C118&gt;999,MOD($C118,1)&lt;&gt;0)),"Quantity; ","")&amp;IF($D118="","Recipient Name; ","")&amp;IF(LEN($D118)&gt;35,"Recipient Name; ","")&amp;IF($E118="","Recipient Phone; ","")&amp;IF(AND($E118&lt;&gt;"",OR(LEN($E118)&lt;6,LEN($E118)&gt;20,NOT(IFERROR(ISNUMBER(1*$E118),FALSE())))),"Recipient Phone; ","")&amp;IF(LEN($F118)&gt;35,"Recipient Company Name; ","")&amp;IF($G118="","Address Line 1; ","")&amp;IF(LEN($G118)&gt;35,"Address Line 1; ","")&amp;IF(LEN($H118)&gt;35,"Address Line 2; ","")&amp;IF(LEN($I118)&gt;35,"Address Line 3; ","")&amp;IF($J118="","Town; ","")&amp;IF(LEN($J118)&gt;35,"Town; ","")&amp;IF(AND($N118="IE",$K118=""),"County; ","")&amp;IF(LEN($AB118)&gt;35,"County; ","")&amp;IF(AND($L118="",AND($N118&lt;&gt;"AE",$N118&lt;&gt;"QA")),"Postcode; ","")&amp;IF(LEN($L118)&gt;35,"Postcode; ","")&amp;IF($AE118&lt;&gt;"","Postcode; ","")&amp;IF(LEN($O118)&gt;40,"Gift Message 1; ","")&amp;IF(LEN($P118)&gt;40,"Gift Message 2; ","")&amp;IF(LEN($Q118)&gt;40,"Gift Message 3; ","")&amp;IF(LEN($R118)&gt;40,"Gift Message 4; ","")&amp;IF(LEN($S118)&gt;40,"Gift Message 5; ","")&amp;IF(LEN($T118)&gt;40,"Gift Message 6; ","")&amp;IF(LEN($U118)&gt;40,"Gift Message 7; ",""))</f>
        <v/>
      </c>
      <c r="X118" s="44" t="str">
        <f ca="1">IF(COUNTA($A118,$D118:$M118,$O118:$U118)=0,"",IF($A118="","Enter the Item Code (hamper) - type it, paste it, or choose it from the dropdown. ","")&amp;IF(AND($A118&lt;&gt;"",ISNA(MATCH($AC118,'PRODUCT DATA'!$D$2:$D$394,0))),"This Item Code is not recognised. Check the code (case does not matter, but spelling and digits must match exactly) or choose it from the dropdown. ","")&amp;IF($M118="","Enter the Country after the Item Code - type or paste the name or the 2-letter code, or choose it from the dropdown. ","")&amp;IF(AND($M118&lt;&gt;"",NOT(OR(NOT(ISNA(MATCH(IF(UPPER($M118)="UK","GB",$M118),'PRODUCT DATA'!$A$2:$A$58,0))),NOT(ISNA(MATCH(IF(UPPER($M118)="UK","GB",$M118),'PRODUCT DATA'!$B$2:$B$58,0)))))),"This Country is not recognised as either a full name or a 2-letter code. Check the spelling (case does not matter) or choose it from the dropdown. ","")&amp;IF(AND($A118&lt;&gt;"",$M118&lt;&gt;"",NOT(ISNA(MATCH($AC118,'PRODUCT DATA'!$D$2:$D$394,0))),OR(NOT(ISNA(MATCH(IF(UPPER($M118)="UK","GB",$M118),'PRODUCT DATA'!$A$2:$A$58,0))),NOT(ISNA(MATCH(IF(UPPER($M118)="UK","GB",$M118),'PRODUCT DATA'!$B$2:$B$58,0)))),NOT(IFERROR(COUNTIF(OFFSET('PRODUCT DATA'!$F$2,0,MATCH($AC118,'PRODUCT DATA'!$F$1:$NN$1,0)-1,114,1),$N118)&gt;0,FALSE()))),IF(UPPER(IFERROR(OFFSET('PRODUCT DATA'!$C$2,MATCH($N118,'PRODUCT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"),"")&amp;IF($C118="","Enter Quantity. ","")&amp;IF(AND($C118&lt;&gt;"",OR(NOT(ISNUMBER($C118)),$C118&lt;1,$C118&gt;999,MOD($C118,1)&lt;&gt;0)),"Quantity must be a whole number from 1 to 999 (use a quantity above 1 only for a genuine bulk order of identical items to ONE address — otherwise use a separate row per recipient). ","")&amp;IF($D118="","Enter Recipient Name. ","")&amp;IF(LEN($D118)&gt;35,"Recipient Name exceeds 35 characters. ","")&amp;IF($E118="","Enter Recipient Phone. ","")&amp;IF(AND($E118&lt;&gt;"",OR(LEN($E118)&lt;6,LEN($E118)&gt;20,NOT(IFERROR(ISNUMBER(1*$E118),FALSE())))),"Phone must be the LOCAL number for the destination country: digits only, no +, spaces, or country code, 6 to 20 digits. ","")&amp;IF(LEN($F118)&gt;35,"Recipient Company Name exceeds 35 characters. ","")&amp;IF($G118="","Enter Address Line 1. ","")&amp;IF(LEN($G118)&gt;35,"Address Line 1 exceeds the 35-character SAP limit. ","")&amp;IF(LEN($H118)&gt;35,"Address Line 2 exceeds the 35-character SAP limit. ","")&amp;IF(LEN($I118)&gt;35,"Address Line 3 exceeds the 35-character SAP limit. ","")&amp;IF($J118="","Enter Town. This must never be left blank, even if there is no conventional town name. ","")&amp;IF(LEN($J118)&gt;35,"Town exceeds 35 characters. ","")&amp;IF(AND($N118="IE",$K118=""),"County is required for deliveries within the Republic of Ireland. ","")&amp;IF(LEN($AB118)&gt;35,"County exceeds 35 characters. ","")&amp;IF(AND($L118="",AND($N118&lt;&gt;"AE",$N118&lt;&gt;"QA")),"Postcode is required for the selected country. If there is genuinely no postcode, enter the first 3 characters of the area (e.g. D15). ","")&amp;IF(LEN($L118)&gt;35,"Postcode exceeds 35 characters. ","")&amp;IF($AE118&lt;&gt;"",$AE118,"")&amp;IF(LEN($O118)&gt;40,"Gift Message Line 1 exceeds 40 characters. ","")&amp;IF(LEN($P118)&gt;40,"Gift Message Line 2 exceeds 40 characters. ","")&amp;IF(LEN($Q118)&gt;40,"Gift Message Line 3 exceeds 40 characters. ","")&amp;IF(LEN($R118)&gt;40,"Gift Message Line 4 exceeds 40 characters. ","")&amp;IF(LEN($S118)&gt;40,"Gift Message Line 5 exceeds 40 characters. ","")&amp;IF(LEN($T118)&gt;40,"Gift Message Line 6 exceeds 40 characters. ","")&amp;IF(LEN($U118)&gt;40,"Gift Message Line 7 exceeds 40 characters. ",""))</f>
        <v/>
      </c>
      <c r="Y118" s="44" t="str">
        <f t="shared" si="5"/>
        <v/>
      </c>
      <c r="Z118" s="44"/>
      <c r="AA118" s="44"/>
      <c r="AB118" s="32" t="str">
        <f t="shared" si="6"/>
        <v/>
      </c>
      <c r="AC118" s="32" t="str">
        <f>IF($A118="","",IFERROR(LEFT(INDEX('PRODUCT DATA'!$NO$2:$NO$25,MATCH($A118,'PRODUCT DATA'!$NP$2:$NP$25,0)),FIND("|",INDEX('PRODUCT DATA'!$NO$2:$NO$25,MATCH($A118,'PRODUCT DATA'!$NP$2:$NP$25,0)))-1),$A118))</f>
        <v/>
      </c>
      <c r="AD118" s="45"/>
      <c r="AE118" s="45" t="str">
        <f t="shared" si="7"/>
        <v/>
      </c>
    </row>
    <row r="119" spans="1:31" ht="15" customHeight="1" x14ac:dyDescent="0.25">
      <c r="A119" s="40"/>
      <c r="B119" s="43" t="str">
        <f>IF($A119="","",IFERROR(VLOOKUP($AC119,'PRODUCT DATA'!$NR$2:$NS$374,2,FALSE()),"UNKNOWN ITEM CODE - please check"))</f>
        <v/>
      </c>
      <c r="C119" s="39">
        <v>1</v>
      </c>
      <c r="D119" s="39"/>
      <c r="E119" s="40"/>
      <c r="F119" s="41"/>
      <c r="G119" s="39"/>
      <c r="H119" s="41"/>
      <c r="I119" s="41"/>
      <c r="J119" s="39"/>
      <c r="K119" s="41"/>
      <c r="L119" s="40"/>
      <c r="M119" s="40"/>
      <c r="N119" s="42" t="str">
        <f>IF($M119="","",IFERROR(INDEX('PRODUCT DATA'!$B$2:$B$58,MATCH(IF(UPPER($M119)="UK","GB",$M119),'PRODUCT DATA'!$B$2:$B$58,0)),IFERROR(INDEX('PRODUCT DATA'!$B$2:$B$58,MATCH(IF(UPPER($M119)="UK","GB",$M119),'PRODUCT DATA'!$A$2:$A$58,0)),"UNKNOWN COUNTRY - please check")))</f>
        <v/>
      </c>
      <c r="O119" s="41"/>
      <c r="P119" s="41"/>
      <c r="Q119" s="41"/>
      <c r="R119" s="41"/>
      <c r="S119" s="41"/>
      <c r="T119" s="41"/>
      <c r="U119" s="41"/>
      <c r="V119" s="43" t="str">
        <f t="shared" si="4"/>
        <v/>
      </c>
      <c r="W119" s="44" t="str">
        <f ca="1">IF(COUNTA($A119,$D119:$M119,$O119:$U119)=0,"",IF($A119="","Item Code; ","")&amp;IF(AND($A119&lt;&gt;"",ISNA(MATCH($AC119,'PRODUCT DATA'!$D$2:$D$394,0))),"Item Code; ","")&amp;IF($M119="","Country; ","")&amp;IF(AND($M119&lt;&gt;"",NOT(OR(NOT(ISNA(MATCH(IF(UPPER($M119)="UK","GB",$M119),'PRODUCT DATA'!$A$2:$A$58,0))),NOT(ISNA(MATCH(IF(UPPER($M119)="UK","GB",$M119),'PRODUCT DATA'!$B$2:$B$58,0)))))),"Country; ","")&amp;IF(AND($A119&lt;&gt;"",$M119&lt;&gt;"",NOT(ISNA(MATCH($AC119,'PRODUCT DATA'!$D$2:$D$394,0))),OR(NOT(ISNA(MATCH(IF(UPPER($M119)="UK","GB",$M119),'PRODUCT DATA'!$A$2:$A$58,0))),NOT(ISNA(MATCH(IF(UPPER($M119)="UK","GB",$M119),'PRODUCT DATA'!$B$2:$B$58,0)))),NOT(IFERROR(COUNTIF(OFFSET('PRODUCT DATA'!$F$2,0,MATCH($AC119,'PRODUCT DATA'!$F$1:$NN$1,0)-1,114,1),$N119)&gt;0,FALSE()))),IF(UPPER(IFERROR(OFFSET('PRODUCT DATA'!$C$2,MATCH($N119,'PRODUCT DATA'!$B$2:$B$58,0)-1,0),""))="NO","Alcohol Restriction; ","Item Code / Country combination; "),"")&amp;IF($C119="","Quantity; ","")&amp;IF(AND($C119&lt;&gt;"",OR(NOT(ISNUMBER($C119)),$C119&lt;1,$C119&gt;999,MOD($C119,1)&lt;&gt;0)),"Quantity; ","")&amp;IF($D119="","Recipient Name; ","")&amp;IF(LEN($D119)&gt;35,"Recipient Name; ","")&amp;IF($E119="","Recipient Phone; ","")&amp;IF(AND($E119&lt;&gt;"",OR(LEN($E119)&lt;6,LEN($E119)&gt;20,NOT(IFERROR(ISNUMBER(1*$E119),FALSE())))),"Recipient Phone; ","")&amp;IF(LEN($F119)&gt;35,"Recipient Company Name; ","")&amp;IF($G119="","Address Line 1; ","")&amp;IF(LEN($G119)&gt;35,"Address Line 1; ","")&amp;IF(LEN($H119)&gt;35,"Address Line 2; ","")&amp;IF(LEN($I119)&gt;35,"Address Line 3; ","")&amp;IF($J119="","Town; ","")&amp;IF(LEN($J119)&gt;35,"Town; ","")&amp;IF(AND($N119="IE",$K119=""),"County; ","")&amp;IF(LEN($AB119)&gt;35,"County; ","")&amp;IF(AND($L119="",AND($N119&lt;&gt;"AE",$N119&lt;&gt;"QA")),"Postcode; ","")&amp;IF(LEN($L119)&gt;35,"Postcode; ","")&amp;IF($AE119&lt;&gt;"","Postcode; ","")&amp;IF(LEN($O119)&gt;40,"Gift Message 1; ","")&amp;IF(LEN($P119)&gt;40,"Gift Message 2; ","")&amp;IF(LEN($Q119)&gt;40,"Gift Message 3; ","")&amp;IF(LEN($R119)&gt;40,"Gift Message 4; ","")&amp;IF(LEN($S119)&gt;40,"Gift Message 5; ","")&amp;IF(LEN($T119)&gt;40,"Gift Message 6; ","")&amp;IF(LEN($U119)&gt;40,"Gift Message 7; ",""))</f>
        <v/>
      </c>
      <c r="X119" s="44" t="str">
        <f ca="1">IF(COUNTA($A119,$D119:$M119,$O119:$U119)=0,"",IF($A119="","Enter the Item Code (hamper) - type it, paste it, or choose it from the dropdown. ","")&amp;IF(AND($A119&lt;&gt;"",ISNA(MATCH($AC119,'PRODUCT DATA'!$D$2:$D$394,0))),"This Item Code is not recognised. Check the code (case does not matter, but spelling and digits must match exactly) or choose it from the dropdown. ","")&amp;IF($M119="","Enter the Country after the Item Code - type or paste the name or the 2-letter code, or choose it from the dropdown. ","")&amp;IF(AND($M119&lt;&gt;"",NOT(OR(NOT(ISNA(MATCH(IF(UPPER($M119)="UK","GB",$M119),'PRODUCT DATA'!$A$2:$A$58,0))),NOT(ISNA(MATCH(IF(UPPER($M119)="UK","GB",$M119),'PRODUCT DATA'!$B$2:$B$58,0)))))),"This Country is not recognised as either a full name or a 2-letter code. Check the spelling (case does not matter) or choose it from the dropdown. ","")&amp;IF(AND($A119&lt;&gt;"",$M119&lt;&gt;"",NOT(ISNA(MATCH($AC119,'PRODUCT DATA'!$D$2:$D$394,0))),OR(NOT(ISNA(MATCH(IF(UPPER($M119)="UK","GB",$M119),'PRODUCT DATA'!$A$2:$A$58,0))),NOT(ISNA(MATCH(IF(UPPER($M119)="UK","GB",$M119),'PRODUCT DATA'!$B$2:$B$58,0)))),NOT(IFERROR(COUNTIF(OFFSET('PRODUCT DATA'!$F$2,0,MATCH($AC119,'PRODUCT DATA'!$F$1:$NN$1,0)-1,114,1),$N119)&gt;0,FALSE()))),IF(UPPER(IFERROR(OFFSET('PRODUCT DATA'!$C$2,MATCH($N119,'PRODUCT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"),"")&amp;IF($C119="","Enter Quantity. ","")&amp;IF(AND($C119&lt;&gt;"",OR(NOT(ISNUMBER($C119)),$C119&lt;1,$C119&gt;999,MOD($C119,1)&lt;&gt;0)),"Quantity must be a whole number from 1 to 999 (use a quantity above 1 only for a genuine bulk order of identical items to ONE address — otherwise use a separate row per recipient). ","")&amp;IF($D119="","Enter Recipient Name. ","")&amp;IF(LEN($D119)&gt;35,"Recipient Name exceeds 35 characters. ","")&amp;IF($E119="","Enter Recipient Phone. ","")&amp;IF(AND($E119&lt;&gt;"",OR(LEN($E119)&lt;6,LEN($E119)&gt;20,NOT(IFERROR(ISNUMBER(1*$E119),FALSE())))),"Phone must be the LOCAL number for the destination country: digits only, no +, spaces, or country code, 6 to 20 digits. ","")&amp;IF(LEN($F119)&gt;35,"Recipient Company Name exceeds 35 characters. ","")&amp;IF($G119="","Enter Address Line 1. ","")&amp;IF(LEN($G119)&gt;35,"Address Line 1 exceeds the 35-character SAP limit. ","")&amp;IF(LEN($H119)&gt;35,"Address Line 2 exceeds the 35-character SAP limit. ","")&amp;IF(LEN($I119)&gt;35,"Address Line 3 exceeds the 35-character SAP limit. ","")&amp;IF($J119="","Enter Town. This must never be left blank, even if there is no conventional town name. ","")&amp;IF(LEN($J119)&gt;35,"Town exceeds 35 characters. ","")&amp;IF(AND($N119="IE",$K119=""),"County is required for deliveries within the Republic of Ireland. ","")&amp;IF(LEN($AB119)&gt;35,"County exceeds 35 characters. ","")&amp;IF(AND($L119="",AND($N119&lt;&gt;"AE",$N119&lt;&gt;"QA")),"Postcode is required for the selected country. If there is genuinely no postcode, enter the first 3 characters of the area (e.g. D15). ","")&amp;IF(LEN($L119)&gt;35,"Postcode exceeds 35 characters. ","")&amp;IF($AE119&lt;&gt;"",$AE119,"")&amp;IF(LEN($O119)&gt;40,"Gift Message Line 1 exceeds 40 characters. ","")&amp;IF(LEN($P119)&gt;40,"Gift Message Line 2 exceeds 40 characters. ","")&amp;IF(LEN($Q119)&gt;40,"Gift Message Line 3 exceeds 40 characters. ","")&amp;IF(LEN($R119)&gt;40,"Gift Message Line 4 exceeds 40 characters. ","")&amp;IF(LEN($S119)&gt;40,"Gift Message Line 5 exceeds 40 characters. ","")&amp;IF(LEN($T119)&gt;40,"Gift Message Line 6 exceeds 40 characters. ","")&amp;IF(LEN($U119)&gt;40,"Gift Message Line 7 exceeds 40 characters. ",""))</f>
        <v/>
      </c>
      <c r="Y119" s="44" t="str">
        <f t="shared" si="5"/>
        <v/>
      </c>
      <c r="Z119" s="44"/>
      <c r="AA119" s="44"/>
      <c r="AB119" s="32" t="str">
        <f t="shared" si="6"/>
        <v/>
      </c>
      <c r="AC119" s="32" t="str">
        <f>IF($A119="","",IFERROR(LEFT(INDEX('PRODUCT DATA'!$NO$2:$NO$25,MATCH($A119,'PRODUCT DATA'!$NP$2:$NP$25,0)),FIND("|",INDEX('PRODUCT DATA'!$NO$2:$NO$25,MATCH($A119,'PRODUCT DATA'!$NP$2:$NP$25,0)))-1),$A119))</f>
        <v/>
      </c>
      <c r="AD119" s="45"/>
      <c r="AE119" s="45" t="str">
        <f t="shared" si="7"/>
        <v/>
      </c>
    </row>
    <row r="120" spans="1:31" ht="15" customHeight="1" x14ac:dyDescent="0.25">
      <c r="A120" s="40"/>
      <c r="B120" s="43" t="str">
        <f>IF($A120="","",IFERROR(VLOOKUP($AC120,'PRODUCT DATA'!$NR$2:$NS$374,2,FALSE()),"UNKNOWN ITEM CODE - please check"))</f>
        <v/>
      </c>
      <c r="C120" s="39">
        <v>1</v>
      </c>
      <c r="D120" s="39"/>
      <c r="E120" s="40"/>
      <c r="F120" s="41"/>
      <c r="G120" s="39"/>
      <c r="H120" s="41"/>
      <c r="I120" s="41"/>
      <c r="J120" s="39"/>
      <c r="K120" s="41"/>
      <c r="L120" s="40"/>
      <c r="M120" s="40"/>
      <c r="N120" s="42" t="str">
        <f>IF($M120="","",IFERROR(INDEX('PRODUCT DATA'!$B$2:$B$58,MATCH(IF(UPPER($M120)="UK","GB",$M120),'PRODUCT DATA'!$B$2:$B$58,0)),IFERROR(INDEX('PRODUCT DATA'!$B$2:$B$58,MATCH(IF(UPPER($M120)="UK","GB",$M120),'PRODUCT DATA'!$A$2:$A$58,0)),"UNKNOWN COUNTRY - please check")))</f>
        <v/>
      </c>
      <c r="O120" s="41"/>
      <c r="P120" s="41"/>
      <c r="Q120" s="41"/>
      <c r="R120" s="41"/>
      <c r="S120" s="41"/>
      <c r="T120" s="41"/>
      <c r="U120" s="41"/>
      <c r="V120" s="43" t="str">
        <f t="shared" si="4"/>
        <v/>
      </c>
      <c r="W120" s="44" t="str">
        <f ca="1">IF(COUNTA($A120,$D120:$M120,$O120:$U120)=0,"",IF($A120="","Item Code; ","")&amp;IF(AND($A120&lt;&gt;"",ISNA(MATCH($AC120,'PRODUCT DATA'!$D$2:$D$394,0))),"Item Code; ","")&amp;IF($M120="","Country; ","")&amp;IF(AND($M120&lt;&gt;"",NOT(OR(NOT(ISNA(MATCH(IF(UPPER($M120)="UK","GB",$M120),'PRODUCT DATA'!$A$2:$A$58,0))),NOT(ISNA(MATCH(IF(UPPER($M120)="UK","GB",$M120),'PRODUCT DATA'!$B$2:$B$58,0)))))),"Country; ","")&amp;IF(AND($A120&lt;&gt;"",$M120&lt;&gt;"",NOT(ISNA(MATCH($AC120,'PRODUCT DATA'!$D$2:$D$394,0))),OR(NOT(ISNA(MATCH(IF(UPPER($M120)="UK","GB",$M120),'PRODUCT DATA'!$A$2:$A$58,0))),NOT(ISNA(MATCH(IF(UPPER($M120)="UK","GB",$M120),'PRODUCT DATA'!$B$2:$B$58,0)))),NOT(IFERROR(COUNTIF(OFFSET('PRODUCT DATA'!$F$2,0,MATCH($AC120,'PRODUCT DATA'!$F$1:$NN$1,0)-1,114,1),$N120)&gt;0,FALSE()))),IF(UPPER(IFERROR(OFFSET('PRODUCT DATA'!$C$2,MATCH($N120,'PRODUCT DATA'!$B$2:$B$58,0)-1,0),""))="NO","Alcohol Restriction; ","Item Code / Country combination; "),"")&amp;IF($C120="","Quantity; ","")&amp;IF(AND($C120&lt;&gt;"",OR(NOT(ISNUMBER($C120)),$C120&lt;1,$C120&gt;999,MOD($C120,1)&lt;&gt;0)),"Quantity; ","")&amp;IF($D120="","Recipient Name; ","")&amp;IF(LEN($D120)&gt;35,"Recipient Name; ","")&amp;IF($E120="","Recipient Phone; ","")&amp;IF(AND($E120&lt;&gt;"",OR(LEN($E120)&lt;6,LEN($E120)&gt;20,NOT(IFERROR(ISNUMBER(1*$E120),FALSE())))),"Recipient Phone; ","")&amp;IF(LEN($F120)&gt;35,"Recipient Company Name; ","")&amp;IF($G120="","Address Line 1; ","")&amp;IF(LEN($G120)&gt;35,"Address Line 1; ","")&amp;IF(LEN($H120)&gt;35,"Address Line 2; ","")&amp;IF(LEN($I120)&gt;35,"Address Line 3; ","")&amp;IF($J120="","Town; ","")&amp;IF(LEN($J120)&gt;35,"Town; ","")&amp;IF(AND($N120="IE",$K120=""),"County; ","")&amp;IF(LEN($AB120)&gt;35,"County; ","")&amp;IF(AND($L120="",AND($N120&lt;&gt;"AE",$N120&lt;&gt;"QA")),"Postcode; ","")&amp;IF(LEN($L120)&gt;35,"Postcode; ","")&amp;IF($AE120&lt;&gt;"","Postcode; ","")&amp;IF(LEN($O120)&gt;40,"Gift Message 1; ","")&amp;IF(LEN($P120)&gt;40,"Gift Message 2; ","")&amp;IF(LEN($Q120)&gt;40,"Gift Message 3; ","")&amp;IF(LEN($R120)&gt;40,"Gift Message 4; ","")&amp;IF(LEN($S120)&gt;40,"Gift Message 5; ","")&amp;IF(LEN($T120)&gt;40,"Gift Message 6; ","")&amp;IF(LEN($U120)&gt;40,"Gift Message 7; ",""))</f>
        <v/>
      </c>
      <c r="X120" s="44" t="str">
        <f ca="1">IF(COUNTA($A120,$D120:$M120,$O120:$U120)=0,"",IF($A120="","Enter the Item Code (hamper) - type it, paste it, or choose it from the dropdown. ","")&amp;IF(AND($A120&lt;&gt;"",ISNA(MATCH($AC120,'PRODUCT DATA'!$D$2:$D$394,0))),"This Item Code is not recognised. Check the code (case does not matter, but spelling and digits must match exactly) or choose it from the dropdown. ","")&amp;IF($M120="","Enter the Country after the Item Code - type or paste the name or the 2-letter code, or choose it from the dropdown. ","")&amp;IF(AND($M120&lt;&gt;"",NOT(OR(NOT(ISNA(MATCH(IF(UPPER($M120)="UK","GB",$M120),'PRODUCT DATA'!$A$2:$A$58,0))),NOT(ISNA(MATCH(IF(UPPER($M120)="UK","GB",$M120),'PRODUCT DATA'!$B$2:$B$58,0)))))),"This Country is not recognised as either a full name or a 2-letter code. Check the spelling (case does not matter) or choose it from the dropdown. ","")&amp;IF(AND($A120&lt;&gt;"",$M120&lt;&gt;"",NOT(ISNA(MATCH($AC120,'PRODUCT DATA'!$D$2:$D$394,0))),OR(NOT(ISNA(MATCH(IF(UPPER($M120)="UK","GB",$M120),'PRODUCT DATA'!$A$2:$A$58,0))),NOT(ISNA(MATCH(IF(UPPER($M120)="UK","GB",$M120),'PRODUCT DATA'!$B$2:$B$58,0)))),NOT(IFERROR(COUNTIF(OFFSET('PRODUCT DATA'!$F$2,0,MATCH($AC120,'PRODUCT DATA'!$F$1:$NN$1,0)-1,114,1),$N120)&gt;0,FALSE()))),IF(UPPER(IFERROR(OFFSET('PRODUCT DATA'!$C$2,MATCH($N120,'PRODUCT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"),"")&amp;IF($C120="","Enter Quantity. ","")&amp;IF(AND($C120&lt;&gt;"",OR(NOT(ISNUMBER($C120)),$C120&lt;1,$C120&gt;999,MOD($C120,1)&lt;&gt;0)),"Quantity must be a whole number from 1 to 999 (use a quantity above 1 only for a genuine bulk order of identical items to ONE address — otherwise use a separate row per recipient). ","")&amp;IF($D120="","Enter Recipient Name. ","")&amp;IF(LEN($D120)&gt;35,"Recipient Name exceeds 35 characters. ","")&amp;IF($E120="","Enter Recipient Phone. ","")&amp;IF(AND($E120&lt;&gt;"",OR(LEN($E120)&lt;6,LEN($E120)&gt;20,NOT(IFERROR(ISNUMBER(1*$E120),FALSE())))),"Phone must be the LOCAL number for the destination country: digits only, no +, spaces, or country code, 6 to 20 digits. ","")&amp;IF(LEN($F120)&gt;35,"Recipient Company Name exceeds 35 characters. ","")&amp;IF($G120="","Enter Address Line 1. ","")&amp;IF(LEN($G120)&gt;35,"Address Line 1 exceeds the 35-character SAP limit. ","")&amp;IF(LEN($H120)&gt;35,"Address Line 2 exceeds the 35-character SAP limit. ","")&amp;IF(LEN($I120)&gt;35,"Address Line 3 exceeds the 35-character SAP limit. ","")&amp;IF($J120="","Enter Town. This must never be left blank, even if there is no conventional town name. ","")&amp;IF(LEN($J120)&gt;35,"Town exceeds 35 characters. ","")&amp;IF(AND($N120="IE",$K120=""),"County is required for deliveries within the Republic of Ireland. ","")&amp;IF(LEN($AB120)&gt;35,"County exceeds 35 characters. ","")&amp;IF(AND($L120="",AND($N120&lt;&gt;"AE",$N120&lt;&gt;"QA")),"Postcode is required for the selected country. If there is genuinely no postcode, enter the first 3 characters of the area (e.g. D15). ","")&amp;IF(LEN($L120)&gt;35,"Postcode exceeds 35 characters. ","")&amp;IF($AE120&lt;&gt;"",$AE120,"")&amp;IF(LEN($O120)&gt;40,"Gift Message Line 1 exceeds 40 characters. ","")&amp;IF(LEN($P120)&gt;40,"Gift Message Line 2 exceeds 40 characters. ","")&amp;IF(LEN($Q120)&gt;40,"Gift Message Line 3 exceeds 40 characters. ","")&amp;IF(LEN($R120)&gt;40,"Gift Message Line 4 exceeds 40 characters. ","")&amp;IF(LEN($S120)&gt;40,"Gift Message Line 5 exceeds 40 characters. ","")&amp;IF(LEN($T120)&gt;40,"Gift Message Line 6 exceeds 40 characters. ","")&amp;IF(LEN($U120)&gt;40,"Gift Message Line 7 exceeds 40 characters. ",""))</f>
        <v/>
      </c>
      <c r="Y120" s="44" t="str">
        <f t="shared" si="5"/>
        <v/>
      </c>
      <c r="Z120" s="44"/>
      <c r="AA120" s="44"/>
      <c r="AB120" s="32" t="str">
        <f t="shared" si="6"/>
        <v/>
      </c>
      <c r="AC120" s="32" t="str">
        <f>IF($A120="","",IFERROR(LEFT(INDEX('PRODUCT DATA'!$NO$2:$NO$25,MATCH($A120,'PRODUCT DATA'!$NP$2:$NP$25,0)),FIND("|",INDEX('PRODUCT DATA'!$NO$2:$NO$25,MATCH($A120,'PRODUCT DATA'!$NP$2:$NP$25,0)))-1),$A120))</f>
        <v/>
      </c>
      <c r="AD120" s="45"/>
      <c r="AE120" s="45" t="str">
        <f t="shared" si="7"/>
        <v/>
      </c>
    </row>
    <row r="121" spans="1:31" ht="15" customHeight="1" x14ac:dyDescent="0.25">
      <c r="A121" s="40"/>
      <c r="B121" s="43" t="str">
        <f>IF($A121="","",IFERROR(VLOOKUP($AC121,'PRODUCT DATA'!$NR$2:$NS$374,2,FALSE()),"UNKNOWN ITEM CODE - please check"))</f>
        <v/>
      </c>
      <c r="C121" s="39">
        <v>1</v>
      </c>
      <c r="D121" s="39"/>
      <c r="E121" s="40"/>
      <c r="F121" s="41"/>
      <c r="G121" s="39"/>
      <c r="H121" s="41"/>
      <c r="I121" s="41"/>
      <c r="J121" s="39"/>
      <c r="K121" s="41"/>
      <c r="L121" s="40"/>
      <c r="M121" s="40"/>
      <c r="N121" s="42" t="str">
        <f>IF($M121="","",IFERROR(INDEX('PRODUCT DATA'!$B$2:$B$58,MATCH(IF(UPPER($M121)="UK","GB",$M121),'PRODUCT DATA'!$B$2:$B$58,0)),IFERROR(INDEX('PRODUCT DATA'!$B$2:$B$58,MATCH(IF(UPPER($M121)="UK","GB",$M121),'PRODUCT DATA'!$A$2:$A$58,0)),"UNKNOWN COUNTRY - please check")))</f>
        <v/>
      </c>
      <c r="O121" s="41"/>
      <c r="P121" s="41"/>
      <c r="Q121" s="41"/>
      <c r="R121" s="41"/>
      <c r="S121" s="41"/>
      <c r="T121" s="41"/>
      <c r="U121" s="41"/>
      <c r="V121" s="43" t="str">
        <f t="shared" si="4"/>
        <v/>
      </c>
      <c r="W121" s="44" t="str">
        <f ca="1">IF(COUNTA($A121,$D121:$M121,$O121:$U121)=0,"",IF($A121="","Item Code; ","")&amp;IF(AND($A121&lt;&gt;"",ISNA(MATCH($AC121,'PRODUCT DATA'!$D$2:$D$394,0))),"Item Code; ","")&amp;IF($M121="","Country; ","")&amp;IF(AND($M121&lt;&gt;"",NOT(OR(NOT(ISNA(MATCH(IF(UPPER($M121)="UK","GB",$M121),'PRODUCT DATA'!$A$2:$A$58,0))),NOT(ISNA(MATCH(IF(UPPER($M121)="UK","GB",$M121),'PRODUCT DATA'!$B$2:$B$58,0)))))),"Country; ","")&amp;IF(AND($A121&lt;&gt;"",$M121&lt;&gt;"",NOT(ISNA(MATCH($AC121,'PRODUCT DATA'!$D$2:$D$394,0))),OR(NOT(ISNA(MATCH(IF(UPPER($M121)="UK","GB",$M121),'PRODUCT DATA'!$A$2:$A$58,0))),NOT(ISNA(MATCH(IF(UPPER($M121)="UK","GB",$M121),'PRODUCT DATA'!$B$2:$B$58,0)))),NOT(IFERROR(COUNTIF(OFFSET('PRODUCT DATA'!$F$2,0,MATCH($AC121,'PRODUCT DATA'!$F$1:$NN$1,0)-1,114,1),$N121)&gt;0,FALSE()))),IF(UPPER(IFERROR(OFFSET('PRODUCT DATA'!$C$2,MATCH($N121,'PRODUCT DATA'!$B$2:$B$58,0)-1,0),""))="NO","Alcohol Restriction; ","Item Code / Country combination; "),"")&amp;IF($C121="","Quantity; ","")&amp;IF(AND($C121&lt;&gt;"",OR(NOT(ISNUMBER($C121)),$C121&lt;1,$C121&gt;999,MOD($C121,1)&lt;&gt;0)),"Quantity; ","")&amp;IF($D121="","Recipient Name; ","")&amp;IF(LEN($D121)&gt;35,"Recipient Name; ","")&amp;IF($E121="","Recipient Phone; ","")&amp;IF(AND($E121&lt;&gt;"",OR(LEN($E121)&lt;6,LEN($E121)&gt;20,NOT(IFERROR(ISNUMBER(1*$E121),FALSE())))),"Recipient Phone; ","")&amp;IF(LEN($F121)&gt;35,"Recipient Company Name; ","")&amp;IF($G121="","Address Line 1; ","")&amp;IF(LEN($G121)&gt;35,"Address Line 1; ","")&amp;IF(LEN($H121)&gt;35,"Address Line 2; ","")&amp;IF(LEN($I121)&gt;35,"Address Line 3; ","")&amp;IF($J121="","Town; ","")&amp;IF(LEN($J121)&gt;35,"Town; ","")&amp;IF(AND($N121="IE",$K121=""),"County; ","")&amp;IF(LEN($AB121)&gt;35,"County; ","")&amp;IF(AND($L121="",AND($N121&lt;&gt;"AE",$N121&lt;&gt;"QA")),"Postcode; ","")&amp;IF(LEN($L121)&gt;35,"Postcode; ","")&amp;IF($AE121&lt;&gt;"","Postcode; ","")&amp;IF(LEN($O121)&gt;40,"Gift Message 1; ","")&amp;IF(LEN($P121)&gt;40,"Gift Message 2; ","")&amp;IF(LEN($Q121)&gt;40,"Gift Message 3; ","")&amp;IF(LEN($R121)&gt;40,"Gift Message 4; ","")&amp;IF(LEN($S121)&gt;40,"Gift Message 5; ","")&amp;IF(LEN($T121)&gt;40,"Gift Message 6; ","")&amp;IF(LEN($U121)&gt;40,"Gift Message 7; ",""))</f>
        <v/>
      </c>
      <c r="X121" s="44" t="str">
        <f ca="1">IF(COUNTA($A121,$D121:$M121,$O121:$U121)=0,"",IF($A121="","Enter the Item Code (hamper) - type it, paste it, or choose it from the dropdown. ","")&amp;IF(AND($A121&lt;&gt;"",ISNA(MATCH($AC121,'PRODUCT DATA'!$D$2:$D$394,0))),"This Item Code is not recognised. Check the code (case does not matter, but spelling and digits must match exactly) or choose it from the dropdown. ","")&amp;IF($M121="","Enter the Country after the Item Code - type or paste the name or the 2-letter code, or choose it from the dropdown. ","")&amp;IF(AND($M121&lt;&gt;"",NOT(OR(NOT(ISNA(MATCH(IF(UPPER($M121)="UK","GB",$M121),'PRODUCT DATA'!$A$2:$A$58,0))),NOT(ISNA(MATCH(IF(UPPER($M121)="UK","GB",$M121),'PRODUCT DATA'!$B$2:$B$58,0)))))),"This Country is not recognised as either a full name or a 2-letter code. Check the spelling (case does not matter) or choose it from the dropdown. ","")&amp;IF(AND($A121&lt;&gt;"",$M121&lt;&gt;"",NOT(ISNA(MATCH($AC121,'PRODUCT DATA'!$D$2:$D$394,0))),OR(NOT(ISNA(MATCH(IF(UPPER($M121)="UK","GB",$M121),'PRODUCT DATA'!$A$2:$A$58,0))),NOT(ISNA(MATCH(IF(UPPER($M121)="UK","GB",$M121),'PRODUCT DATA'!$B$2:$B$58,0)))),NOT(IFERROR(COUNTIF(OFFSET('PRODUCT DATA'!$F$2,0,MATCH($AC121,'PRODUCT DATA'!$F$1:$NN$1,0)-1,114,1),$N121)&gt;0,FALSE()))),IF(UPPER(IFERROR(OFFSET('PRODUCT DATA'!$C$2,MATCH($N121,'PRODUCT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"),"")&amp;IF($C121="","Enter Quantity. ","")&amp;IF(AND($C121&lt;&gt;"",OR(NOT(ISNUMBER($C121)),$C121&lt;1,$C121&gt;999,MOD($C121,1)&lt;&gt;0)),"Quantity must be a whole number from 1 to 999 (use a quantity above 1 only for a genuine bulk order of identical items to ONE address — otherwise use a separate row per recipient). ","")&amp;IF($D121="","Enter Recipient Name. ","")&amp;IF(LEN($D121)&gt;35,"Recipient Name exceeds 35 characters. ","")&amp;IF($E121="","Enter Recipient Phone. ","")&amp;IF(AND($E121&lt;&gt;"",OR(LEN($E121)&lt;6,LEN($E121)&gt;20,NOT(IFERROR(ISNUMBER(1*$E121),FALSE())))),"Phone must be the LOCAL number for the destination country: digits only, no +, spaces, or country code, 6 to 20 digits. ","")&amp;IF(LEN($F121)&gt;35,"Recipient Company Name exceeds 35 characters. ","")&amp;IF($G121="","Enter Address Line 1. ","")&amp;IF(LEN($G121)&gt;35,"Address Line 1 exceeds the 35-character SAP limit. ","")&amp;IF(LEN($H121)&gt;35,"Address Line 2 exceeds the 35-character SAP limit. ","")&amp;IF(LEN($I121)&gt;35,"Address Line 3 exceeds the 35-character SAP limit. ","")&amp;IF($J121="","Enter Town. This must never be left blank, even if there is no conventional town name. ","")&amp;IF(LEN($J121)&gt;35,"Town exceeds 35 characters. ","")&amp;IF(AND($N121="IE",$K121=""),"County is required for deliveries within the Republic of Ireland. ","")&amp;IF(LEN($AB121)&gt;35,"County exceeds 35 characters. ","")&amp;IF(AND($L121="",AND($N121&lt;&gt;"AE",$N121&lt;&gt;"QA")),"Postcode is required for the selected country. If there is genuinely no postcode, enter the first 3 characters of the area (e.g. D15). ","")&amp;IF(LEN($L121)&gt;35,"Postcode exceeds 35 characters. ","")&amp;IF($AE121&lt;&gt;"",$AE121,"")&amp;IF(LEN($O121)&gt;40,"Gift Message Line 1 exceeds 40 characters. ","")&amp;IF(LEN($P121)&gt;40,"Gift Message Line 2 exceeds 40 characters. ","")&amp;IF(LEN($Q121)&gt;40,"Gift Message Line 3 exceeds 40 characters. ","")&amp;IF(LEN($R121)&gt;40,"Gift Message Line 4 exceeds 40 characters. ","")&amp;IF(LEN($S121)&gt;40,"Gift Message Line 5 exceeds 40 characters. ","")&amp;IF(LEN($T121)&gt;40,"Gift Message Line 6 exceeds 40 characters. ","")&amp;IF(LEN($U121)&gt;40,"Gift Message Line 7 exceeds 40 characters. ",""))</f>
        <v/>
      </c>
      <c r="Y121" s="44" t="str">
        <f t="shared" si="5"/>
        <v/>
      </c>
      <c r="Z121" s="44"/>
      <c r="AA121" s="44"/>
      <c r="AB121" s="32" t="str">
        <f t="shared" si="6"/>
        <v/>
      </c>
      <c r="AC121" s="32" t="str">
        <f>IF($A121="","",IFERROR(LEFT(INDEX('PRODUCT DATA'!$NO$2:$NO$25,MATCH($A121,'PRODUCT DATA'!$NP$2:$NP$25,0)),FIND("|",INDEX('PRODUCT DATA'!$NO$2:$NO$25,MATCH($A121,'PRODUCT DATA'!$NP$2:$NP$25,0)))-1),$A121))</f>
        <v/>
      </c>
      <c r="AD121" s="45"/>
      <c r="AE121" s="45" t="str">
        <f t="shared" si="7"/>
        <v/>
      </c>
    </row>
    <row r="122" spans="1:31" ht="15" customHeight="1" x14ac:dyDescent="0.25">
      <c r="A122" s="40"/>
      <c r="B122" s="43" t="str">
        <f>IF($A122="","",IFERROR(VLOOKUP($AC122,'PRODUCT DATA'!$NR$2:$NS$374,2,FALSE()),"UNKNOWN ITEM CODE - please check"))</f>
        <v/>
      </c>
      <c r="C122" s="39">
        <v>1</v>
      </c>
      <c r="D122" s="39"/>
      <c r="E122" s="40"/>
      <c r="F122" s="41"/>
      <c r="G122" s="39"/>
      <c r="H122" s="41"/>
      <c r="I122" s="41"/>
      <c r="J122" s="39"/>
      <c r="K122" s="41"/>
      <c r="L122" s="40"/>
      <c r="M122" s="40"/>
      <c r="N122" s="42" t="str">
        <f>IF($M122="","",IFERROR(INDEX('PRODUCT DATA'!$B$2:$B$58,MATCH(IF(UPPER($M122)="UK","GB",$M122),'PRODUCT DATA'!$B$2:$B$58,0)),IFERROR(INDEX('PRODUCT DATA'!$B$2:$B$58,MATCH(IF(UPPER($M122)="UK","GB",$M122),'PRODUCT DATA'!$A$2:$A$58,0)),"UNKNOWN COUNTRY - please check")))</f>
        <v/>
      </c>
      <c r="O122" s="41"/>
      <c r="P122" s="41"/>
      <c r="Q122" s="41"/>
      <c r="R122" s="41"/>
      <c r="S122" s="41"/>
      <c r="T122" s="41"/>
      <c r="U122" s="41"/>
      <c r="V122" s="43" t="str">
        <f t="shared" si="4"/>
        <v/>
      </c>
      <c r="W122" s="44" t="str">
        <f ca="1">IF(COUNTA($A122,$D122:$M122,$O122:$U122)=0,"",IF($A122="","Item Code; ","")&amp;IF(AND($A122&lt;&gt;"",ISNA(MATCH($AC122,'PRODUCT DATA'!$D$2:$D$394,0))),"Item Code; ","")&amp;IF($M122="","Country; ","")&amp;IF(AND($M122&lt;&gt;"",NOT(OR(NOT(ISNA(MATCH(IF(UPPER($M122)="UK","GB",$M122),'PRODUCT DATA'!$A$2:$A$58,0))),NOT(ISNA(MATCH(IF(UPPER($M122)="UK","GB",$M122),'PRODUCT DATA'!$B$2:$B$58,0)))))),"Country; ","")&amp;IF(AND($A122&lt;&gt;"",$M122&lt;&gt;"",NOT(ISNA(MATCH($AC122,'PRODUCT DATA'!$D$2:$D$394,0))),OR(NOT(ISNA(MATCH(IF(UPPER($M122)="UK","GB",$M122),'PRODUCT DATA'!$A$2:$A$58,0))),NOT(ISNA(MATCH(IF(UPPER($M122)="UK","GB",$M122),'PRODUCT DATA'!$B$2:$B$58,0)))),NOT(IFERROR(COUNTIF(OFFSET('PRODUCT DATA'!$F$2,0,MATCH($AC122,'PRODUCT DATA'!$F$1:$NN$1,0)-1,114,1),$N122)&gt;0,FALSE()))),IF(UPPER(IFERROR(OFFSET('PRODUCT DATA'!$C$2,MATCH($N122,'PRODUCT DATA'!$B$2:$B$58,0)-1,0),""))="NO","Alcohol Restriction; ","Item Code / Country combination; "),"")&amp;IF($C122="","Quantity; ","")&amp;IF(AND($C122&lt;&gt;"",OR(NOT(ISNUMBER($C122)),$C122&lt;1,$C122&gt;999,MOD($C122,1)&lt;&gt;0)),"Quantity; ","")&amp;IF($D122="","Recipient Name; ","")&amp;IF(LEN($D122)&gt;35,"Recipient Name; ","")&amp;IF($E122="","Recipient Phone; ","")&amp;IF(AND($E122&lt;&gt;"",OR(LEN($E122)&lt;6,LEN($E122)&gt;20,NOT(IFERROR(ISNUMBER(1*$E122),FALSE())))),"Recipient Phone; ","")&amp;IF(LEN($F122)&gt;35,"Recipient Company Name; ","")&amp;IF($G122="","Address Line 1; ","")&amp;IF(LEN($G122)&gt;35,"Address Line 1; ","")&amp;IF(LEN($H122)&gt;35,"Address Line 2; ","")&amp;IF(LEN($I122)&gt;35,"Address Line 3; ","")&amp;IF($J122="","Town; ","")&amp;IF(LEN($J122)&gt;35,"Town; ","")&amp;IF(AND($N122="IE",$K122=""),"County; ","")&amp;IF(LEN($AB122)&gt;35,"County; ","")&amp;IF(AND($L122="",AND($N122&lt;&gt;"AE",$N122&lt;&gt;"QA")),"Postcode; ","")&amp;IF(LEN($L122)&gt;35,"Postcode; ","")&amp;IF($AE122&lt;&gt;"","Postcode; ","")&amp;IF(LEN($O122)&gt;40,"Gift Message 1; ","")&amp;IF(LEN($P122)&gt;40,"Gift Message 2; ","")&amp;IF(LEN($Q122)&gt;40,"Gift Message 3; ","")&amp;IF(LEN($R122)&gt;40,"Gift Message 4; ","")&amp;IF(LEN($S122)&gt;40,"Gift Message 5; ","")&amp;IF(LEN($T122)&gt;40,"Gift Message 6; ","")&amp;IF(LEN($U122)&gt;40,"Gift Message 7; ",""))</f>
        <v/>
      </c>
      <c r="X122" s="44" t="str">
        <f ca="1">IF(COUNTA($A122,$D122:$M122,$O122:$U122)=0,"",IF($A122="","Enter the Item Code (hamper) - type it, paste it, or choose it from the dropdown. ","")&amp;IF(AND($A122&lt;&gt;"",ISNA(MATCH($AC122,'PRODUCT DATA'!$D$2:$D$394,0))),"This Item Code is not recognised. Check the code (case does not matter, but spelling and digits must match exactly) or choose it from the dropdown. ","")&amp;IF($M122="","Enter the Country after the Item Code - type or paste the name or the 2-letter code, or choose it from the dropdown. ","")&amp;IF(AND($M122&lt;&gt;"",NOT(OR(NOT(ISNA(MATCH(IF(UPPER($M122)="UK","GB",$M122),'PRODUCT DATA'!$A$2:$A$58,0))),NOT(ISNA(MATCH(IF(UPPER($M122)="UK","GB",$M122),'PRODUCT DATA'!$B$2:$B$58,0)))))),"This Country is not recognised as either a full name or a 2-letter code. Check the spelling (case does not matter) or choose it from the dropdown. ","")&amp;IF(AND($A122&lt;&gt;"",$M122&lt;&gt;"",NOT(ISNA(MATCH($AC122,'PRODUCT DATA'!$D$2:$D$394,0))),OR(NOT(ISNA(MATCH(IF(UPPER($M122)="UK","GB",$M122),'PRODUCT DATA'!$A$2:$A$58,0))),NOT(ISNA(MATCH(IF(UPPER($M122)="UK","GB",$M122),'PRODUCT DATA'!$B$2:$B$58,0)))),NOT(IFERROR(COUNTIF(OFFSET('PRODUCT DATA'!$F$2,0,MATCH($AC122,'PRODUCT DATA'!$F$1:$NN$1,0)-1,114,1),$N122)&gt;0,FALSE()))),IF(UPPER(IFERROR(OFFSET('PRODUCT DATA'!$C$2,MATCH($N122,'PRODUCT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"),"")&amp;IF($C122="","Enter Quantity. ","")&amp;IF(AND($C122&lt;&gt;"",OR(NOT(ISNUMBER($C122)),$C122&lt;1,$C122&gt;999,MOD($C122,1)&lt;&gt;0)),"Quantity must be a whole number from 1 to 999 (use a quantity above 1 only for a genuine bulk order of identical items to ONE address — otherwise use a separate row per recipient). ","")&amp;IF($D122="","Enter Recipient Name. ","")&amp;IF(LEN($D122)&gt;35,"Recipient Name exceeds 35 characters. ","")&amp;IF($E122="","Enter Recipient Phone. ","")&amp;IF(AND($E122&lt;&gt;"",OR(LEN($E122)&lt;6,LEN($E122)&gt;20,NOT(IFERROR(ISNUMBER(1*$E122),FALSE())))),"Phone must be the LOCAL number for the destination country: digits only, no +, spaces, or country code, 6 to 20 digits. ","")&amp;IF(LEN($F122)&gt;35,"Recipient Company Name exceeds 35 characters. ","")&amp;IF($G122="","Enter Address Line 1. ","")&amp;IF(LEN($G122)&gt;35,"Address Line 1 exceeds the 35-character SAP limit. ","")&amp;IF(LEN($H122)&gt;35,"Address Line 2 exceeds the 35-character SAP limit. ","")&amp;IF(LEN($I122)&gt;35,"Address Line 3 exceeds the 35-character SAP limit. ","")&amp;IF($J122="","Enter Town. This must never be left blank, even if there is no conventional town name. ","")&amp;IF(LEN($J122)&gt;35,"Town exceeds 35 characters. ","")&amp;IF(AND($N122="IE",$K122=""),"County is required for deliveries within the Republic of Ireland. ","")&amp;IF(LEN($AB122)&gt;35,"County exceeds 35 characters. ","")&amp;IF(AND($L122="",AND($N122&lt;&gt;"AE",$N122&lt;&gt;"QA")),"Postcode is required for the selected country. If there is genuinely no postcode, enter the first 3 characters of the area (e.g. D15). ","")&amp;IF(LEN($L122)&gt;35,"Postcode exceeds 35 characters. ","")&amp;IF($AE122&lt;&gt;"",$AE122,"")&amp;IF(LEN($O122)&gt;40,"Gift Message Line 1 exceeds 40 characters. ","")&amp;IF(LEN($P122)&gt;40,"Gift Message Line 2 exceeds 40 characters. ","")&amp;IF(LEN($Q122)&gt;40,"Gift Message Line 3 exceeds 40 characters. ","")&amp;IF(LEN($R122)&gt;40,"Gift Message Line 4 exceeds 40 characters. ","")&amp;IF(LEN($S122)&gt;40,"Gift Message Line 5 exceeds 40 characters. ","")&amp;IF(LEN($T122)&gt;40,"Gift Message Line 6 exceeds 40 characters. ","")&amp;IF(LEN($U122)&gt;40,"Gift Message Line 7 exceeds 40 characters. ",""))</f>
        <v/>
      </c>
      <c r="Y122" s="44" t="str">
        <f t="shared" si="5"/>
        <v/>
      </c>
      <c r="Z122" s="44"/>
      <c r="AA122" s="44"/>
      <c r="AB122" s="32" t="str">
        <f t="shared" si="6"/>
        <v/>
      </c>
      <c r="AC122" s="32" t="str">
        <f>IF($A122="","",IFERROR(LEFT(INDEX('PRODUCT DATA'!$NO$2:$NO$25,MATCH($A122,'PRODUCT DATA'!$NP$2:$NP$25,0)),FIND("|",INDEX('PRODUCT DATA'!$NO$2:$NO$25,MATCH($A122,'PRODUCT DATA'!$NP$2:$NP$25,0)))-1),$A122))</f>
        <v/>
      </c>
      <c r="AD122" s="45"/>
      <c r="AE122" s="45" t="str">
        <f t="shared" si="7"/>
        <v/>
      </c>
    </row>
    <row r="123" spans="1:31" ht="15" customHeight="1" x14ac:dyDescent="0.25">
      <c r="A123" s="40"/>
      <c r="B123" s="43" t="str">
        <f>IF($A123="","",IFERROR(VLOOKUP($AC123,'PRODUCT DATA'!$NR$2:$NS$374,2,FALSE()),"UNKNOWN ITEM CODE - please check"))</f>
        <v/>
      </c>
      <c r="C123" s="39">
        <v>1</v>
      </c>
      <c r="D123" s="39"/>
      <c r="E123" s="40"/>
      <c r="F123" s="41"/>
      <c r="G123" s="39"/>
      <c r="H123" s="41"/>
      <c r="I123" s="41"/>
      <c r="J123" s="39"/>
      <c r="K123" s="41"/>
      <c r="L123" s="40"/>
      <c r="M123" s="40"/>
      <c r="N123" s="42" t="str">
        <f>IF($M123="","",IFERROR(INDEX('PRODUCT DATA'!$B$2:$B$58,MATCH(IF(UPPER($M123)="UK","GB",$M123),'PRODUCT DATA'!$B$2:$B$58,0)),IFERROR(INDEX('PRODUCT DATA'!$B$2:$B$58,MATCH(IF(UPPER($M123)="UK","GB",$M123),'PRODUCT DATA'!$A$2:$A$58,0)),"UNKNOWN COUNTRY - please check")))</f>
        <v/>
      </c>
      <c r="O123" s="41"/>
      <c r="P123" s="41"/>
      <c r="Q123" s="41"/>
      <c r="R123" s="41"/>
      <c r="S123" s="41"/>
      <c r="T123" s="41"/>
      <c r="U123" s="41"/>
      <c r="V123" s="43" t="str">
        <f t="shared" si="4"/>
        <v/>
      </c>
      <c r="W123" s="44" t="str">
        <f ca="1">IF(COUNTA($A123,$D123:$M123,$O123:$U123)=0,"",IF($A123="","Item Code; ","")&amp;IF(AND($A123&lt;&gt;"",ISNA(MATCH($AC123,'PRODUCT DATA'!$D$2:$D$394,0))),"Item Code; ","")&amp;IF($M123="","Country; ","")&amp;IF(AND($M123&lt;&gt;"",NOT(OR(NOT(ISNA(MATCH(IF(UPPER($M123)="UK","GB",$M123),'PRODUCT DATA'!$A$2:$A$58,0))),NOT(ISNA(MATCH(IF(UPPER($M123)="UK","GB",$M123),'PRODUCT DATA'!$B$2:$B$58,0)))))),"Country; ","")&amp;IF(AND($A123&lt;&gt;"",$M123&lt;&gt;"",NOT(ISNA(MATCH($AC123,'PRODUCT DATA'!$D$2:$D$394,0))),OR(NOT(ISNA(MATCH(IF(UPPER($M123)="UK","GB",$M123),'PRODUCT DATA'!$A$2:$A$58,0))),NOT(ISNA(MATCH(IF(UPPER($M123)="UK","GB",$M123),'PRODUCT DATA'!$B$2:$B$58,0)))),NOT(IFERROR(COUNTIF(OFFSET('PRODUCT DATA'!$F$2,0,MATCH($AC123,'PRODUCT DATA'!$F$1:$NN$1,0)-1,114,1),$N123)&gt;0,FALSE()))),IF(UPPER(IFERROR(OFFSET('PRODUCT DATA'!$C$2,MATCH($N123,'PRODUCT DATA'!$B$2:$B$58,0)-1,0),""))="NO","Alcohol Restriction; ","Item Code / Country combination; "),"")&amp;IF($C123="","Quantity; ","")&amp;IF(AND($C123&lt;&gt;"",OR(NOT(ISNUMBER($C123)),$C123&lt;1,$C123&gt;999,MOD($C123,1)&lt;&gt;0)),"Quantity; ","")&amp;IF($D123="","Recipient Name; ","")&amp;IF(LEN($D123)&gt;35,"Recipient Name; ","")&amp;IF($E123="","Recipient Phone; ","")&amp;IF(AND($E123&lt;&gt;"",OR(LEN($E123)&lt;6,LEN($E123)&gt;20,NOT(IFERROR(ISNUMBER(1*$E123),FALSE())))),"Recipient Phone; ","")&amp;IF(LEN($F123)&gt;35,"Recipient Company Name; ","")&amp;IF($G123="","Address Line 1; ","")&amp;IF(LEN($G123)&gt;35,"Address Line 1; ","")&amp;IF(LEN($H123)&gt;35,"Address Line 2; ","")&amp;IF(LEN($I123)&gt;35,"Address Line 3; ","")&amp;IF($J123="","Town; ","")&amp;IF(LEN($J123)&gt;35,"Town; ","")&amp;IF(AND($N123="IE",$K123=""),"County; ","")&amp;IF(LEN($AB123)&gt;35,"County; ","")&amp;IF(AND($L123="",AND($N123&lt;&gt;"AE",$N123&lt;&gt;"QA")),"Postcode; ","")&amp;IF(LEN($L123)&gt;35,"Postcode; ","")&amp;IF($AE123&lt;&gt;"","Postcode; ","")&amp;IF(LEN($O123)&gt;40,"Gift Message 1; ","")&amp;IF(LEN($P123)&gt;40,"Gift Message 2; ","")&amp;IF(LEN($Q123)&gt;40,"Gift Message 3; ","")&amp;IF(LEN($R123)&gt;40,"Gift Message 4; ","")&amp;IF(LEN($S123)&gt;40,"Gift Message 5; ","")&amp;IF(LEN($T123)&gt;40,"Gift Message 6; ","")&amp;IF(LEN($U123)&gt;40,"Gift Message 7; ",""))</f>
        <v/>
      </c>
      <c r="X123" s="44" t="str">
        <f ca="1">IF(COUNTA($A123,$D123:$M123,$O123:$U123)=0,"",IF($A123="","Enter the Item Code (hamper) - type it, paste it, or choose it from the dropdown. ","")&amp;IF(AND($A123&lt;&gt;"",ISNA(MATCH($AC123,'PRODUCT DATA'!$D$2:$D$394,0))),"This Item Code is not recognised. Check the code (case does not matter, but spelling and digits must match exactly) or choose it from the dropdown. ","")&amp;IF($M123="","Enter the Country after the Item Code - type or paste the name or the 2-letter code, or choose it from the dropdown. ","")&amp;IF(AND($M123&lt;&gt;"",NOT(OR(NOT(ISNA(MATCH(IF(UPPER($M123)="UK","GB",$M123),'PRODUCT DATA'!$A$2:$A$58,0))),NOT(ISNA(MATCH(IF(UPPER($M123)="UK","GB",$M123),'PRODUCT DATA'!$B$2:$B$58,0)))))),"This Country is not recognised as either a full name or a 2-letter code. Check the spelling (case does not matter) or choose it from the dropdown. ","")&amp;IF(AND($A123&lt;&gt;"",$M123&lt;&gt;"",NOT(ISNA(MATCH($AC123,'PRODUCT DATA'!$D$2:$D$394,0))),OR(NOT(ISNA(MATCH(IF(UPPER($M123)="UK","GB",$M123),'PRODUCT DATA'!$A$2:$A$58,0))),NOT(ISNA(MATCH(IF(UPPER($M123)="UK","GB",$M123),'PRODUCT DATA'!$B$2:$B$58,0)))),NOT(IFERROR(COUNTIF(OFFSET('PRODUCT DATA'!$F$2,0,MATCH($AC123,'PRODUCT DATA'!$F$1:$NN$1,0)-1,114,1),$N123)&gt;0,FALSE()))),IF(UPPER(IFERROR(OFFSET('PRODUCT DATA'!$C$2,MATCH($N123,'PRODUCT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"),"")&amp;IF($C123="","Enter Quantity. ","")&amp;IF(AND($C123&lt;&gt;"",OR(NOT(ISNUMBER($C123)),$C123&lt;1,$C123&gt;999,MOD($C123,1)&lt;&gt;0)),"Quantity must be a whole number from 1 to 999 (use a quantity above 1 only for a genuine bulk order of identical items to ONE address — otherwise use a separate row per recipient). ","")&amp;IF($D123="","Enter Recipient Name. ","")&amp;IF(LEN($D123)&gt;35,"Recipient Name exceeds 35 characters. ","")&amp;IF($E123="","Enter Recipient Phone. ","")&amp;IF(AND($E123&lt;&gt;"",OR(LEN($E123)&lt;6,LEN($E123)&gt;20,NOT(IFERROR(ISNUMBER(1*$E123),FALSE())))),"Phone must be the LOCAL number for the destination country: digits only, no +, spaces, or country code, 6 to 20 digits. ","")&amp;IF(LEN($F123)&gt;35,"Recipient Company Name exceeds 35 characters. ","")&amp;IF($G123="","Enter Address Line 1. ","")&amp;IF(LEN($G123)&gt;35,"Address Line 1 exceeds the 35-character SAP limit. ","")&amp;IF(LEN($H123)&gt;35,"Address Line 2 exceeds the 35-character SAP limit. ","")&amp;IF(LEN($I123)&gt;35,"Address Line 3 exceeds the 35-character SAP limit. ","")&amp;IF($J123="","Enter Town. This must never be left blank, even if there is no conventional town name. ","")&amp;IF(LEN($J123)&gt;35,"Town exceeds 35 characters. ","")&amp;IF(AND($N123="IE",$K123=""),"County is required for deliveries within the Republic of Ireland. ","")&amp;IF(LEN($AB123)&gt;35,"County exceeds 35 characters. ","")&amp;IF(AND($L123="",AND($N123&lt;&gt;"AE",$N123&lt;&gt;"QA")),"Postcode is required for the selected country. If there is genuinely no postcode, enter the first 3 characters of the area (e.g. D15). ","")&amp;IF(LEN($L123)&gt;35,"Postcode exceeds 35 characters. ","")&amp;IF($AE123&lt;&gt;"",$AE123,"")&amp;IF(LEN($O123)&gt;40,"Gift Message Line 1 exceeds 40 characters. ","")&amp;IF(LEN($P123)&gt;40,"Gift Message Line 2 exceeds 40 characters. ","")&amp;IF(LEN($Q123)&gt;40,"Gift Message Line 3 exceeds 40 characters. ","")&amp;IF(LEN($R123)&gt;40,"Gift Message Line 4 exceeds 40 characters. ","")&amp;IF(LEN($S123)&gt;40,"Gift Message Line 5 exceeds 40 characters. ","")&amp;IF(LEN($T123)&gt;40,"Gift Message Line 6 exceeds 40 characters. ","")&amp;IF(LEN($U123)&gt;40,"Gift Message Line 7 exceeds 40 characters. ",""))</f>
        <v/>
      </c>
      <c r="Y123" s="44" t="str">
        <f t="shared" si="5"/>
        <v/>
      </c>
      <c r="Z123" s="44"/>
      <c r="AA123" s="44"/>
      <c r="AB123" s="32" t="str">
        <f t="shared" si="6"/>
        <v/>
      </c>
      <c r="AC123" s="32" t="str">
        <f>IF($A123="","",IFERROR(LEFT(INDEX('PRODUCT DATA'!$NO$2:$NO$25,MATCH($A123,'PRODUCT DATA'!$NP$2:$NP$25,0)),FIND("|",INDEX('PRODUCT DATA'!$NO$2:$NO$25,MATCH($A123,'PRODUCT DATA'!$NP$2:$NP$25,0)))-1),$A123))</f>
        <v/>
      </c>
      <c r="AD123" s="45"/>
      <c r="AE123" s="45" t="str">
        <f t="shared" si="7"/>
        <v/>
      </c>
    </row>
    <row r="124" spans="1:31" ht="15" customHeight="1" x14ac:dyDescent="0.25">
      <c r="A124" s="40"/>
      <c r="B124" s="43" t="str">
        <f>IF($A124="","",IFERROR(VLOOKUP($AC124,'PRODUCT DATA'!$NR$2:$NS$374,2,FALSE()),"UNKNOWN ITEM CODE - please check"))</f>
        <v/>
      </c>
      <c r="C124" s="39">
        <v>1</v>
      </c>
      <c r="D124" s="39"/>
      <c r="E124" s="40"/>
      <c r="F124" s="41"/>
      <c r="G124" s="39"/>
      <c r="H124" s="41"/>
      <c r="I124" s="41"/>
      <c r="J124" s="39"/>
      <c r="K124" s="41"/>
      <c r="L124" s="40"/>
      <c r="M124" s="40"/>
      <c r="N124" s="42" t="str">
        <f>IF($M124="","",IFERROR(INDEX('PRODUCT DATA'!$B$2:$B$58,MATCH(IF(UPPER($M124)="UK","GB",$M124),'PRODUCT DATA'!$B$2:$B$58,0)),IFERROR(INDEX('PRODUCT DATA'!$B$2:$B$58,MATCH(IF(UPPER($M124)="UK","GB",$M124),'PRODUCT DATA'!$A$2:$A$58,0)),"UNKNOWN COUNTRY - please check")))</f>
        <v/>
      </c>
      <c r="O124" s="41"/>
      <c r="P124" s="41"/>
      <c r="Q124" s="41"/>
      <c r="R124" s="41"/>
      <c r="S124" s="41"/>
      <c r="T124" s="41"/>
      <c r="U124" s="41"/>
      <c r="V124" s="43" t="str">
        <f t="shared" si="4"/>
        <v/>
      </c>
      <c r="W124" s="44" t="str">
        <f ca="1">IF(COUNTA($A124,$D124:$M124,$O124:$U124)=0,"",IF($A124="","Item Code; ","")&amp;IF(AND($A124&lt;&gt;"",ISNA(MATCH($AC124,'PRODUCT DATA'!$D$2:$D$394,0))),"Item Code; ","")&amp;IF($M124="","Country; ","")&amp;IF(AND($M124&lt;&gt;"",NOT(OR(NOT(ISNA(MATCH(IF(UPPER($M124)="UK","GB",$M124),'PRODUCT DATA'!$A$2:$A$58,0))),NOT(ISNA(MATCH(IF(UPPER($M124)="UK","GB",$M124),'PRODUCT DATA'!$B$2:$B$58,0)))))),"Country; ","")&amp;IF(AND($A124&lt;&gt;"",$M124&lt;&gt;"",NOT(ISNA(MATCH($AC124,'PRODUCT DATA'!$D$2:$D$394,0))),OR(NOT(ISNA(MATCH(IF(UPPER($M124)="UK","GB",$M124),'PRODUCT DATA'!$A$2:$A$58,0))),NOT(ISNA(MATCH(IF(UPPER($M124)="UK","GB",$M124),'PRODUCT DATA'!$B$2:$B$58,0)))),NOT(IFERROR(COUNTIF(OFFSET('PRODUCT DATA'!$F$2,0,MATCH($AC124,'PRODUCT DATA'!$F$1:$NN$1,0)-1,114,1),$N124)&gt;0,FALSE()))),IF(UPPER(IFERROR(OFFSET('PRODUCT DATA'!$C$2,MATCH($N124,'PRODUCT DATA'!$B$2:$B$58,0)-1,0),""))="NO","Alcohol Restriction; ","Item Code / Country combination; "),"")&amp;IF($C124="","Quantity; ","")&amp;IF(AND($C124&lt;&gt;"",OR(NOT(ISNUMBER($C124)),$C124&lt;1,$C124&gt;999,MOD($C124,1)&lt;&gt;0)),"Quantity; ","")&amp;IF($D124="","Recipient Name; ","")&amp;IF(LEN($D124)&gt;35,"Recipient Name; ","")&amp;IF($E124="","Recipient Phone; ","")&amp;IF(AND($E124&lt;&gt;"",OR(LEN($E124)&lt;6,LEN($E124)&gt;20,NOT(IFERROR(ISNUMBER(1*$E124),FALSE())))),"Recipient Phone; ","")&amp;IF(LEN($F124)&gt;35,"Recipient Company Name; ","")&amp;IF($G124="","Address Line 1; ","")&amp;IF(LEN($G124)&gt;35,"Address Line 1; ","")&amp;IF(LEN($H124)&gt;35,"Address Line 2; ","")&amp;IF(LEN($I124)&gt;35,"Address Line 3; ","")&amp;IF($J124="","Town; ","")&amp;IF(LEN($J124)&gt;35,"Town; ","")&amp;IF(AND($N124="IE",$K124=""),"County; ","")&amp;IF(LEN($AB124)&gt;35,"County; ","")&amp;IF(AND($L124="",AND($N124&lt;&gt;"AE",$N124&lt;&gt;"QA")),"Postcode; ","")&amp;IF(LEN($L124)&gt;35,"Postcode; ","")&amp;IF($AE124&lt;&gt;"","Postcode; ","")&amp;IF(LEN($O124)&gt;40,"Gift Message 1; ","")&amp;IF(LEN($P124)&gt;40,"Gift Message 2; ","")&amp;IF(LEN($Q124)&gt;40,"Gift Message 3; ","")&amp;IF(LEN($R124)&gt;40,"Gift Message 4; ","")&amp;IF(LEN($S124)&gt;40,"Gift Message 5; ","")&amp;IF(LEN($T124)&gt;40,"Gift Message 6; ","")&amp;IF(LEN($U124)&gt;40,"Gift Message 7; ",""))</f>
        <v/>
      </c>
      <c r="X124" s="44" t="str">
        <f ca="1">IF(COUNTA($A124,$D124:$M124,$O124:$U124)=0,"",IF($A124="","Enter the Item Code (hamper) - type it, paste it, or choose it from the dropdown. ","")&amp;IF(AND($A124&lt;&gt;"",ISNA(MATCH($AC124,'PRODUCT DATA'!$D$2:$D$394,0))),"This Item Code is not recognised. Check the code (case does not matter, but spelling and digits must match exactly) or choose it from the dropdown. ","")&amp;IF($M124="","Enter the Country after the Item Code - type or paste the name or the 2-letter code, or choose it from the dropdown. ","")&amp;IF(AND($M124&lt;&gt;"",NOT(OR(NOT(ISNA(MATCH(IF(UPPER($M124)="UK","GB",$M124),'PRODUCT DATA'!$A$2:$A$58,0))),NOT(ISNA(MATCH(IF(UPPER($M124)="UK","GB",$M124),'PRODUCT DATA'!$B$2:$B$58,0)))))),"This Country is not recognised as either a full name or a 2-letter code. Check the spelling (case does not matter) or choose it from the dropdown. ","")&amp;IF(AND($A124&lt;&gt;"",$M124&lt;&gt;"",NOT(ISNA(MATCH($AC124,'PRODUCT DATA'!$D$2:$D$394,0))),OR(NOT(ISNA(MATCH(IF(UPPER($M124)="UK","GB",$M124),'PRODUCT DATA'!$A$2:$A$58,0))),NOT(ISNA(MATCH(IF(UPPER($M124)="UK","GB",$M124),'PRODUCT DATA'!$B$2:$B$58,0)))),NOT(IFERROR(COUNTIF(OFFSET('PRODUCT DATA'!$F$2,0,MATCH($AC124,'PRODUCT DATA'!$F$1:$NN$1,0)-1,114,1),$N124)&gt;0,FALSE()))),IF(UPPER(IFERROR(OFFSET('PRODUCT DATA'!$C$2,MATCH($N124,'PRODUCT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"),"")&amp;IF($C124="","Enter Quantity. ","")&amp;IF(AND($C124&lt;&gt;"",OR(NOT(ISNUMBER($C124)),$C124&lt;1,$C124&gt;999,MOD($C124,1)&lt;&gt;0)),"Quantity must be a whole number from 1 to 999 (use a quantity above 1 only for a genuine bulk order of identical items to ONE address — otherwise use a separate row per recipient). ","")&amp;IF($D124="","Enter Recipient Name. ","")&amp;IF(LEN($D124)&gt;35,"Recipient Name exceeds 35 characters. ","")&amp;IF($E124="","Enter Recipient Phone. ","")&amp;IF(AND($E124&lt;&gt;"",OR(LEN($E124)&lt;6,LEN($E124)&gt;20,NOT(IFERROR(ISNUMBER(1*$E124),FALSE())))),"Phone must be the LOCAL number for the destination country: digits only, no +, spaces, or country code, 6 to 20 digits. ","")&amp;IF(LEN($F124)&gt;35,"Recipient Company Name exceeds 35 characters. ","")&amp;IF($G124="","Enter Address Line 1. ","")&amp;IF(LEN($G124)&gt;35,"Address Line 1 exceeds the 35-character SAP limit. ","")&amp;IF(LEN($H124)&gt;35,"Address Line 2 exceeds the 35-character SAP limit. ","")&amp;IF(LEN($I124)&gt;35,"Address Line 3 exceeds the 35-character SAP limit. ","")&amp;IF($J124="","Enter Town. This must never be left blank, even if there is no conventional town name. ","")&amp;IF(LEN($J124)&gt;35,"Town exceeds 35 characters. ","")&amp;IF(AND($N124="IE",$K124=""),"County is required for deliveries within the Republic of Ireland. ","")&amp;IF(LEN($AB124)&gt;35,"County exceeds 35 characters. ","")&amp;IF(AND($L124="",AND($N124&lt;&gt;"AE",$N124&lt;&gt;"QA")),"Postcode is required for the selected country. If there is genuinely no postcode, enter the first 3 characters of the area (e.g. D15). ","")&amp;IF(LEN($L124)&gt;35,"Postcode exceeds 35 characters. ","")&amp;IF($AE124&lt;&gt;"",$AE124,"")&amp;IF(LEN($O124)&gt;40,"Gift Message Line 1 exceeds 40 characters. ","")&amp;IF(LEN($P124)&gt;40,"Gift Message Line 2 exceeds 40 characters. ","")&amp;IF(LEN($Q124)&gt;40,"Gift Message Line 3 exceeds 40 characters. ","")&amp;IF(LEN($R124)&gt;40,"Gift Message Line 4 exceeds 40 characters. ","")&amp;IF(LEN($S124)&gt;40,"Gift Message Line 5 exceeds 40 characters. ","")&amp;IF(LEN($T124)&gt;40,"Gift Message Line 6 exceeds 40 characters. ","")&amp;IF(LEN($U124)&gt;40,"Gift Message Line 7 exceeds 40 characters. ",""))</f>
        <v/>
      </c>
      <c r="Y124" s="44" t="str">
        <f t="shared" si="5"/>
        <v/>
      </c>
      <c r="Z124" s="44"/>
      <c r="AA124" s="44"/>
      <c r="AB124" s="32" t="str">
        <f t="shared" si="6"/>
        <v/>
      </c>
      <c r="AC124" s="32" t="str">
        <f>IF($A124="","",IFERROR(LEFT(INDEX('PRODUCT DATA'!$NO$2:$NO$25,MATCH($A124,'PRODUCT DATA'!$NP$2:$NP$25,0)),FIND("|",INDEX('PRODUCT DATA'!$NO$2:$NO$25,MATCH($A124,'PRODUCT DATA'!$NP$2:$NP$25,0)))-1),$A124))</f>
        <v/>
      </c>
      <c r="AD124" s="45"/>
      <c r="AE124" s="45" t="str">
        <f t="shared" si="7"/>
        <v/>
      </c>
    </row>
    <row r="125" spans="1:31" ht="15" customHeight="1" x14ac:dyDescent="0.25">
      <c r="A125" s="40"/>
      <c r="B125" s="43" t="str">
        <f>IF($A125="","",IFERROR(VLOOKUP($AC125,'PRODUCT DATA'!$NR$2:$NS$374,2,FALSE()),"UNKNOWN ITEM CODE - please check"))</f>
        <v/>
      </c>
      <c r="C125" s="39">
        <v>1</v>
      </c>
      <c r="D125" s="39"/>
      <c r="E125" s="40"/>
      <c r="F125" s="41"/>
      <c r="G125" s="39"/>
      <c r="H125" s="41"/>
      <c r="I125" s="41"/>
      <c r="J125" s="39"/>
      <c r="K125" s="41"/>
      <c r="L125" s="40"/>
      <c r="M125" s="40"/>
      <c r="N125" s="42" t="str">
        <f>IF($M125="","",IFERROR(INDEX('PRODUCT DATA'!$B$2:$B$58,MATCH(IF(UPPER($M125)="UK","GB",$M125),'PRODUCT DATA'!$B$2:$B$58,0)),IFERROR(INDEX('PRODUCT DATA'!$B$2:$B$58,MATCH(IF(UPPER($M125)="UK","GB",$M125),'PRODUCT DATA'!$A$2:$A$58,0)),"UNKNOWN COUNTRY - please check")))</f>
        <v/>
      </c>
      <c r="O125" s="41"/>
      <c r="P125" s="41"/>
      <c r="Q125" s="41"/>
      <c r="R125" s="41"/>
      <c r="S125" s="41"/>
      <c r="T125" s="41"/>
      <c r="U125" s="41"/>
      <c r="V125" s="43" t="str">
        <f t="shared" si="4"/>
        <v/>
      </c>
      <c r="W125" s="44" t="str">
        <f ca="1">IF(COUNTA($A125,$D125:$M125,$O125:$U125)=0,"",IF($A125="","Item Code; ","")&amp;IF(AND($A125&lt;&gt;"",ISNA(MATCH($AC125,'PRODUCT DATA'!$D$2:$D$394,0))),"Item Code; ","")&amp;IF($M125="","Country; ","")&amp;IF(AND($M125&lt;&gt;"",NOT(OR(NOT(ISNA(MATCH(IF(UPPER($M125)="UK","GB",$M125),'PRODUCT DATA'!$A$2:$A$58,0))),NOT(ISNA(MATCH(IF(UPPER($M125)="UK","GB",$M125),'PRODUCT DATA'!$B$2:$B$58,0)))))),"Country; ","")&amp;IF(AND($A125&lt;&gt;"",$M125&lt;&gt;"",NOT(ISNA(MATCH($AC125,'PRODUCT DATA'!$D$2:$D$394,0))),OR(NOT(ISNA(MATCH(IF(UPPER($M125)="UK","GB",$M125),'PRODUCT DATA'!$A$2:$A$58,0))),NOT(ISNA(MATCH(IF(UPPER($M125)="UK","GB",$M125),'PRODUCT DATA'!$B$2:$B$58,0)))),NOT(IFERROR(COUNTIF(OFFSET('PRODUCT DATA'!$F$2,0,MATCH($AC125,'PRODUCT DATA'!$F$1:$NN$1,0)-1,114,1),$N125)&gt;0,FALSE()))),IF(UPPER(IFERROR(OFFSET('PRODUCT DATA'!$C$2,MATCH($N125,'PRODUCT DATA'!$B$2:$B$58,0)-1,0),""))="NO","Alcohol Restriction; ","Item Code / Country combination; "),"")&amp;IF($C125="","Quantity; ","")&amp;IF(AND($C125&lt;&gt;"",OR(NOT(ISNUMBER($C125)),$C125&lt;1,$C125&gt;999,MOD($C125,1)&lt;&gt;0)),"Quantity; ","")&amp;IF($D125="","Recipient Name; ","")&amp;IF(LEN($D125)&gt;35,"Recipient Name; ","")&amp;IF($E125="","Recipient Phone; ","")&amp;IF(AND($E125&lt;&gt;"",OR(LEN($E125)&lt;6,LEN($E125)&gt;20,NOT(IFERROR(ISNUMBER(1*$E125),FALSE())))),"Recipient Phone; ","")&amp;IF(LEN($F125)&gt;35,"Recipient Company Name; ","")&amp;IF($G125="","Address Line 1; ","")&amp;IF(LEN($G125)&gt;35,"Address Line 1; ","")&amp;IF(LEN($H125)&gt;35,"Address Line 2; ","")&amp;IF(LEN($I125)&gt;35,"Address Line 3; ","")&amp;IF($J125="","Town; ","")&amp;IF(LEN($J125)&gt;35,"Town; ","")&amp;IF(AND($N125="IE",$K125=""),"County; ","")&amp;IF(LEN($AB125)&gt;35,"County; ","")&amp;IF(AND($L125="",AND($N125&lt;&gt;"AE",$N125&lt;&gt;"QA")),"Postcode; ","")&amp;IF(LEN($L125)&gt;35,"Postcode; ","")&amp;IF($AE125&lt;&gt;"","Postcode; ","")&amp;IF(LEN($O125)&gt;40,"Gift Message 1; ","")&amp;IF(LEN($P125)&gt;40,"Gift Message 2; ","")&amp;IF(LEN($Q125)&gt;40,"Gift Message 3; ","")&amp;IF(LEN($R125)&gt;40,"Gift Message 4; ","")&amp;IF(LEN($S125)&gt;40,"Gift Message 5; ","")&amp;IF(LEN($T125)&gt;40,"Gift Message 6; ","")&amp;IF(LEN($U125)&gt;40,"Gift Message 7; ",""))</f>
        <v/>
      </c>
      <c r="X125" s="44" t="str">
        <f ca="1">IF(COUNTA($A125,$D125:$M125,$O125:$U125)=0,"",IF($A125="","Enter the Item Code (hamper) - type it, paste it, or choose it from the dropdown. ","")&amp;IF(AND($A125&lt;&gt;"",ISNA(MATCH($AC125,'PRODUCT DATA'!$D$2:$D$394,0))),"This Item Code is not recognised. Check the code (case does not matter, but spelling and digits must match exactly) or choose it from the dropdown. ","")&amp;IF($M125="","Enter the Country after the Item Code - type or paste the name or the 2-letter code, or choose it from the dropdown. ","")&amp;IF(AND($M125&lt;&gt;"",NOT(OR(NOT(ISNA(MATCH(IF(UPPER($M125)="UK","GB",$M125),'PRODUCT DATA'!$A$2:$A$58,0))),NOT(ISNA(MATCH(IF(UPPER($M125)="UK","GB",$M125),'PRODUCT DATA'!$B$2:$B$58,0)))))),"This Country is not recognised as either a full name or a 2-letter code. Check the spelling (case does not matter) or choose it from the dropdown. ","")&amp;IF(AND($A125&lt;&gt;"",$M125&lt;&gt;"",NOT(ISNA(MATCH($AC125,'PRODUCT DATA'!$D$2:$D$394,0))),OR(NOT(ISNA(MATCH(IF(UPPER($M125)="UK","GB",$M125),'PRODUCT DATA'!$A$2:$A$58,0))),NOT(ISNA(MATCH(IF(UPPER($M125)="UK","GB",$M125),'PRODUCT DATA'!$B$2:$B$58,0)))),NOT(IFERROR(COUNTIF(OFFSET('PRODUCT DATA'!$F$2,0,MATCH($AC125,'PRODUCT DATA'!$F$1:$NN$1,0)-1,114,1),$N125)&gt;0,FALSE()))),IF(UPPER(IFERROR(OFFSET('PRODUCT DATA'!$C$2,MATCH($N125,'PRODUCT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"),"")&amp;IF($C125="","Enter Quantity. ","")&amp;IF(AND($C125&lt;&gt;"",OR(NOT(ISNUMBER($C125)),$C125&lt;1,$C125&gt;999,MOD($C125,1)&lt;&gt;0)),"Quantity must be a whole number from 1 to 999 (use a quantity above 1 only for a genuine bulk order of identical items to ONE address — otherwise use a separate row per recipient). ","")&amp;IF($D125="","Enter Recipient Name. ","")&amp;IF(LEN($D125)&gt;35,"Recipient Name exceeds 35 characters. ","")&amp;IF($E125="","Enter Recipient Phone. ","")&amp;IF(AND($E125&lt;&gt;"",OR(LEN($E125)&lt;6,LEN($E125)&gt;20,NOT(IFERROR(ISNUMBER(1*$E125),FALSE())))),"Phone must be the LOCAL number for the destination country: digits only, no +, spaces, or country code, 6 to 20 digits. ","")&amp;IF(LEN($F125)&gt;35,"Recipient Company Name exceeds 35 characters. ","")&amp;IF($G125="","Enter Address Line 1. ","")&amp;IF(LEN($G125)&gt;35,"Address Line 1 exceeds the 35-character SAP limit. ","")&amp;IF(LEN($H125)&gt;35,"Address Line 2 exceeds the 35-character SAP limit. ","")&amp;IF(LEN($I125)&gt;35,"Address Line 3 exceeds the 35-character SAP limit. ","")&amp;IF($J125="","Enter Town. This must never be left blank, even if there is no conventional town name. ","")&amp;IF(LEN($J125)&gt;35,"Town exceeds 35 characters. ","")&amp;IF(AND($N125="IE",$K125=""),"County is required for deliveries within the Republic of Ireland. ","")&amp;IF(LEN($AB125)&gt;35,"County exceeds 35 characters. ","")&amp;IF(AND($L125="",AND($N125&lt;&gt;"AE",$N125&lt;&gt;"QA")),"Postcode is required for the selected country. If there is genuinely no postcode, enter the first 3 characters of the area (e.g. D15). ","")&amp;IF(LEN($L125)&gt;35,"Postcode exceeds 35 characters. ","")&amp;IF($AE125&lt;&gt;"",$AE125,"")&amp;IF(LEN($O125)&gt;40,"Gift Message Line 1 exceeds 40 characters. ","")&amp;IF(LEN($P125)&gt;40,"Gift Message Line 2 exceeds 40 characters. ","")&amp;IF(LEN($Q125)&gt;40,"Gift Message Line 3 exceeds 40 characters. ","")&amp;IF(LEN($R125)&gt;40,"Gift Message Line 4 exceeds 40 characters. ","")&amp;IF(LEN($S125)&gt;40,"Gift Message Line 5 exceeds 40 characters. ","")&amp;IF(LEN($T125)&gt;40,"Gift Message Line 6 exceeds 40 characters. ","")&amp;IF(LEN($U125)&gt;40,"Gift Message Line 7 exceeds 40 characters. ",""))</f>
        <v/>
      </c>
      <c r="Y125" s="44" t="str">
        <f t="shared" si="5"/>
        <v/>
      </c>
      <c r="Z125" s="44"/>
      <c r="AA125" s="44"/>
      <c r="AB125" s="32" t="str">
        <f t="shared" si="6"/>
        <v/>
      </c>
      <c r="AC125" s="32" t="str">
        <f>IF($A125="","",IFERROR(LEFT(INDEX('PRODUCT DATA'!$NO$2:$NO$25,MATCH($A125,'PRODUCT DATA'!$NP$2:$NP$25,0)),FIND("|",INDEX('PRODUCT DATA'!$NO$2:$NO$25,MATCH($A125,'PRODUCT DATA'!$NP$2:$NP$25,0)))-1),$A125))</f>
        <v/>
      </c>
      <c r="AD125" s="45"/>
      <c r="AE125" s="45" t="str">
        <f t="shared" si="7"/>
        <v/>
      </c>
    </row>
    <row r="126" spans="1:31" ht="15" customHeight="1" x14ac:dyDescent="0.25">
      <c r="A126" s="40"/>
      <c r="B126" s="43" t="str">
        <f>IF($A126="","",IFERROR(VLOOKUP($AC126,'PRODUCT DATA'!$NR$2:$NS$374,2,FALSE()),"UNKNOWN ITEM CODE - please check"))</f>
        <v/>
      </c>
      <c r="C126" s="39">
        <v>1</v>
      </c>
      <c r="D126" s="39"/>
      <c r="E126" s="40"/>
      <c r="F126" s="41"/>
      <c r="G126" s="39"/>
      <c r="H126" s="41"/>
      <c r="I126" s="41"/>
      <c r="J126" s="39"/>
      <c r="K126" s="41"/>
      <c r="L126" s="40"/>
      <c r="M126" s="40"/>
      <c r="N126" s="42" t="str">
        <f>IF($M126="","",IFERROR(INDEX('PRODUCT DATA'!$B$2:$B$58,MATCH(IF(UPPER($M126)="UK","GB",$M126),'PRODUCT DATA'!$B$2:$B$58,0)),IFERROR(INDEX('PRODUCT DATA'!$B$2:$B$58,MATCH(IF(UPPER($M126)="UK","GB",$M126),'PRODUCT DATA'!$A$2:$A$58,0)),"UNKNOWN COUNTRY - please check")))</f>
        <v/>
      </c>
      <c r="O126" s="41"/>
      <c r="P126" s="41"/>
      <c r="Q126" s="41"/>
      <c r="R126" s="41"/>
      <c r="S126" s="41"/>
      <c r="T126" s="41"/>
      <c r="U126" s="41"/>
      <c r="V126" s="43" t="str">
        <f t="shared" si="4"/>
        <v/>
      </c>
      <c r="W126" s="44" t="str">
        <f ca="1">IF(COUNTA($A126,$D126:$M126,$O126:$U126)=0,"",IF($A126="","Item Code; ","")&amp;IF(AND($A126&lt;&gt;"",ISNA(MATCH($AC126,'PRODUCT DATA'!$D$2:$D$394,0))),"Item Code; ","")&amp;IF($M126="","Country; ","")&amp;IF(AND($M126&lt;&gt;"",NOT(OR(NOT(ISNA(MATCH(IF(UPPER($M126)="UK","GB",$M126),'PRODUCT DATA'!$A$2:$A$58,0))),NOT(ISNA(MATCH(IF(UPPER($M126)="UK","GB",$M126),'PRODUCT DATA'!$B$2:$B$58,0)))))),"Country; ","")&amp;IF(AND($A126&lt;&gt;"",$M126&lt;&gt;"",NOT(ISNA(MATCH($AC126,'PRODUCT DATA'!$D$2:$D$394,0))),OR(NOT(ISNA(MATCH(IF(UPPER($M126)="UK","GB",$M126),'PRODUCT DATA'!$A$2:$A$58,0))),NOT(ISNA(MATCH(IF(UPPER($M126)="UK","GB",$M126),'PRODUCT DATA'!$B$2:$B$58,0)))),NOT(IFERROR(COUNTIF(OFFSET('PRODUCT DATA'!$F$2,0,MATCH($AC126,'PRODUCT DATA'!$F$1:$NN$1,0)-1,114,1),$N126)&gt;0,FALSE()))),IF(UPPER(IFERROR(OFFSET('PRODUCT DATA'!$C$2,MATCH($N126,'PRODUCT DATA'!$B$2:$B$58,0)-1,0),""))="NO","Alcohol Restriction; ","Item Code / Country combination; "),"")&amp;IF($C126="","Quantity; ","")&amp;IF(AND($C126&lt;&gt;"",OR(NOT(ISNUMBER($C126)),$C126&lt;1,$C126&gt;999,MOD($C126,1)&lt;&gt;0)),"Quantity; ","")&amp;IF($D126="","Recipient Name; ","")&amp;IF(LEN($D126)&gt;35,"Recipient Name; ","")&amp;IF($E126="","Recipient Phone; ","")&amp;IF(AND($E126&lt;&gt;"",OR(LEN($E126)&lt;6,LEN($E126)&gt;20,NOT(IFERROR(ISNUMBER(1*$E126),FALSE())))),"Recipient Phone; ","")&amp;IF(LEN($F126)&gt;35,"Recipient Company Name; ","")&amp;IF($G126="","Address Line 1; ","")&amp;IF(LEN($G126)&gt;35,"Address Line 1; ","")&amp;IF(LEN($H126)&gt;35,"Address Line 2; ","")&amp;IF(LEN($I126)&gt;35,"Address Line 3; ","")&amp;IF($J126="","Town; ","")&amp;IF(LEN($J126)&gt;35,"Town; ","")&amp;IF(AND($N126="IE",$K126=""),"County; ","")&amp;IF(LEN($AB126)&gt;35,"County; ","")&amp;IF(AND($L126="",AND($N126&lt;&gt;"AE",$N126&lt;&gt;"QA")),"Postcode; ","")&amp;IF(LEN($L126)&gt;35,"Postcode; ","")&amp;IF($AE126&lt;&gt;"","Postcode; ","")&amp;IF(LEN($O126)&gt;40,"Gift Message 1; ","")&amp;IF(LEN($P126)&gt;40,"Gift Message 2; ","")&amp;IF(LEN($Q126)&gt;40,"Gift Message 3; ","")&amp;IF(LEN($R126)&gt;40,"Gift Message 4; ","")&amp;IF(LEN($S126)&gt;40,"Gift Message 5; ","")&amp;IF(LEN($T126)&gt;40,"Gift Message 6; ","")&amp;IF(LEN($U126)&gt;40,"Gift Message 7; ",""))</f>
        <v/>
      </c>
      <c r="X126" s="44" t="str">
        <f ca="1">IF(COUNTA($A126,$D126:$M126,$O126:$U126)=0,"",IF($A126="","Enter the Item Code (hamper) - type it, paste it, or choose it from the dropdown. ","")&amp;IF(AND($A126&lt;&gt;"",ISNA(MATCH($AC126,'PRODUCT DATA'!$D$2:$D$394,0))),"This Item Code is not recognised. Check the code (case does not matter, but spelling and digits must match exactly) or choose it from the dropdown. ","")&amp;IF($M126="","Enter the Country after the Item Code - type or paste the name or the 2-letter code, or choose it from the dropdown. ","")&amp;IF(AND($M126&lt;&gt;"",NOT(OR(NOT(ISNA(MATCH(IF(UPPER($M126)="UK","GB",$M126),'PRODUCT DATA'!$A$2:$A$58,0))),NOT(ISNA(MATCH(IF(UPPER($M126)="UK","GB",$M126),'PRODUCT DATA'!$B$2:$B$58,0)))))),"This Country is not recognised as either a full name or a 2-letter code. Check the spelling (case does not matter) or choose it from the dropdown. ","")&amp;IF(AND($A126&lt;&gt;"",$M126&lt;&gt;"",NOT(ISNA(MATCH($AC126,'PRODUCT DATA'!$D$2:$D$394,0))),OR(NOT(ISNA(MATCH(IF(UPPER($M126)="UK","GB",$M126),'PRODUCT DATA'!$A$2:$A$58,0))),NOT(ISNA(MATCH(IF(UPPER($M126)="UK","GB",$M126),'PRODUCT DATA'!$B$2:$B$58,0)))),NOT(IFERROR(COUNTIF(OFFSET('PRODUCT DATA'!$F$2,0,MATCH($AC126,'PRODUCT DATA'!$F$1:$NN$1,0)-1,114,1),$N126)&gt;0,FALSE()))),IF(UPPER(IFERROR(OFFSET('PRODUCT DATA'!$C$2,MATCH($N126,'PRODUCT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"),"")&amp;IF($C126="","Enter Quantity. ","")&amp;IF(AND($C126&lt;&gt;"",OR(NOT(ISNUMBER($C126)),$C126&lt;1,$C126&gt;999,MOD($C126,1)&lt;&gt;0)),"Quantity must be a whole number from 1 to 999 (use a quantity above 1 only for a genuine bulk order of identical items to ONE address — otherwise use a separate row per recipient). ","")&amp;IF($D126="","Enter Recipient Name. ","")&amp;IF(LEN($D126)&gt;35,"Recipient Name exceeds 35 characters. ","")&amp;IF($E126="","Enter Recipient Phone. ","")&amp;IF(AND($E126&lt;&gt;"",OR(LEN($E126)&lt;6,LEN($E126)&gt;20,NOT(IFERROR(ISNUMBER(1*$E126),FALSE())))),"Phone must be the LOCAL number for the destination country: digits only, no +, spaces, or country code, 6 to 20 digits. ","")&amp;IF(LEN($F126)&gt;35,"Recipient Company Name exceeds 35 characters. ","")&amp;IF($G126="","Enter Address Line 1. ","")&amp;IF(LEN($G126)&gt;35,"Address Line 1 exceeds the 35-character SAP limit. ","")&amp;IF(LEN($H126)&gt;35,"Address Line 2 exceeds the 35-character SAP limit. ","")&amp;IF(LEN($I126)&gt;35,"Address Line 3 exceeds the 35-character SAP limit. ","")&amp;IF($J126="","Enter Town. This must never be left blank, even if there is no conventional town name. ","")&amp;IF(LEN($J126)&gt;35,"Town exceeds 35 characters. ","")&amp;IF(AND($N126="IE",$K126=""),"County is required for deliveries within the Republic of Ireland. ","")&amp;IF(LEN($AB126)&gt;35,"County exceeds 35 characters. ","")&amp;IF(AND($L126="",AND($N126&lt;&gt;"AE",$N126&lt;&gt;"QA")),"Postcode is required for the selected country. If there is genuinely no postcode, enter the first 3 characters of the area (e.g. D15). ","")&amp;IF(LEN($L126)&gt;35,"Postcode exceeds 35 characters. ","")&amp;IF($AE126&lt;&gt;"",$AE126,"")&amp;IF(LEN($O126)&gt;40,"Gift Message Line 1 exceeds 40 characters. ","")&amp;IF(LEN($P126)&gt;40,"Gift Message Line 2 exceeds 40 characters. ","")&amp;IF(LEN($Q126)&gt;40,"Gift Message Line 3 exceeds 40 characters. ","")&amp;IF(LEN($R126)&gt;40,"Gift Message Line 4 exceeds 40 characters. ","")&amp;IF(LEN($S126)&gt;40,"Gift Message Line 5 exceeds 40 characters. ","")&amp;IF(LEN($T126)&gt;40,"Gift Message Line 6 exceeds 40 characters. ","")&amp;IF(LEN($U126)&gt;40,"Gift Message Line 7 exceeds 40 characters. ",""))</f>
        <v/>
      </c>
      <c r="Y126" s="44" t="str">
        <f t="shared" si="5"/>
        <v/>
      </c>
      <c r="Z126" s="44"/>
      <c r="AA126" s="44"/>
      <c r="AB126" s="32" t="str">
        <f t="shared" si="6"/>
        <v/>
      </c>
      <c r="AC126" s="32" t="str">
        <f>IF($A126="","",IFERROR(LEFT(INDEX('PRODUCT DATA'!$NO$2:$NO$25,MATCH($A126,'PRODUCT DATA'!$NP$2:$NP$25,0)),FIND("|",INDEX('PRODUCT DATA'!$NO$2:$NO$25,MATCH($A126,'PRODUCT DATA'!$NP$2:$NP$25,0)))-1),$A126))</f>
        <v/>
      </c>
      <c r="AD126" s="45"/>
      <c r="AE126" s="45" t="str">
        <f t="shared" si="7"/>
        <v/>
      </c>
    </row>
    <row r="127" spans="1:31" ht="15" customHeight="1" x14ac:dyDescent="0.25">
      <c r="A127" s="40"/>
      <c r="B127" s="43" t="str">
        <f>IF($A127="","",IFERROR(VLOOKUP($AC127,'PRODUCT DATA'!$NR$2:$NS$374,2,FALSE()),"UNKNOWN ITEM CODE - please check"))</f>
        <v/>
      </c>
      <c r="C127" s="39">
        <v>1</v>
      </c>
      <c r="D127" s="39"/>
      <c r="E127" s="40"/>
      <c r="F127" s="41"/>
      <c r="G127" s="39"/>
      <c r="H127" s="41"/>
      <c r="I127" s="41"/>
      <c r="J127" s="39"/>
      <c r="K127" s="41"/>
      <c r="L127" s="40"/>
      <c r="M127" s="40"/>
      <c r="N127" s="42" t="str">
        <f>IF($M127="","",IFERROR(INDEX('PRODUCT DATA'!$B$2:$B$58,MATCH(IF(UPPER($M127)="UK","GB",$M127),'PRODUCT DATA'!$B$2:$B$58,0)),IFERROR(INDEX('PRODUCT DATA'!$B$2:$B$58,MATCH(IF(UPPER($M127)="UK","GB",$M127),'PRODUCT DATA'!$A$2:$A$58,0)),"UNKNOWN COUNTRY - please check")))</f>
        <v/>
      </c>
      <c r="O127" s="41"/>
      <c r="P127" s="41"/>
      <c r="Q127" s="41"/>
      <c r="R127" s="41"/>
      <c r="S127" s="41"/>
      <c r="T127" s="41"/>
      <c r="U127" s="41"/>
      <c r="V127" s="43" t="str">
        <f t="shared" si="4"/>
        <v/>
      </c>
      <c r="W127" s="44" t="str">
        <f ca="1">IF(COUNTA($A127,$D127:$M127,$O127:$U127)=0,"",IF($A127="","Item Code; ","")&amp;IF(AND($A127&lt;&gt;"",ISNA(MATCH($AC127,'PRODUCT DATA'!$D$2:$D$394,0))),"Item Code; ","")&amp;IF($M127="","Country; ","")&amp;IF(AND($M127&lt;&gt;"",NOT(OR(NOT(ISNA(MATCH(IF(UPPER($M127)="UK","GB",$M127),'PRODUCT DATA'!$A$2:$A$58,0))),NOT(ISNA(MATCH(IF(UPPER($M127)="UK","GB",$M127),'PRODUCT DATA'!$B$2:$B$58,0)))))),"Country; ","")&amp;IF(AND($A127&lt;&gt;"",$M127&lt;&gt;"",NOT(ISNA(MATCH($AC127,'PRODUCT DATA'!$D$2:$D$394,0))),OR(NOT(ISNA(MATCH(IF(UPPER($M127)="UK","GB",$M127),'PRODUCT DATA'!$A$2:$A$58,0))),NOT(ISNA(MATCH(IF(UPPER($M127)="UK","GB",$M127),'PRODUCT DATA'!$B$2:$B$58,0)))),NOT(IFERROR(COUNTIF(OFFSET('PRODUCT DATA'!$F$2,0,MATCH($AC127,'PRODUCT DATA'!$F$1:$NN$1,0)-1,114,1),$N127)&gt;0,FALSE()))),IF(UPPER(IFERROR(OFFSET('PRODUCT DATA'!$C$2,MATCH($N127,'PRODUCT DATA'!$B$2:$B$58,0)-1,0),""))="NO","Alcohol Restriction; ","Item Code / Country combination; "),"")&amp;IF($C127="","Quantity; ","")&amp;IF(AND($C127&lt;&gt;"",OR(NOT(ISNUMBER($C127)),$C127&lt;1,$C127&gt;999,MOD($C127,1)&lt;&gt;0)),"Quantity; ","")&amp;IF($D127="","Recipient Name; ","")&amp;IF(LEN($D127)&gt;35,"Recipient Name; ","")&amp;IF($E127="","Recipient Phone; ","")&amp;IF(AND($E127&lt;&gt;"",OR(LEN($E127)&lt;6,LEN($E127)&gt;20,NOT(IFERROR(ISNUMBER(1*$E127),FALSE())))),"Recipient Phone; ","")&amp;IF(LEN($F127)&gt;35,"Recipient Company Name; ","")&amp;IF($G127="","Address Line 1; ","")&amp;IF(LEN($G127)&gt;35,"Address Line 1; ","")&amp;IF(LEN($H127)&gt;35,"Address Line 2; ","")&amp;IF(LEN($I127)&gt;35,"Address Line 3; ","")&amp;IF($J127="","Town; ","")&amp;IF(LEN($J127)&gt;35,"Town; ","")&amp;IF(AND($N127="IE",$K127=""),"County; ","")&amp;IF(LEN($AB127)&gt;35,"County; ","")&amp;IF(AND($L127="",AND($N127&lt;&gt;"AE",$N127&lt;&gt;"QA")),"Postcode; ","")&amp;IF(LEN($L127)&gt;35,"Postcode; ","")&amp;IF($AE127&lt;&gt;"","Postcode; ","")&amp;IF(LEN($O127)&gt;40,"Gift Message 1; ","")&amp;IF(LEN($P127)&gt;40,"Gift Message 2; ","")&amp;IF(LEN($Q127)&gt;40,"Gift Message 3; ","")&amp;IF(LEN($R127)&gt;40,"Gift Message 4; ","")&amp;IF(LEN($S127)&gt;40,"Gift Message 5; ","")&amp;IF(LEN($T127)&gt;40,"Gift Message 6; ","")&amp;IF(LEN($U127)&gt;40,"Gift Message 7; ",""))</f>
        <v/>
      </c>
      <c r="X127" s="44" t="str">
        <f ca="1">IF(COUNTA($A127,$D127:$M127,$O127:$U127)=0,"",IF($A127="","Enter the Item Code (hamper) - type it, paste it, or choose it from the dropdown. ","")&amp;IF(AND($A127&lt;&gt;"",ISNA(MATCH($AC127,'PRODUCT DATA'!$D$2:$D$394,0))),"This Item Code is not recognised. Check the code (case does not matter, but spelling and digits must match exactly) or choose it from the dropdown. ","")&amp;IF($M127="","Enter the Country after the Item Code - type or paste the name or the 2-letter code, or choose it from the dropdown. ","")&amp;IF(AND($M127&lt;&gt;"",NOT(OR(NOT(ISNA(MATCH(IF(UPPER($M127)="UK","GB",$M127),'PRODUCT DATA'!$A$2:$A$58,0))),NOT(ISNA(MATCH(IF(UPPER($M127)="UK","GB",$M127),'PRODUCT DATA'!$B$2:$B$58,0)))))),"This Country is not recognised as either a full name or a 2-letter code. Check the spelling (case does not matter) or choose it from the dropdown. ","")&amp;IF(AND($A127&lt;&gt;"",$M127&lt;&gt;"",NOT(ISNA(MATCH($AC127,'PRODUCT DATA'!$D$2:$D$394,0))),OR(NOT(ISNA(MATCH(IF(UPPER($M127)="UK","GB",$M127),'PRODUCT DATA'!$A$2:$A$58,0))),NOT(ISNA(MATCH(IF(UPPER($M127)="UK","GB",$M127),'PRODUCT DATA'!$B$2:$B$58,0)))),NOT(IFERROR(COUNTIF(OFFSET('PRODUCT DATA'!$F$2,0,MATCH($AC127,'PRODUCT DATA'!$F$1:$NN$1,0)-1,114,1),$N127)&gt;0,FALSE()))),IF(UPPER(IFERROR(OFFSET('PRODUCT DATA'!$C$2,MATCH($N127,'PRODUCT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"),"")&amp;IF($C127="","Enter Quantity. ","")&amp;IF(AND($C127&lt;&gt;"",OR(NOT(ISNUMBER($C127)),$C127&lt;1,$C127&gt;999,MOD($C127,1)&lt;&gt;0)),"Quantity must be a whole number from 1 to 999 (use a quantity above 1 only for a genuine bulk order of identical items to ONE address — otherwise use a separate row per recipient). ","")&amp;IF($D127="","Enter Recipient Name. ","")&amp;IF(LEN($D127)&gt;35,"Recipient Name exceeds 35 characters. ","")&amp;IF($E127="","Enter Recipient Phone. ","")&amp;IF(AND($E127&lt;&gt;"",OR(LEN($E127)&lt;6,LEN($E127)&gt;20,NOT(IFERROR(ISNUMBER(1*$E127),FALSE())))),"Phone must be the LOCAL number for the destination country: digits only, no +, spaces, or country code, 6 to 20 digits. ","")&amp;IF(LEN($F127)&gt;35,"Recipient Company Name exceeds 35 characters. ","")&amp;IF($G127="","Enter Address Line 1. ","")&amp;IF(LEN($G127)&gt;35,"Address Line 1 exceeds the 35-character SAP limit. ","")&amp;IF(LEN($H127)&gt;35,"Address Line 2 exceeds the 35-character SAP limit. ","")&amp;IF(LEN($I127)&gt;35,"Address Line 3 exceeds the 35-character SAP limit. ","")&amp;IF($J127="","Enter Town. This must never be left blank, even if there is no conventional town name. ","")&amp;IF(LEN($J127)&gt;35,"Town exceeds 35 characters. ","")&amp;IF(AND($N127="IE",$K127=""),"County is required for deliveries within the Republic of Ireland. ","")&amp;IF(LEN($AB127)&gt;35,"County exceeds 35 characters. ","")&amp;IF(AND($L127="",AND($N127&lt;&gt;"AE",$N127&lt;&gt;"QA")),"Postcode is required for the selected country. If there is genuinely no postcode, enter the first 3 characters of the area (e.g. D15). ","")&amp;IF(LEN($L127)&gt;35,"Postcode exceeds 35 characters. ","")&amp;IF($AE127&lt;&gt;"",$AE127,"")&amp;IF(LEN($O127)&gt;40,"Gift Message Line 1 exceeds 40 characters. ","")&amp;IF(LEN($P127)&gt;40,"Gift Message Line 2 exceeds 40 characters. ","")&amp;IF(LEN($Q127)&gt;40,"Gift Message Line 3 exceeds 40 characters. ","")&amp;IF(LEN($R127)&gt;40,"Gift Message Line 4 exceeds 40 characters. ","")&amp;IF(LEN($S127)&gt;40,"Gift Message Line 5 exceeds 40 characters. ","")&amp;IF(LEN($T127)&gt;40,"Gift Message Line 6 exceeds 40 characters. ","")&amp;IF(LEN($U127)&gt;40,"Gift Message Line 7 exceeds 40 characters. ",""))</f>
        <v/>
      </c>
      <c r="Y127" s="44" t="str">
        <f t="shared" si="5"/>
        <v/>
      </c>
      <c r="Z127" s="44"/>
      <c r="AA127" s="44"/>
      <c r="AB127" s="32" t="str">
        <f t="shared" si="6"/>
        <v/>
      </c>
      <c r="AC127" s="32" t="str">
        <f>IF($A127="","",IFERROR(LEFT(INDEX('PRODUCT DATA'!$NO$2:$NO$25,MATCH($A127,'PRODUCT DATA'!$NP$2:$NP$25,0)),FIND("|",INDEX('PRODUCT DATA'!$NO$2:$NO$25,MATCH($A127,'PRODUCT DATA'!$NP$2:$NP$25,0)))-1),$A127))</f>
        <v/>
      </c>
      <c r="AD127" s="45"/>
      <c r="AE127" s="45" t="str">
        <f t="shared" si="7"/>
        <v/>
      </c>
    </row>
    <row r="128" spans="1:31" ht="15" customHeight="1" x14ac:dyDescent="0.25">
      <c r="A128" s="40"/>
      <c r="B128" s="43" t="str">
        <f>IF($A128="","",IFERROR(VLOOKUP($AC128,'PRODUCT DATA'!$NR$2:$NS$374,2,FALSE()),"UNKNOWN ITEM CODE - please check"))</f>
        <v/>
      </c>
      <c r="C128" s="39">
        <v>1</v>
      </c>
      <c r="D128" s="39"/>
      <c r="E128" s="40"/>
      <c r="F128" s="41"/>
      <c r="G128" s="39"/>
      <c r="H128" s="41"/>
      <c r="I128" s="41"/>
      <c r="J128" s="39"/>
      <c r="K128" s="41"/>
      <c r="L128" s="40"/>
      <c r="M128" s="40"/>
      <c r="N128" s="42" t="str">
        <f>IF($M128="","",IFERROR(INDEX('PRODUCT DATA'!$B$2:$B$58,MATCH(IF(UPPER($M128)="UK","GB",$M128),'PRODUCT DATA'!$B$2:$B$58,0)),IFERROR(INDEX('PRODUCT DATA'!$B$2:$B$58,MATCH(IF(UPPER($M128)="UK","GB",$M128),'PRODUCT DATA'!$A$2:$A$58,0)),"UNKNOWN COUNTRY - please check")))</f>
        <v/>
      </c>
      <c r="O128" s="41"/>
      <c r="P128" s="41"/>
      <c r="Q128" s="41"/>
      <c r="R128" s="41"/>
      <c r="S128" s="41"/>
      <c r="T128" s="41"/>
      <c r="U128" s="41"/>
      <c r="V128" s="43" t="str">
        <f t="shared" si="4"/>
        <v/>
      </c>
      <c r="W128" s="44" t="str">
        <f ca="1">IF(COUNTA($A128,$D128:$M128,$O128:$U128)=0,"",IF($A128="","Item Code; ","")&amp;IF(AND($A128&lt;&gt;"",ISNA(MATCH($AC128,'PRODUCT DATA'!$D$2:$D$394,0))),"Item Code; ","")&amp;IF($M128="","Country; ","")&amp;IF(AND($M128&lt;&gt;"",NOT(OR(NOT(ISNA(MATCH(IF(UPPER($M128)="UK","GB",$M128),'PRODUCT DATA'!$A$2:$A$58,0))),NOT(ISNA(MATCH(IF(UPPER($M128)="UK","GB",$M128),'PRODUCT DATA'!$B$2:$B$58,0)))))),"Country; ","")&amp;IF(AND($A128&lt;&gt;"",$M128&lt;&gt;"",NOT(ISNA(MATCH($AC128,'PRODUCT DATA'!$D$2:$D$394,0))),OR(NOT(ISNA(MATCH(IF(UPPER($M128)="UK","GB",$M128),'PRODUCT DATA'!$A$2:$A$58,0))),NOT(ISNA(MATCH(IF(UPPER($M128)="UK","GB",$M128),'PRODUCT DATA'!$B$2:$B$58,0)))),NOT(IFERROR(COUNTIF(OFFSET('PRODUCT DATA'!$F$2,0,MATCH($AC128,'PRODUCT DATA'!$F$1:$NN$1,0)-1,114,1),$N128)&gt;0,FALSE()))),IF(UPPER(IFERROR(OFFSET('PRODUCT DATA'!$C$2,MATCH($N128,'PRODUCT DATA'!$B$2:$B$58,0)-1,0),""))="NO","Alcohol Restriction; ","Item Code / Country combination; "),"")&amp;IF($C128="","Quantity; ","")&amp;IF(AND($C128&lt;&gt;"",OR(NOT(ISNUMBER($C128)),$C128&lt;1,$C128&gt;999,MOD($C128,1)&lt;&gt;0)),"Quantity; ","")&amp;IF($D128="","Recipient Name; ","")&amp;IF(LEN($D128)&gt;35,"Recipient Name; ","")&amp;IF($E128="","Recipient Phone; ","")&amp;IF(AND($E128&lt;&gt;"",OR(LEN($E128)&lt;6,LEN($E128)&gt;20,NOT(IFERROR(ISNUMBER(1*$E128),FALSE())))),"Recipient Phone; ","")&amp;IF(LEN($F128)&gt;35,"Recipient Company Name; ","")&amp;IF($G128="","Address Line 1; ","")&amp;IF(LEN($G128)&gt;35,"Address Line 1; ","")&amp;IF(LEN($H128)&gt;35,"Address Line 2; ","")&amp;IF(LEN($I128)&gt;35,"Address Line 3; ","")&amp;IF($J128="","Town; ","")&amp;IF(LEN($J128)&gt;35,"Town; ","")&amp;IF(AND($N128="IE",$K128=""),"County; ","")&amp;IF(LEN($AB128)&gt;35,"County; ","")&amp;IF(AND($L128="",AND($N128&lt;&gt;"AE",$N128&lt;&gt;"QA")),"Postcode; ","")&amp;IF(LEN($L128)&gt;35,"Postcode; ","")&amp;IF($AE128&lt;&gt;"","Postcode; ","")&amp;IF(LEN($O128)&gt;40,"Gift Message 1; ","")&amp;IF(LEN($P128)&gt;40,"Gift Message 2; ","")&amp;IF(LEN($Q128)&gt;40,"Gift Message 3; ","")&amp;IF(LEN($R128)&gt;40,"Gift Message 4; ","")&amp;IF(LEN($S128)&gt;40,"Gift Message 5; ","")&amp;IF(LEN($T128)&gt;40,"Gift Message 6; ","")&amp;IF(LEN($U128)&gt;40,"Gift Message 7; ",""))</f>
        <v/>
      </c>
      <c r="X128" s="44" t="str">
        <f ca="1">IF(COUNTA($A128,$D128:$M128,$O128:$U128)=0,"",IF($A128="","Enter the Item Code (hamper) - type it, paste it, or choose it from the dropdown. ","")&amp;IF(AND($A128&lt;&gt;"",ISNA(MATCH($AC128,'PRODUCT DATA'!$D$2:$D$394,0))),"This Item Code is not recognised. Check the code (case does not matter, but spelling and digits must match exactly) or choose it from the dropdown. ","")&amp;IF($M128="","Enter the Country after the Item Code - type or paste the name or the 2-letter code, or choose it from the dropdown. ","")&amp;IF(AND($M128&lt;&gt;"",NOT(OR(NOT(ISNA(MATCH(IF(UPPER($M128)="UK","GB",$M128),'PRODUCT DATA'!$A$2:$A$58,0))),NOT(ISNA(MATCH(IF(UPPER($M128)="UK","GB",$M128),'PRODUCT DATA'!$B$2:$B$58,0)))))),"This Country is not recognised as either a full name or a 2-letter code. Check the spelling (case does not matter) or choose it from the dropdown. ","")&amp;IF(AND($A128&lt;&gt;"",$M128&lt;&gt;"",NOT(ISNA(MATCH($AC128,'PRODUCT DATA'!$D$2:$D$394,0))),OR(NOT(ISNA(MATCH(IF(UPPER($M128)="UK","GB",$M128),'PRODUCT DATA'!$A$2:$A$58,0))),NOT(ISNA(MATCH(IF(UPPER($M128)="UK","GB",$M128),'PRODUCT DATA'!$B$2:$B$58,0)))),NOT(IFERROR(COUNTIF(OFFSET('PRODUCT DATA'!$F$2,0,MATCH($AC128,'PRODUCT DATA'!$F$1:$NN$1,0)-1,114,1),$N128)&gt;0,FALSE()))),IF(UPPER(IFERROR(OFFSET('PRODUCT DATA'!$C$2,MATCH($N128,'PRODUCT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"),"")&amp;IF($C128="","Enter Quantity. ","")&amp;IF(AND($C128&lt;&gt;"",OR(NOT(ISNUMBER($C128)),$C128&lt;1,$C128&gt;999,MOD($C128,1)&lt;&gt;0)),"Quantity must be a whole number from 1 to 999 (use a quantity above 1 only for a genuine bulk order of identical items to ONE address — otherwise use a separate row per recipient). ","")&amp;IF($D128="","Enter Recipient Name. ","")&amp;IF(LEN($D128)&gt;35,"Recipient Name exceeds 35 characters. ","")&amp;IF($E128="","Enter Recipient Phone. ","")&amp;IF(AND($E128&lt;&gt;"",OR(LEN($E128)&lt;6,LEN($E128)&gt;20,NOT(IFERROR(ISNUMBER(1*$E128),FALSE())))),"Phone must be the LOCAL number for the destination country: digits only, no +, spaces, or country code, 6 to 20 digits. ","")&amp;IF(LEN($F128)&gt;35,"Recipient Company Name exceeds 35 characters. ","")&amp;IF($G128="","Enter Address Line 1. ","")&amp;IF(LEN($G128)&gt;35,"Address Line 1 exceeds the 35-character SAP limit. ","")&amp;IF(LEN($H128)&gt;35,"Address Line 2 exceeds the 35-character SAP limit. ","")&amp;IF(LEN($I128)&gt;35,"Address Line 3 exceeds the 35-character SAP limit. ","")&amp;IF($J128="","Enter Town. This must never be left blank, even if there is no conventional town name. ","")&amp;IF(LEN($J128)&gt;35,"Town exceeds 35 characters. ","")&amp;IF(AND($N128="IE",$K128=""),"County is required for deliveries within the Republic of Ireland. ","")&amp;IF(LEN($AB128)&gt;35,"County exceeds 35 characters. ","")&amp;IF(AND($L128="",AND($N128&lt;&gt;"AE",$N128&lt;&gt;"QA")),"Postcode is required for the selected country. If there is genuinely no postcode, enter the first 3 characters of the area (e.g. D15). ","")&amp;IF(LEN($L128)&gt;35,"Postcode exceeds 35 characters. ","")&amp;IF($AE128&lt;&gt;"",$AE128,"")&amp;IF(LEN($O128)&gt;40,"Gift Message Line 1 exceeds 40 characters. ","")&amp;IF(LEN($P128)&gt;40,"Gift Message Line 2 exceeds 40 characters. ","")&amp;IF(LEN($Q128)&gt;40,"Gift Message Line 3 exceeds 40 characters. ","")&amp;IF(LEN($R128)&gt;40,"Gift Message Line 4 exceeds 40 characters. ","")&amp;IF(LEN($S128)&gt;40,"Gift Message Line 5 exceeds 40 characters. ","")&amp;IF(LEN($T128)&gt;40,"Gift Message Line 6 exceeds 40 characters. ","")&amp;IF(LEN($U128)&gt;40,"Gift Message Line 7 exceeds 40 characters. ",""))</f>
        <v/>
      </c>
      <c r="Y128" s="44" t="str">
        <f t="shared" si="5"/>
        <v/>
      </c>
      <c r="Z128" s="44"/>
      <c r="AA128" s="44"/>
      <c r="AB128" s="32" t="str">
        <f t="shared" si="6"/>
        <v/>
      </c>
      <c r="AC128" s="32" t="str">
        <f>IF($A128="","",IFERROR(LEFT(INDEX('PRODUCT DATA'!$NO$2:$NO$25,MATCH($A128,'PRODUCT DATA'!$NP$2:$NP$25,0)),FIND("|",INDEX('PRODUCT DATA'!$NO$2:$NO$25,MATCH($A128,'PRODUCT DATA'!$NP$2:$NP$25,0)))-1),$A128))</f>
        <v/>
      </c>
      <c r="AD128" s="45"/>
      <c r="AE128" s="45" t="str">
        <f t="shared" si="7"/>
        <v/>
      </c>
    </row>
    <row r="129" spans="1:31" ht="15" customHeight="1" x14ac:dyDescent="0.25">
      <c r="A129" s="40"/>
      <c r="B129" s="43" t="str">
        <f>IF($A129="","",IFERROR(VLOOKUP($AC129,'PRODUCT DATA'!$NR$2:$NS$374,2,FALSE()),"UNKNOWN ITEM CODE - please check"))</f>
        <v/>
      </c>
      <c r="C129" s="39">
        <v>1</v>
      </c>
      <c r="D129" s="39"/>
      <c r="E129" s="40"/>
      <c r="F129" s="41"/>
      <c r="G129" s="39"/>
      <c r="H129" s="41"/>
      <c r="I129" s="41"/>
      <c r="J129" s="39"/>
      <c r="K129" s="41"/>
      <c r="L129" s="40"/>
      <c r="M129" s="40"/>
      <c r="N129" s="42" t="str">
        <f>IF($M129="","",IFERROR(INDEX('PRODUCT DATA'!$B$2:$B$58,MATCH(IF(UPPER($M129)="UK","GB",$M129),'PRODUCT DATA'!$B$2:$B$58,0)),IFERROR(INDEX('PRODUCT DATA'!$B$2:$B$58,MATCH(IF(UPPER($M129)="UK","GB",$M129),'PRODUCT DATA'!$A$2:$A$58,0)),"UNKNOWN COUNTRY - please check")))</f>
        <v/>
      </c>
      <c r="O129" s="41"/>
      <c r="P129" s="41"/>
      <c r="Q129" s="41"/>
      <c r="R129" s="41"/>
      <c r="S129" s="41"/>
      <c r="T129" s="41"/>
      <c r="U129" s="41"/>
      <c r="V129" s="43" t="str">
        <f t="shared" si="4"/>
        <v/>
      </c>
      <c r="W129" s="44" t="str">
        <f ca="1">IF(COUNTA($A129,$D129:$M129,$O129:$U129)=0,"",IF($A129="","Item Code; ","")&amp;IF(AND($A129&lt;&gt;"",ISNA(MATCH($AC129,'PRODUCT DATA'!$D$2:$D$394,0))),"Item Code; ","")&amp;IF($M129="","Country; ","")&amp;IF(AND($M129&lt;&gt;"",NOT(OR(NOT(ISNA(MATCH(IF(UPPER($M129)="UK","GB",$M129),'PRODUCT DATA'!$A$2:$A$58,0))),NOT(ISNA(MATCH(IF(UPPER($M129)="UK","GB",$M129),'PRODUCT DATA'!$B$2:$B$58,0)))))),"Country; ","")&amp;IF(AND($A129&lt;&gt;"",$M129&lt;&gt;"",NOT(ISNA(MATCH($AC129,'PRODUCT DATA'!$D$2:$D$394,0))),OR(NOT(ISNA(MATCH(IF(UPPER($M129)="UK","GB",$M129),'PRODUCT DATA'!$A$2:$A$58,0))),NOT(ISNA(MATCH(IF(UPPER($M129)="UK","GB",$M129),'PRODUCT DATA'!$B$2:$B$58,0)))),NOT(IFERROR(COUNTIF(OFFSET('PRODUCT DATA'!$F$2,0,MATCH($AC129,'PRODUCT DATA'!$F$1:$NN$1,0)-1,114,1),$N129)&gt;0,FALSE()))),IF(UPPER(IFERROR(OFFSET('PRODUCT DATA'!$C$2,MATCH($N129,'PRODUCT DATA'!$B$2:$B$58,0)-1,0),""))="NO","Alcohol Restriction; ","Item Code / Country combination; "),"")&amp;IF($C129="","Quantity; ","")&amp;IF(AND($C129&lt;&gt;"",OR(NOT(ISNUMBER($C129)),$C129&lt;1,$C129&gt;999,MOD($C129,1)&lt;&gt;0)),"Quantity; ","")&amp;IF($D129="","Recipient Name; ","")&amp;IF(LEN($D129)&gt;35,"Recipient Name; ","")&amp;IF($E129="","Recipient Phone; ","")&amp;IF(AND($E129&lt;&gt;"",OR(LEN($E129)&lt;6,LEN($E129)&gt;20,NOT(IFERROR(ISNUMBER(1*$E129),FALSE())))),"Recipient Phone; ","")&amp;IF(LEN($F129)&gt;35,"Recipient Company Name; ","")&amp;IF($G129="","Address Line 1; ","")&amp;IF(LEN($G129)&gt;35,"Address Line 1; ","")&amp;IF(LEN($H129)&gt;35,"Address Line 2; ","")&amp;IF(LEN($I129)&gt;35,"Address Line 3; ","")&amp;IF($J129="","Town; ","")&amp;IF(LEN($J129)&gt;35,"Town; ","")&amp;IF(AND($N129="IE",$K129=""),"County; ","")&amp;IF(LEN($AB129)&gt;35,"County; ","")&amp;IF(AND($L129="",AND($N129&lt;&gt;"AE",$N129&lt;&gt;"QA")),"Postcode; ","")&amp;IF(LEN($L129)&gt;35,"Postcode; ","")&amp;IF($AE129&lt;&gt;"","Postcode; ","")&amp;IF(LEN($O129)&gt;40,"Gift Message 1; ","")&amp;IF(LEN($P129)&gt;40,"Gift Message 2; ","")&amp;IF(LEN($Q129)&gt;40,"Gift Message 3; ","")&amp;IF(LEN($R129)&gt;40,"Gift Message 4; ","")&amp;IF(LEN($S129)&gt;40,"Gift Message 5; ","")&amp;IF(LEN($T129)&gt;40,"Gift Message 6; ","")&amp;IF(LEN($U129)&gt;40,"Gift Message 7; ",""))</f>
        <v/>
      </c>
      <c r="X129" s="44" t="str">
        <f ca="1">IF(COUNTA($A129,$D129:$M129,$O129:$U129)=0,"",IF($A129="","Enter the Item Code (hamper) - type it, paste it, or choose it from the dropdown. ","")&amp;IF(AND($A129&lt;&gt;"",ISNA(MATCH($AC129,'PRODUCT DATA'!$D$2:$D$394,0))),"This Item Code is not recognised. Check the code (case does not matter, but spelling and digits must match exactly) or choose it from the dropdown. ","")&amp;IF($M129="","Enter the Country after the Item Code - type or paste the name or the 2-letter code, or choose it from the dropdown. ","")&amp;IF(AND($M129&lt;&gt;"",NOT(OR(NOT(ISNA(MATCH(IF(UPPER($M129)="UK","GB",$M129),'PRODUCT DATA'!$A$2:$A$58,0))),NOT(ISNA(MATCH(IF(UPPER($M129)="UK","GB",$M129),'PRODUCT DATA'!$B$2:$B$58,0)))))),"This Country is not recognised as either a full name or a 2-letter code. Check the spelling (case does not matter) or choose it from the dropdown. ","")&amp;IF(AND($A129&lt;&gt;"",$M129&lt;&gt;"",NOT(ISNA(MATCH($AC129,'PRODUCT DATA'!$D$2:$D$394,0))),OR(NOT(ISNA(MATCH(IF(UPPER($M129)="UK","GB",$M129),'PRODUCT DATA'!$A$2:$A$58,0))),NOT(ISNA(MATCH(IF(UPPER($M129)="UK","GB",$M129),'PRODUCT DATA'!$B$2:$B$58,0)))),NOT(IFERROR(COUNTIF(OFFSET('PRODUCT DATA'!$F$2,0,MATCH($AC129,'PRODUCT DATA'!$F$1:$NN$1,0)-1,114,1),$N129)&gt;0,FALSE()))),IF(UPPER(IFERROR(OFFSET('PRODUCT DATA'!$C$2,MATCH($N129,'PRODUCT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"),"")&amp;IF($C129="","Enter Quantity. ","")&amp;IF(AND($C129&lt;&gt;"",OR(NOT(ISNUMBER($C129)),$C129&lt;1,$C129&gt;999,MOD($C129,1)&lt;&gt;0)),"Quantity must be a whole number from 1 to 999 (use a quantity above 1 only for a genuine bulk order of identical items to ONE address — otherwise use a separate row per recipient). ","")&amp;IF($D129="","Enter Recipient Name. ","")&amp;IF(LEN($D129)&gt;35,"Recipient Name exceeds 35 characters. ","")&amp;IF($E129="","Enter Recipient Phone. ","")&amp;IF(AND($E129&lt;&gt;"",OR(LEN($E129)&lt;6,LEN($E129)&gt;20,NOT(IFERROR(ISNUMBER(1*$E129),FALSE())))),"Phone must be the LOCAL number for the destination country: digits only, no +, spaces, or country code, 6 to 20 digits. ","")&amp;IF(LEN($F129)&gt;35,"Recipient Company Name exceeds 35 characters. ","")&amp;IF($G129="","Enter Address Line 1. ","")&amp;IF(LEN($G129)&gt;35,"Address Line 1 exceeds the 35-character SAP limit. ","")&amp;IF(LEN($H129)&gt;35,"Address Line 2 exceeds the 35-character SAP limit. ","")&amp;IF(LEN($I129)&gt;35,"Address Line 3 exceeds the 35-character SAP limit. ","")&amp;IF($J129="","Enter Town. This must never be left blank, even if there is no conventional town name. ","")&amp;IF(LEN($J129)&gt;35,"Town exceeds 35 characters. ","")&amp;IF(AND($N129="IE",$K129=""),"County is required for deliveries within the Republic of Ireland. ","")&amp;IF(LEN($AB129)&gt;35,"County exceeds 35 characters. ","")&amp;IF(AND($L129="",AND($N129&lt;&gt;"AE",$N129&lt;&gt;"QA")),"Postcode is required for the selected country. If there is genuinely no postcode, enter the first 3 characters of the area (e.g. D15). ","")&amp;IF(LEN($L129)&gt;35,"Postcode exceeds 35 characters. ","")&amp;IF($AE129&lt;&gt;"",$AE129,"")&amp;IF(LEN($O129)&gt;40,"Gift Message Line 1 exceeds 40 characters. ","")&amp;IF(LEN($P129)&gt;40,"Gift Message Line 2 exceeds 40 characters. ","")&amp;IF(LEN($Q129)&gt;40,"Gift Message Line 3 exceeds 40 characters. ","")&amp;IF(LEN($R129)&gt;40,"Gift Message Line 4 exceeds 40 characters. ","")&amp;IF(LEN($S129)&gt;40,"Gift Message Line 5 exceeds 40 characters. ","")&amp;IF(LEN($T129)&gt;40,"Gift Message Line 6 exceeds 40 characters. ","")&amp;IF(LEN($U129)&gt;40,"Gift Message Line 7 exceeds 40 characters. ",""))</f>
        <v/>
      </c>
      <c r="Y129" s="44" t="str">
        <f t="shared" si="5"/>
        <v/>
      </c>
      <c r="Z129" s="44"/>
      <c r="AA129" s="44"/>
      <c r="AB129" s="32" t="str">
        <f t="shared" si="6"/>
        <v/>
      </c>
      <c r="AC129" s="32" t="str">
        <f>IF($A129="","",IFERROR(LEFT(INDEX('PRODUCT DATA'!$NO$2:$NO$25,MATCH($A129,'PRODUCT DATA'!$NP$2:$NP$25,0)),FIND("|",INDEX('PRODUCT DATA'!$NO$2:$NO$25,MATCH($A129,'PRODUCT DATA'!$NP$2:$NP$25,0)))-1),$A129))</f>
        <v/>
      </c>
      <c r="AD129" s="45"/>
      <c r="AE129" s="45" t="str">
        <f t="shared" si="7"/>
        <v/>
      </c>
    </row>
    <row r="130" spans="1:31" ht="15" customHeight="1" x14ac:dyDescent="0.25">
      <c r="A130" s="40"/>
      <c r="B130" s="43" t="str">
        <f>IF($A130="","",IFERROR(VLOOKUP($AC130,'PRODUCT DATA'!$NR$2:$NS$374,2,FALSE()),"UNKNOWN ITEM CODE - please check"))</f>
        <v/>
      </c>
      <c r="C130" s="39">
        <v>1</v>
      </c>
      <c r="D130" s="39"/>
      <c r="E130" s="40"/>
      <c r="F130" s="41"/>
      <c r="G130" s="39"/>
      <c r="H130" s="41"/>
      <c r="I130" s="41"/>
      <c r="J130" s="39"/>
      <c r="K130" s="41"/>
      <c r="L130" s="40"/>
      <c r="M130" s="40"/>
      <c r="N130" s="42" t="str">
        <f>IF($M130="","",IFERROR(INDEX('PRODUCT DATA'!$B$2:$B$58,MATCH(IF(UPPER($M130)="UK","GB",$M130),'PRODUCT DATA'!$B$2:$B$58,0)),IFERROR(INDEX('PRODUCT DATA'!$B$2:$B$58,MATCH(IF(UPPER($M130)="UK","GB",$M130),'PRODUCT DATA'!$A$2:$A$58,0)),"UNKNOWN COUNTRY - please check")))</f>
        <v/>
      </c>
      <c r="O130" s="41"/>
      <c r="P130" s="41"/>
      <c r="Q130" s="41"/>
      <c r="R130" s="41"/>
      <c r="S130" s="41"/>
      <c r="T130" s="41"/>
      <c r="U130" s="41"/>
      <c r="V130" s="43" t="str">
        <f t="shared" si="4"/>
        <v/>
      </c>
      <c r="W130" s="44" t="str">
        <f ca="1">IF(COUNTA($A130,$D130:$M130,$O130:$U130)=0,"",IF($A130="","Item Code; ","")&amp;IF(AND($A130&lt;&gt;"",ISNA(MATCH($AC130,'PRODUCT DATA'!$D$2:$D$394,0))),"Item Code; ","")&amp;IF($M130="","Country; ","")&amp;IF(AND($M130&lt;&gt;"",NOT(OR(NOT(ISNA(MATCH(IF(UPPER($M130)="UK","GB",$M130),'PRODUCT DATA'!$A$2:$A$58,0))),NOT(ISNA(MATCH(IF(UPPER($M130)="UK","GB",$M130),'PRODUCT DATA'!$B$2:$B$58,0)))))),"Country; ","")&amp;IF(AND($A130&lt;&gt;"",$M130&lt;&gt;"",NOT(ISNA(MATCH($AC130,'PRODUCT DATA'!$D$2:$D$394,0))),OR(NOT(ISNA(MATCH(IF(UPPER($M130)="UK","GB",$M130),'PRODUCT DATA'!$A$2:$A$58,0))),NOT(ISNA(MATCH(IF(UPPER($M130)="UK","GB",$M130),'PRODUCT DATA'!$B$2:$B$58,0)))),NOT(IFERROR(COUNTIF(OFFSET('PRODUCT DATA'!$F$2,0,MATCH($AC130,'PRODUCT DATA'!$F$1:$NN$1,0)-1,114,1),$N130)&gt;0,FALSE()))),IF(UPPER(IFERROR(OFFSET('PRODUCT DATA'!$C$2,MATCH($N130,'PRODUCT DATA'!$B$2:$B$58,0)-1,0),""))="NO","Alcohol Restriction; ","Item Code / Country combination; "),"")&amp;IF($C130="","Quantity; ","")&amp;IF(AND($C130&lt;&gt;"",OR(NOT(ISNUMBER($C130)),$C130&lt;1,$C130&gt;999,MOD($C130,1)&lt;&gt;0)),"Quantity; ","")&amp;IF($D130="","Recipient Name; ","")&amp;IF(LEN($D130)&gt;35,"Recipient Name; ","")&amp;IF($E130="","Recipient Phone; ","")&amp;IF(AND($E130&lt;&gt;"",OR(LEN($E130)&lt;6,LEN($E130)&gt;20,NOT(IFERROR(ISNUMBER(1*$E130),FALSE())))),"Recipient Phone; ","")&amp;IF(LEN($F130)&gt;35,"Recipient Company Name; ","")&amp;IF($G130="","Address Line 1; ","")&amp;IF(LEN($G130)&gt;35,"Address Line 1; ","")&amp;IF(LEN($H130)&gt;35,"Address Line 2; ","")&amp;IF(LEN($I130)&gt;35,"Address Line 3; ","")&amp;IF($J130="","Town; ","")&amp;IF(LEN($J130)&gt;35,"Town; ","")&amp;IF(AND($N130="IE",$K130=""),"County; ","")&amp;IF(LEN($AB130)&gt;35,"County; ","")&amp;IF(AND($L130="",AND($N130&lt;&gt;"AE",$N130&lt;&gt;"QA")),"Postcode; ","")&amp;IF(LEN($L130)&gt;35,"Postcode; ","")&amp;IF($AE130&lt;&gt;"","Postcode; ","")&amp;IF(LEN($O130)&gt;40,"Gift Message 1; ","")&amp;IF(LEN($P130)&gt;40,"Gift Message 2; ","")&amp;IF(LEN($Q130)&gt;40,"Gift Message 3; ","")&amp;IF(LEN($R130)&gt;40,"Gift Message 4; ","")&amp;IF(LEN($S130)&gt;40,"Gift Message 5; ","")&amp;IF(LEN($T130)&gt;40,"Gift Message 6; ","")&amp;IF(LEN($U130)&gt;40,"Gift Message 7; ",""))</f>
        <v/>
      </c>
      <c r="X130" s="44" t="str">
        <f ca="1">IF(COUNTA($A130,$D130:$M130,$O130:$U130)=0,"",IF($A130="","Enter the Item Code (hamper) - type it, paste it, or choose it from the dropdown. ","")&amp;IF(AND($A130&lt;&gt;"",ISNA(MATCH($AC130,'PRODUCT DATA'!$D$2:$D$394,0))),"This Item Code is not recognised. Check the code (case does not matter, but spelling and digits must match exactly) or choose it from the dropdown. ","")&amp;IF($M130="","Enter the Country after the Item Code - type or paste the name or the 2-letter code, or choose it from the dropdown. ","")&amp;IF(AND($M130&lt;&gt;"",NOT(OR(NOT(ISNA(MATCH(IF(UPPER($M130)="UK","GB",$M130),'PRODUCT DATA'!$A$2:$A$58,0))),NOT(ISNA(MATCH(IF(UPPER($M130)="UK","GB",$M130),'PRODUCT DATA'!$B$2:$B$58,0)))))),"This Country is not recognised as either a full name or a 2-letter code. Check the spelling (case does not matter) or choose it from the dropdown. ","")&amp;IF(AND($A130&lt;&gt;"",$M130&lt;&gt;"",NOT(ISNA(MATCH($AC130,'PRODUCT DATA'!$D$2:$D$394,0))),OR(NOT(ISNA(MATCH(IF(UPPER($M130)="UK","GB",$M130),'PRODUCT DATA'!$A$2:$A$58,0))),NOT(ISNA(MATCH(IF(UPPER($M130)="UK","GB",$M130),'PRODUCT DATA'!$B$2:$B$58,0)))),NOT(IFERROR(COUNTIF(OFFSET('PRODUCT DATA'!$F$2,0,MATCH($AC130,'PRODUCT DATA'!$F$1:$NN$1,0)-1,114,1),$N130)&gt;0,FALSE()))),IF(UPPER(IFERROR(OFFSET('PRODUCT DATA'!$C$2,MATCH($N130,'PRODUCT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"),"")&amp;IF($C130="","Enter Quantity. ","")&amp;IF(AND($C130&lt;&gt;"",OR(NOT(ISNUMBER($C130)),$C130&lt;1,$C130&gt;999,MOD($C130,1)&lt;&gt;0)),"Quantity must be a whole number from 1 to 999 (use a quantity above 1 only for a genuine bulk order of identical items to ONE address — otherwise use a separate row per recipient). ","")&amp;IF($D130="","Enter Recipient Name. ","")&amp;IF(LEN($D130)&gt;35,"Recipient Name exceeds 35 characters. ","")&amp;IF($E130="","Enter Recipient Phone. ","")&amp;IF(AND($E130&lt;&gt;"",OR(LEN($E130)&lt;6,LEN($E130)&gt;20,NOT(IFERROR(ISNUMBER(1*$E130),FALSE())))),"Phone must be the LOCAL number for the destination country: digits only, no +, spaces, or country code, 6 to 20 digits. ","")&amp;IF(LEN($F130)&gt;35,"Recipient Company Name exceeds 35 characters. ","")&amp;IF($G130="","Enter Address Line 1. ","")&amp;IF(LEN($G130)&gt;35,"Address Line 1 exceeds the 35-character SAP limit. ","")&amp;IF(LEN($H130)&gt;35,"Address Line 2 exceeds the 35-character SAP limit. ","")&amp;IF(LEN($I130)&gt;35,"Address Line 3 exceeds the 35-character SAP limit. ","")&amp;IF($J130="","Enter Town. This must never be left blank, even if there is no conventional town name. ","")&amp;IF(LEN($J130)&gt;35,"Town exceeds 35 characters. ","")&amp;IF(AND($N130="IE",$K130=""),"County is required for deliveries within the Republic of Ireland. ","")&amp;IF(LEN($AB130)&gt;35,"County exceeds 35 characters. ","")&amp;IF(AND($L130="",AND($N130&lt;&gt;"AE",$N130&lt;&gt;"QA")),"Postcode is required for the selected country. If there is genuinely no postcode, enter the first 3 characters of the area (e.g. D15). ","")&amp;IF(LEN($L130)&gt;35,"Postcode exceeds 35 characters. ","")&amp;IF($AE130&lt;&gt;"",$AE130,"")&amp;IF(LEN($O130)&gt;40,"Gift Message Line 1 exceeds 40 characters. ","")&amp;IF(LEN($P130)&gt;40,"Gift Message Line 2 exceeds 40 characters. ","")&amp;IF(LEN($Q130)&gt;40,"Gift Message Line 3 exceeds 40 characters. ","")&amp;IF(LEN($R130)&gt;40,"Gift Message Line 4 exceeds 40 characters. ","")&amp;IF(LEN($S130)&gt;40,"Gift Message Line 5 exceeds 40 characters. ","")&amp;IF(LEN($T130)&gt;40,"Gift Message Line 6 exceeds 40 characters. ","")&amp;IF(LEN($U130)&gt;40,"Gift Message Line 7 exceeds 40 characters. ",""))</f>
        <v/>
      </c>
      <c r="Y130" s="44" t="str">
        <f t="shared" si="5"/>
        <v/>
      </c>
      <c r="Z130" s="44"/>
      <c r="AA130" s="44"/>
      <c r="AB130" s="32" t="str">
        <f t="shared" si="6"/>
        <v/>
      </c>
      <c r="AC130" s="32" t="str">
        <f>IF($A130="","",IFERROR(LEFT(INDEX('PRODUCT DATA'!$NO$2:$NO$25,MATCH($A130,'PRODUCT DATA'!$NP$2:$NP$25,0)),FIND("|",INDEX('PRODUCT DATA'!$NO$2:$NO$25,MATCH($A130,'PRODUCT DATA'!$NP$2:$NP$25,0)))-1),$A130))</f>
        <v/>
      </c>
      <c r="AD130" s="45"/>
      <c r="AE130" s="45" t="str">
        <f t="shared" si="7"/>
        <v/>
      </c>
    </row>
    <row r="131" spans="1:31" ht="15" customHeight="1" x14ac:dyDescent="0.25">
      <c r="A131" s="40"/>
      <c r="B131" s="43" t="str">
        <f>IF($A131="","",IFERROR(VLOOKUP($AC131,'PRODUCT DATA'!$NR$2:$NS$374,2,FALSE()),"UNKNOWN ITEM CODE - please check"))</f>
        <v/>
      </c>
      <c r="C131" s="39">
        <v>1</v>
      </c>
      <c r="D131" s="39"/>
      <c r="E131" s="40"/>
      <c r="F131" s="41"/>
      <c r="G131" s="39"/>
      <c r="H131" s="41"/>
      <c r="I131" s="41"/>
      <c r="J131" s="39"/>
      <c r="K131" s="41"/>
      <c r="L131" s="40"/>
      <c r="M131" s="40"/>
      <c r="N131" s="42" t="str">
        <f>IF($M131="","",IFERROR(INDEX('PRODUCT DATA'!$B$2:$B$58,MATCH(IF(UPPER($M131)="UK","GB",$M131),'PRODUCT DATA'!$B$2:$B$58,0)),IFERROR(INDEX('PRODUCT DATA'!$B$2:$B$58,MATCH(IF(UPPER($M131)="UK","GB",$M131),'PRODUCT DATA'!$A$2:$A$58,0)),"UNKNOWN COUNTRY - please check")))</f>
        <v/>
      </c>
      <c r="O131" s="41"/>
      <c r="P131" s="41"/>
      <c r="Q131" s="41"/>
      <c r="R131" s="41"/>
      <c r="S131" s="41"/>
      <c r="T131" s="41"/>
      <c r="U131" s="41"/>
      <c r="V131" s="43" t="str">
        <f t="shared" si="4"/>
        <v/>
      </c>
      <c r="W131" s="44" t="str">
        <f ca="1">IF(COUNTA($A131,$D131:$M131,$O131:$U131)=0,"",IF($A131="","Item Code; ","")&amp;IF(AND($A131&lt;&gt;"",ISNA(MATCH($AC131,'PRODUCT DATA'!$D$2:$D$394,0))),"Item Code; ","")&amp;IF($M131="","Country; ","")&amp;IF(AND($M131&lt;&gt;"",NOT(OR(NOT(ISNA(MATCH(IF(UPPER($M131)="UK","GB",$M131),'PRODUCT DATA'!$A$2:$A$58,0))),NOT(ISNA(MATCH(IF(UPPER($M131)="UK","GB",$M131),'PRODUCT DATA'!$B$2:$B$58,0)))))),"Country; ","")&amp;IF(AND($A131&lt;&gt;"",$M131&lt;&gt;"",NOT(ISNA(MATCH($AC131,'PRODUCT DATA'!$D$2:$D$394,0))),OR(NOT(ISNA(MATCH(IF(UPPER($M131)="UK","GB",$M131),'PRODUCT DATA'!$A$2:$A$58,0))),NOT(ISNA(MATCH(IF(UPPER($M131)="UK","GB",$M131),'PRODUCT DATA'!$B$2:$B$58,0)))),NOT(IFERROR(COUNTIF(OFFSET('PRODUCT DATA'!$F$2,0,MATCH($AC131,'PRODUCT DATA'!$F$1:$NN$1,0)-1,114,1),$N131)&gt;0,FALSE()))),IF(UPPER(IFERROR(OFFSET('PRODUCT DATA'!$C$2,MATCH($N131,'PRODUCT DATA'!$B$2:$B$58,0)-1,0),""))="NO","Alcohol Restriction; ","Item Code / Country combination; "),"")&amp;IF($C131="","Quantity; ","")&amp;IF(AND($C131&lt;&gt;"",OR(NOT(ISNUMBER($C131)),$C131&lt;1,$C131&gt;999,MOD($C131,1)&lt;&gt;0)),"Quantity; ","")&amp;IF($D131="","Recipient Name; ","")&amp;IF(LEN($D131)&gt;35,"Recipient Name; ","")&amp;IF($E131="","Recipient Phone; ","")&amp;IF(AND($E131&lt;&gt;"",OR(LEN($E131)&lt;6,LEN($E131)&gt;20,NOT(IFERROR(ISNUMBER(1*$E131),FALSE())))),"Recipient Phone; ","")&amp;IF(LEN($F131)&gt;35,"Recipient Company Name; ","")&amp;IF($G131="","Address Line 1; ","")&amp;IF(LEN($G131)&gt;35,"Address Line 1; ","")&amp;IF(LEN($H131)&gt;35,"Address Line 2; ","")&amp;IF(LEN($I131)&gt;35,"Address Line 3; ","")&amp;IF($J131="","Town; ","")&amp;IF(LEN($J131)&gt;35,"Town; ","")&amp;IF(AND($N131="IE",$K131=""),"County; ","")&amp;IF(LEN($AB131)&gt;35,"County; ","")&amp;IF(AND($L131="",AND($N131&lt;&gt;"AE",$N131&lt;&gt;"QA")),"Postcode; ","")&amp;IF(LEN($L131)&gt;35,"Postcode; ","")&amp;IF($AE131&lt;&gt;"","Postcode; ","")&amp;IF(LEN($O131)&gt;40,"Gift Message 1; ","")&amp;IF(LEN($P131)&gt;40,"Gift Message 2; ","")&amp;IF(LEN($Q131)&gt;40,"Gift Message 3; ","")&amp;IF(LEN($R131)&gt;40,"Gift Message 4; ","")&amp;IF(LEN($S131)&gt;40,"Gift Message 5; ","")&amp;IF(LEN($T131)&gt;40,"Gift Message 6; ","")&amp;IF(LEN($U131)&gt;40,"Gift Message 7; ",""))</f>
        <v/>
      </c>
      <c r="X131" s="44" t="str">
        <f ca="1">IF(COUNTA($A131,$D131:$M131,$O131:$U131)=0,"",IF($A131="","Enter the Item Code (hamper) - type it, paste it, or choose it from the dropdown. ","")&amp;IF(AND($A131&lt;&gt;"",ISNA(MATCH($AC131,'PRODUCT DATA'!$D$2:$D$394,0))),"This Item Code is not recognised. Check the code (case does not matter, but spelling and digits must match exactly) or choose it from the dropdown. ","")&amp;IF($M131="","Enter the Country after the Item Code - type or paste the name or the 2-letter code, or choose it from the dropdown. ","")&amp;IF(AND($M131&lt;&gt;"",NOT(OR(NOT(ISNA(MATCH(IF(UPPER($M131)="UK","GB",$M131),'PRODUCT DATA'!$A$2:$A$58,0))),NOT(ISNA(MATCH(IF(UPPER($M131)="UK","GB",$M131),'PRODUCT DATA'!$B$2:$B$58,0)))))),"This Country is not recognised as either a full name or a 2-letter code. Check the spelling (case does not matter) or choose it from the dropdown. ","")&amp;IF(AND($A131&lt;&gt;"",$M131&lt;&gt;"",NOT(ISNA(MATCH($AC131,'PRODUCT DATA'!$D$2:$D$394,0))),OR(NOT(ISNA(MATCH(IF(UPPER($M131)="UK","GB",$M131),'PRODUCT DATA'!$A$2:$A$58,0))),NOT(ISNA(MATCH(IF(UPPER($M131)="UK","GB",$M131),'PRODUCT DATA'!$B$2:$B$58,0)))),NOT(IFERROR(COUNTIF(OFFSET('PRODUCT DATA'!$F$2,0,MATCH($AC131,'PRODUCT DATA'!$F$1:$NN$1,0)-1,114,1),$N131)&gt;0,FALSE()))),IF(UPPER(IFERROR(OFFSET('PRODUCT DATA'!$C$2,MATCH($N131,'PRODUCT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"),"")&amp;IF($C131="","Enter Quantity. ","")&amp;IF(AND($C131&lt;&gt;"",OR(NOT(ISNUMBER($C131)),$C131&lt;1,$C131&gt;999,MOD($C131,1)&lt;&gt;0)),"Quantity must be a whole number from 1 to 999 (use a quantity above 1 only for a genuine bulk order of identical items to ONE address — otherwise use a separate row per recipient). ","")&amp;IF($D131="","Enter Recipient Name. ","")&amp;IF(LEN($D131)&gt;35,"Recipient Name exceeds 35 characters. ","")&amp;IF($E131="","Enter Recipient Phone. ","")&amp;IF(AND($E131&lt;&gt;"",OR(LEN($E131)&lt;6,LEN($E131)&gt;20,NOT(IFERROR(ISNUMBER(1*$E131),FALSE())))),"Phone must be the LOCAL number for the destination country: digits only, no +, spaces, or country code, 6 to 20 digits. ","")&amp;IF(LEN($F131)&gt;35,"Recipient Company Name exceeds 35 characters. ","")&amp;IF($G131="","Enter Address Line 1. ","")&amp;IF(LEN($G131)&gt;35,"Address Line 1 exceeds the 35-character SAP limit. ","")&amp;IF(LEN($H131)&gt;35,"Address Line 2 exceeds the 35-character SAP limit. ","")&amp;IF(LEN($I131)&gt;35,"Address Line 3 exceeds the 35-character SAP limit. ","")&amp;IF($J131="","Enter Town. This must never be left blank, even if there is no conventional town name. ","")&amp;IF(LEN($J131)&gt;35,"Town exceeds 35 characters. ","")&amp;IF(AND($N131="IE",$K131=""),"County is required for deliveries within the Republic of Ireland. ","")&amp;IF(LEN($AB131)&gt;35,"County exceeds 35 characters. ","")&amp;IF(AND($L131="",AND($N131&lt;&gt;"AE",$N131&lt;&gt;"QA")),"Postcode is required for the selected country. If there is genuinely no postcode, enter the first 3 characters of the area (e.g. D15). ","")&amp;IF(LEN($L131)&gt;35,"Postcode exceeds 35 characters. ","")&amp;IF($AE131&lt;&gt;"",$AE131,"")&amp;IF(LEN($O131)&gt;40,"Gift Message Line 1 exceeds 40 characters. ","")&amp;IF(LEN($P131)&gt;40,"Gift Message Line 2 exceeds 40 characters. ","")&amp;IF(LEN($Q131)&gt;40,"Gift Message Line 3 exceeds 40 characters. ","")&amp;IF(LEN($R131)&gt;40,"Gift Message Line 4 exceeds 40 characters. ","")&amp;IF(LEN($S131)&gt;40,"Gift Message Line 5 exceeds 40 characters. ","")&amp;IF(LEN($T131)&gt;40,"Gift Message Line 6 exceeds 40 characters. ","")&amp;IF(LEN($U131)&gt;40,"Gift Message Line 7 exceeds 40 characters. ",""))</f>
        <v/>
      </c>
      <c r="Y131" s="44" t="str">
        <f t="shared" si="5"/>
        <v/>
      </c>
      <c r="Z131" s="44"/>
      <c r="AA131" s="44"/>
      <c r="AB131" s="32" t="str">
        <f t="shared" si="6"/>
        <v/>
      </c>
      <c r="AC131" s="32" t="str">
        <f>IF($A131="","",IFERROR(LEFT(INDEX('PRODUCT DATA'!$NO$2:$NO$25,MATCH($A131,'PRODUCT DATA'!$NP$2:$NP$25,0)),FIND("|",INDEX('PRODUCT DATA'!$NO$2:$NO$25,MATCH($A131,'PRODUCT DATA'!$NP$2:$NP$25,0)))-1),$A131))</f>
        <v/>
      </c>
      <c r="AD131" s="45"/>
      <c r="AE131" s="45" t="str">
        <f t="shared" si="7"/>
        <v/>
      </c>
    </row>
    <row r="132" spans="1:31" ht="15" customHeight="1" x14ac:dyDescent="0.25">
      <c r="A132" s="40"/>
      <c r="B132" s="43" t="str">
        <f>IF($A132="","",IFERROR(VLOOKUP($AC132,'PRODUCT DATA'!$NR$2:$NS$374,2,FALSE()),"UNKNOWN ITEM CODE - please check"))</f>
        <v/>
      </c>
      <c r="C132" s="39">
        <v>1</v>
      </c>
      <c r="D132" s="39"/>
      <c r="E132" s="40"/>
      <c r="F132" s="41"/>
      <c r="G132" s="39"/>
      <c r="H132" s="41"/>
      <c r="I132" s="41"/>
      <c r="J132" s="39"/>
      <c r="K132" s="41"/>
      <c r="L132" s="40"/>
      <c r="M132" s="40"/>
      <c r="N132" s="42" t="str">
        <f>IF($M132="","",IFERROR(INDEX('PRODUCT DATA'!$B$2:$B$58,MATCH(IF(UPPER($M132)="UK","GB",$M132),'PRODUCT DATA'!$B$2:$B$58,0)),IFERROR(INDEX('PRODUCT DATA'!$B$2:$B$58,MATCH(IF(UPPER($M132)="UK","GB",$M132),'PRODUCT DATA'!$A$2:$A$58,0)),"UNKNOWN COUNTRY - please check")))</f>
        <v/>
      </c>
      <c r="O132" s="41"/>
      <c r="P132" s="41"/>
      <c r="Q132" s="41"/>
      <c r="R132" s="41"/>
      <c r="S132" s="41"/>
      <c r="T132" s="41"/>
      <c r="U132" s="41"/>
      <c r="V132" s="43" t="str">
        <f t="shared" si="4"/>
        <v/>
      </c>
      <c r="W132" s="44" t="str">
        <f ca="1">IF(COUNTA($A132,$D132:$M132,$O132:$U132)=0,"",IF($A132="","Item Code; ","")&amp;IF(AND($A132&lt;&gt;"",ISNA(MATCH($AC132,'PRODUCT DATA'!$D$2:$D$394,0))),"Item Code; ","")&amp;IF($M132="","Country; ","")&amp;IF(AND($M132&lt;&gt;"",NOT(OR(NOT(ISNA(MATCH(IF(UPPER($M132)="UK","GB",$M132),'PRODUCT DATA'!$A$2:$A$58,0))),NOT(ISNA(MATCH(IF(UPPER($M132)="UK","GB",$M132),'PRODUCT DATA'!$B$2:$B$58,0)))))),"Country; ","")&amp;IF(AND($A132&lt;&gt;"",$M132&lt;&gt;"",NOT(ISNA(MATCH($AC132,'PRODUCT DATA'!$D$2:$D$394,0))),OR(NOT(ISNA(MATCH(IF(UPPER($M132)="UK","GB",$M132),'PRODUCT DATA'!$A$2:$A$58,0))),NOT(ISNA(MATCH(IF(UPPER($M132)="UK","GB",$M132),'PRODUCT DATA'!$B$2:$B$58,0)))),NOT(IFERROR(COUNTIF(OFFSET('PRODUCT DATA'!$F$2,0,MATCH($AC132,'PRODUCT DATA'!$F$1:$NN$1,0)-1,114,1),$N132)&gt;0,FALSE()))),IF(UPPER(IFERROR(OFFSET('PRODUCT DATA'!$C$2,MATCH($N132,'PRODUCT DATA'!$B$2:$B$58,0)-1,0),""))="NO","Alcohol Restriction; ","Item Code / Country combination; "),"")&amp;IF($C132="","Quantity; ","")&amp;IF(AND($C132&lt;&gt;"",OR(NOT(ISNUMBER($C132)),$C132&lt;1,$C132&gt;999,MOD($C132,1)&lt;&gt;0)),"Quantity; ","")&amp;IF($D132="","Recipient Name; ","")&amp;IF(LEN($D132)&gt;35,"Recipient Name; ","")&amp;IF($E132="","Recipient Phone; ","")&amp;IF(AND($E132&lt;&gt;"",OR(LEN($E132)&lt;6,LEN($E132)&gt;20,NOT(IFERROR(ISNUMBER(1*$E132),FALSE())))),"Recipient Phone; ","")&amp;IF(LEN($F132)&gt;35,"Recipient Company Name; ","")&amp;IF($G132="","Address Line 1; ","")&amp;IF(LEN($G132)&gt;35,"Address Line 1; ","")&amp;IF(LEN($H132)&gt;35,"Address Line 2; ","")&amp;IF(LEN($I132)&gt;35,"Address Line 3; ","")&amp;IF($J132="","Town; ","")&amp;IF(LEN($J132)&gt;35,"Town; ","")&amp;IF(AND($N132="IE",$K132=""),"County; ","")&amp;IF(LEN($AB132)&gt;35,"County; ","")&amp;IF(AND($L132="",AND($N132&lt;&gt;"AE",$N132&lt;&gt;"QA")),"Postcode; ","")&amp;IF(LEN($L132)&gt;35,"Postcode; ","")&amp;IF($AE132&lt;&gt;"","Postcode; ","")&amp;IF(LEN($O132)&gt;40,"Gift Message 1; ","")&amp;IF(LEN($P132)&gt;40,"Gift Message 2; ","")&amp;IF(LEN($Q132)&gt;40,"Gift Message 3; ","")&amp;IF(LEN($R132)&gt;40,"Gift Message 4; ","")&amp;IF(LEN($S132)&gt;40,"Gift Message 5; ","")&amp;IF(LEN($T132)&gt;40,"Gift Message 6; ","")&amp;IF(LEN($U132)&gt;40,"Gift Message 7; ",""))</f>
        <v/>
      </c>
      <c r="X132" s="44" t="str">
        <f ca="1">IF(COUNTA($A132,$D132:$M132,$O132:$U132)=0,"",IF($A132="","Enter the Item Code (hamper) - type it, paste it, or choose it from the dropdown. ","")&amp;IF(AND($A132&lt;&gt;"",ISNA(MATCH($AC132,'PRODUCT DATA'!$D$2:$D$394,0))),"This Item Code is not recognised. Check the code (case does not matter, but spelling and digits must match exactly) or choose it from the dropdown. ","")&amp;IF($M132="","Enter the Country after the Item Code - type or paste the name or the 2-letter code, or choose it from the dropdown. ","")&amp;IF(AND($M132&lt;&gt;"",NOT(OR(NOT(ISNA(MATCH(IF(UPPER($M132)="UK","GB",$M132),'PRODUCT DATA'!$A$2:$A$58,0))),NOT(ISNA(MATCH(IF(UPPER($M132)="UK","GB",$M132),'PRODUCT DATA'!$B$2:$B$58,0)))))),"This Country is not recognised as either a full name or a 2-letter code. Check the spelling (case does not matter) or choose it from the dropdown. ","")&amp;IF(AND($A132&lt;&gt;"",$M132&lt;&gt;"",NOT(ISNA(MATCH($AC132,'PRODUCT DATA'!$D$2:$D$394,0))),OR(NOT(ISNA(MATCH(IF(UPPER($M132)="UK","GB",$M132),'PRODUCT DATA'!$A$2:$A$58,0))),NOT(ISNA(MATCH(IF(UPPER($M132)="UK","GB",$M132),'PRODUCT DATA'!$B$2:$B$58,0)))),NOT(IFERROR(COUNTIF(OFFSET('PRODUCT DATA'!$F$2,0,MATCH($AC132,'PRODUCT DATA'!$F$1:$NN$1,0)-1,114,1),$N132)&gt;0,FALSE()))),IF(UPPER(IFERROR(OFFSET('PRODUCT DATA'!$C$2,MATCH($N132,'PRODUCT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"),"")&amp;IF($C132="","Enter Quantity. ","")&amp;IF(AND($C132&lt;&gt;"",OR(NOT(ISNUMBER($C132)),$C132&lt;1,$C132&gt;999,MOD($C132,1)&lt;&gt;0)),"Quantity must be a whole number from 1 to 999 (use a quantity above 1 only for a genuine bulk order of identical items to ONE address — otherwise use a separate row per recipient). ","")&amp;IF($D132="","Enter Recipient Name. ","")&amp;IF(LEN($D132)&gt;35,"Recipient Name exceeds 35 characters. ","")&amp;IF($E132="","Enter Recipient Phone. ","")&amp;IF(AND($E132&lt;&gt;"",OR(LEN($E132)&lt;6,LEN($E132)&gt;20,NOT(IFERROR(ISNUMBER(1*$E132),FALSE())))),"Phone must be the LOCAL number for the destination country: digits only, no +, spaces, or country code, 6 to 20 digits. ","")&amp;IF(LEN($F132)&gt;35,"Recipient Company Name exceeds 35 characters. ","")&amp;IF($G132="","Enter Address Line 1. ","")&amp;IF(LEN($G132)&gt;35,"Address Line 1 exceeds the 35-character SAP limit. ","")&amp;IF(LEN($H132)&gt;35,"Address Line 2 exceeds the 35-character SAP limit. ","")&amp;IF(LEN($I132)&gt;35,"Address Line 3 exceeds the 35-character SAP limit. ","")&amp;IF($J132="","Enter Town. This must never be left blank, even if there is no conventional town name. ","")&amp;IF(LEN($J132)&gt;35,"Town exceeds 35 characters. ","")&amp;IF(AND($N132="IE",$K132=""),"County is required for deliveries within the Republic of Ireland. ","")&amp;IF(LEN($AB132)&gt;35,"County exceeds 35 characters. ","")&amp;IF(AND($L132="",AND($N132&lt;&gt;"AE",$N132&lt;&gt;"QA")),"Postcode is required for the selected country. If there is genuinely no postcode, enter the first 3 characters of the area (e.g. D15). ","")&amp;IF(LEN($L132)&gt;35,"Postcode exceeds 35 characters. ","")&amp;IF($AE132&lt;&gt;"",$AE132,"")&amp;IF(LEN($O132)&gt;40,"Gift Message Line 1 exceeds 40 characters. ","")&amp;IF(LEN($P132)&gt;40,"Gift Message Line 2 exceeds 40 characters. ","")&amp;IF(LEN($Q132)&gt;40,"Gift Message Line 3 exceeds 40 characters. ","")&amp;IF(LEN($R132)&gt;40,"Gift Message Line 4 exceeds 40 characters. ","")&amp;IF(LEN($S132)&gt;40,"Gift Message Line 5 exceeds 40 characters. ","")&amp;IF(LEN($T132)&gt;40,"Gift Message Line 6 exceeds 40 characters. ","")&amp;IF(LEN($U132)&gt;40,"Gift Message Line 7 exceeds 40 characters. ",""))</f>
        <v/>
      </c>
      <c r="Y132" s="44" t="str">
        <f t="shared" si="5"/>
        <v/>
      </c>
      <c r="Z132" s="44"/>
      <c r="AA132" s="44"/>
      <c r="AB132" s="32" t="str">
        <f t="shared" si="6"/>
        <v/>
      </c>
      <c r="AC132" s="32" t="str">
        <f>IF($A132="","",IFERROR(LEFT(INDEX('PRODUCT DATA'!$NO$2:$NO$25,MATCH($A132,'PRODUCT DATA'!$NP$2:$NP$25,0)),FIND("|",INDEX('PRODUCT DATA'!$NO$2:$NO$25,MATCH($A132,'PRODUCT DATA'!$NP$2:$NP$25,0)))-1),$A132))</f>
        <v/>
      </c>
      <c r="AD132" s="45"/>
      <c r="AE132" s="45" t="str">
        <f t="shared" si="7"/>
        <v/>
      </c>
    </row>
    <row r="133" spans="1:31" ht="15" customHeight="1" x14ac:dyDescent="0.25">
      <c r="A133" s="40"/>
      <c r="B133" s="43" t="str">
        <f>IF($A133="","",IFERROR(VLOOKUP($AC133,'PRODUCT DATA'!$NR$2:$NS$374,2,FALSE()),"UNKNOWN ITEM CODE - please check"))</f>
        <v/>
      </c>
      <c r="C133" s="39">
        <v>1</v>
      </c>
      <c r="D133" s="39"/>
      <c r="E133" s="40"/>
      <c r="F133" s="41"/>
      <c r="G133" s="39"/>
      <c r="H133" s="41"/>
      <c r="I133" s="41"/>
      <c r="J133" s="39"/>
      <c r="K133" s="41"/>
      <c r="L133" s="40"/>
      <c r="M133" s="40"/>
      <c r="N133" s="42" t="str">
        <f>IF($M133="","",IFERROR(INDEX('PRODUCT DATA'!$B$2:$B$58,MATCH(IF(UPPER($M133)="UK","GB",$M133),'PRODUCT DATA'!$B$2:$B$58,0)),IFERROR(INDEX('PRODUCT DATA'!$B$2:$B$58,MATCH(IF(UPPER($M133)="UK","GB",$M133),'PRODUCT DATA'!$A$2:$A$58,0)),"UNKNOWN COUNTRY - please check")))</f>
        <v/>
      </c>
      <c r="O133" s="41"/>
      <c r="P133" s="41"/>
      <c r="Q133" s="41"/>
      <c r="R133" s="41"/>
      <c r="S133" s="41"/>
      <c r="T133" s="41"/>
      <c r="U133" s="41"/>
      <c r="V133" s="43" t="str">
        <f t="shared" si="4"/>
        <v/>
      </c>
      <c r="W133" s="44" t="str">
        <f ca="1">IF(COUNTA($A133,$D133:$M133,$O133:$U133)=0,"",IF($A133="","Item Code; ","")&amp;IF(AND($A133&lt;&gt;"",ISNA(MATCH($AC133,'PRODUCT DATA'!$D$2:$D$394,0))),"Item Code; ","")&amp;IF($M133="","Country; ","")&amp;IF(AND($M133&lt;&gt;"",NOT(OR(NOT(ISNA(MATCH(IF(UPPER($M133)="UK","GB",$M133),'PRODUCT DATA'!$A$2:$A$58,0))),NOT(ISNA(MATCH(IF(UPPER($M133)="UK","GB",$M133),'PRODUCT DATA'!$B$2:$B$58,0)))))),"Country; ","")&amp;IF(AND($A133&lt;&gt;"",$M133&lt;&gt;"",NOT(ISNA(MATCH($AC133,'PRODUCT DATA'!$D$2:$D$394,0))),OR(NOT(ISNA(MATCH(IF(UPPER($M133)="UK","GB",$M133),'PRODUCT DATA'!$A$2:$A$58,0))),NOT(ISNA(MATCH(IF(UPPER($M133)="UK","GB",$M133),'PRODUCT DATA'!$B$2:$B$58,0)))),NOT(IFERROR(COUNTIF(OFFSET('PRODUCT DATA'!$F$2,0,MATCH($AC133,'PRODUCT DATA'!$F$1:$NN$1,0)-1,114,1),$N133)&gt;0,FALSE()))),IF(UPPER(IFERROR(OFFSET('PRODUCT DATA'!$C$2,MATCH($N133,'PRODUCT DATA'!$B$2:$B$58,0)-1,0),""))="NO","Alcohol Restriction; ","Item Code / Country combination; "),"")&amp;IF($C133="","Quantity; ","")&amp;IF(AND($C133&lt;&gt;"",OR(NOT(ISNUMBER($C133)),$C133&lt;1,$C133&gt;999,MOD($C133,1)&lt;&gt;0)),"Quantity; ","")&amp;IF($D133="","Recipient Name; ","")&amp;IF(LEN($D133)&gt;35,"Recipient Name; ","")&amp;IF($E133="","Recipient Phone; ","")&amp;IF(AND($E133&lt;&gt;"",OR(LEN($E133)&lt;6,LEN($E133)&gt;20,NOT(IFERROR(ISNUMBER(1*$E133),FALSE())))),"Recipient Phone; ","")&amp;IF(LEN($F133)&gt;35,"Recipient Company Name; ","")&amp;IF($G133="","Address Line 1; ","")&amp;IF(LEN($G133)&gt;35,"Address Line 1; ","")&amp;IF(LEN($H133)&gt;35,"Address Line 2; ","")&amp;IF(LEN($I133)&gt;35,"Address Line 3; ","")&amp;IF($J133="","Town; ","")&amp;IF(LEN($J133)&gt;35,"Town; ","")&amp;IF(AND($N133="IE",$K133=""),"County; ","")&amp;IF(LEN($AB133)&gt;35,"County; ","")&amp;IF(AND($L133="",AND($N133&lt;&gt;"AE",$N133&lt;&gt;"QA")),"Postcode; ","")&amp;IF(LEN($L133)&gt;35,"Postcode; ","")&amp;IF($AE133&lt;&gt;"","Postcode; ","")&amp;IF(LEN($O133)&gt;40,"Gift Message 1; ","")&amp;IF(LEN($P133)&gt;40,"Gift Message 2; ","")&amp;IF(LEN($Q133)&gt;40,"Gift Message 3; ","")&amp;IF(LEN($R133)&gt;40,"Gift Message 4; ","")&amp;IF(LEN($S133)&gt;40,"Gift Message 5; ","")&amp;IF(LEN($T133)&gt;40,"Gift Message 6; ","")&amp;IF(LEN($U133)&gt;40,"Gift Message 7; ",""))</f>
        <v/>
      </c>
      <c r="X133" s="44" t="str">
        <f ca="1">IF(COUNTA($A133,$D133:$M133,$O133:$U133)=0,"",IF($A133="","Enter the Item Code (hamper) - type it, paste it, or choose it from the dropdown. ","")&amp;IF(AND($A133&lt;&gt;"",ISNA(MATCH($AC133,'PRODUCT DATA'!$D$2:$D$394,0))),"This Item Code is not recognised. Check the code (case does not matter, but spelling and digits must match exactly) or choose it from the dropdown. ","")&amp;IF($M133="","Enter the Country after the Item Code - type or paste the name or the 2-letter code, or choose it from the dropdown. ","")&amp;IF(AND($M133&lt;&gt;"",NOT(OR(NOT(ISNA(MATCH(IF(UPPER($M133)="UK","GB",$M133),'PRODUCT DATA'!$A$2:$A$58,0))),NOT(ISNA(MATCH(IF(UPPER($M133)="UK","GB",$M133),'PRODUCT DATA'!$B$2:$B$58,0)))))),"This Country is not recognised as either a full name or a 2-letter code. Check the spelling (case does not matter) or choose it from the dropdown. ","")&amp;IF(AND($A133&lt;&gt;"",$M133&lt;&gt;"",NOT(ISNA(MATCH($AC133,'PRODUCT DATA'!$D$2:$D$394,0))),OR(NOT(ISNA(MATCH(IF(UPPER($M133)="UK","GB",$M133),'PRODUCT DATA'!$A$2:$A$58,0))),NOT(ISNA(MATCH(IF(UPPER($M133)="UK","GB",$M133),'PRODUCT DATA'!$B$2:$B$58,0)))),NOT(IFERROR(COUNTIF(OFFSET('PRODUCT DATA'!$F$2,0,MATCH($AC133,'PRODUCT DATA'!$F$1:$NN$1,0)-1,114,1),$N133)&gt;0,FALSE()))),IF(UPPER(IFERROR(OFFSET('PRODUCT DATA'!$C$2,MATCH($N133,'PRODUCT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"),"")&amp;IF($C133="","Enter Quantity. ","")&amp;IF(AND($C133&lt;&gt;"",OR(NOT(ISNUMBER($C133)),$C133&lt;1,$C133&gt;999,MOD($C133,1)&lt;&gt;0)),"Quantity must be a whole number from 1 to 999 (use a quantity above 1 only for a genuine bulk order of identical items to ONE address — otherwise use a separate row per recipient). ","")&amp;IF($D133="","Enter Recipient Name. ","")&amp;IF(LEN($D133)&gt;35,"Recipient Name exceeds 35 characters. ","")&amp;IF($E133="","Enter Recipient Phone. ","")&amp;IF(AND($E133&lt;&gt;"",OR(LEN($E133)&lt;6,LEN($E133)&gt;20,NOT(IFERROR(ISNUMBER(1*$E133),FALSE())))),"Phone must be the LOCAL number for the destination country: digits only, no +, spaces, or country code, 6 to 20 digits. ","")&amp;IF(LEN($F133)&gt;35,"Recipient Company Name exceeds 35 characters. ","")&amp;IF($G133="","Enter Address Line 1. ","")&amp;IF(LEN($G133)&gt;35,"Address Line 1 exceeds the 35-character SAP limit. ","")&amp;IF(LEN($H133)&gt;35,"Address Line 2 exceeds the 35-character SAP limit. ","")&amp;IF(LEN($I133)&gt;35,"Address Line 3 exceeds the 35-character SAP limit. ","")&amp;IF($J133="","Enter Town. This must never be left blank, even if there is no conventional town name. ","")&amp;IF(LEN($J133)&gt;35,"Town exceeds 35 characters. ","")&amp;IF(AND($N133="IE",$K133=""),"County is required for deliveries within the Republic of Ireland. ","")&amp;IF(LEN($AB133)&gt;35,"County exceeds 35 characters. ","")&amp;IF(AND($L133="",AND($N133&lt;&gt;"AE",$N133&lt;&gt;"QA")),"Postcode is required for the selected country. If there is genuinely no postcode, enter the first 3 characters of the area (e.g. D15). ","")&amp;IF(LEN($L133)&gt;35,"Postcode exceeds 35 characters. ","")&amp;IF($AE133&lt;&gt;"",$AE133,"")&amp;IF(LEN($O133)&gt;40,"Gift Message Line 1 exceeds 40 characters. ","")&amp;IF(LEN($P133)&gt;40,"Gift Message Line 2 exceeds 40 characters. ","")&amp;IF(LEN($Q133)&gt;40,"Gift Message Line 3 exceeds 40 characters. ","")&amp;IF(LEN($R133)&gt;40,"Gift Message Line 4 exceeds 40 characters. ","")&amp;IF(LEN($S133)&gt;40,"Gift Message Line 5 exceeds 40 characters. ","")&amp;IF(LEN($T133)&gt;40,"Gift Message Line 6 exceeds 40 characters. ","")&amp;IF(LEN($U133)&gt;40,"Gift Message Line 7 exceeds 40 characters. ",""))</f>
        <v/>
      </c>
      <c r="Y133" s="44" t="str">
        <f t="shared" si="5"/>
        <v/>
      </c>
      <c r="Z133" s="44"/>
      <c r="AA133" s="44"/>
      <c r="AB133" s="32" t="str">
        <f t="shared" si="6"/>
        <v/>
      </c>
      <c r="AC133" s="32" t="str">
        <f>IF($A133="","",IFERROR(LEFT(INDEX('PRODUCT DATA'!$NO$2:$NO$25,MATCH($A133,'PRODUCT DATA'!$NP$2:$NP$25,0)),FIND("|",INDEX('PRODUCT DATA'!$NO$2:$NO$25,MATCH($A133,'PRODUCT DATA'!$NP$2:$NP$25,0)))-1),$A133))</f>
        <v/>
      </c>
      <c r="AD133" s="45"/>
      <c r="AE133" s="45" t="str">
        <f t="shared" si="7"/>
        <v/>
      </c>
    </row>
    <row r="134" spans="1:31" ht="15" customHeight="1" x14ac:dyDescent="0.25">
      <c r="A134" s="40"/>
      <c r="B134" s="43" t="str">
        <f>IF($A134="","",IFERROR(VLOOKUP($AC134,'PRODUCT DATA'!$NR$2:$NS$374,2,FALSE()),"UNKNOWN ITEM CODE - please check"))</f>
        <v/>
      </c>
      <c r="C134" s="39">
        <v>1</v>
      </c>
      <c r="D134" s="39"/>
      <c r="E134" s="40"/>
      <c r="F134" s="41"/>
      <c r="G134" s="39"/>
      <c r="H134" s="41"/>
      <c r="I134" s="41"/>
      <c r="J134" s="39"/>
      <c r="K134" s="41"/>
      <c r="L134" s="40"/>
      <c r="M134" s="40"/>
      <c r="N134" s="42" t="str">
        <f>IF($M134="","",IFERROR(INDEX('PRODUCT DATA'!$B$2:$B$58,MATCH(IF(UPPER($M134)="UK","GB",$M134),'PRODUCT DATA'!$B$2:$B$58,0)),IFERROR(INDEX('PRODUCT DATA'!$B$2:$B$58,MATCH(IF(UPPER($M134)="UK","GB",$M134),'PRODUCT DATA'!$A$2:$A$58,0)),"UNKNOWN COUNTRY - please check")))</f>
        <v/>
      </c>
      <c r="O134" s="41"/>
      <c r="P134" s="41"/>
      <c r="Q134" s="41"/>
      <c r="R134" s="41"/>
      <c r="S134" s="41"/>
      <c r="T134" s="41"/>
      <c r="U134" s="41"/>
      <c r="V134" s="43" t="str">
        <f t="shared" ref="V134:V197" si="8">IF(COUNTA($A134,$D134:$M134,$O134:$U134)=0,"",IF($X134="","OK","FIX"))</f>
        <v/>
      </c>
      <c r="W134" s="44" t="str">
        <f ca="1">IF(COUNTA($A134,$D134:$M134,$O134:$U134)=0,"",IF($A134="","Item Code; ","")&amp;IF(AND($A134&lt;&gt;"",ISNA(MATCH($AC134,'PRODUCT DATA'!$D$2:$D$394,0))),"Item Code; ","")&amp;IF($M134="","Country; ","")&amp;IF(AND($M134&lt;&gt;"",NOT(OR(NOT(ISNA(MATCH(IF(UPPER($M134)="UK","GB",$M134),'PRODUCT DATA'!$A$2:$A$58,0))),NOT(ISNA(MATCH(IF(UPPER($M134)="UK","GB",$M134),'PRODUCT DATA'!$B$2:$B$58,0)))))),"Country; ","")&amp;IF(AND($A134&lt;&gt;"",$M134&lt;&gt;"",NOT(ISNA(MATCH($AC134,'PRODUCT DATA'!$D$2:$D$394,0))),OR(NOT(ISNA(MATCH(IF(UPPER($M134)="UK","GB",$M134),'PRODUCT DATA'!$A$2:$A$58,0))),NOT(ISNA(MATCH(IF(UPPER($M134)="UK","GB",$M134),'PRODUCT DATA'!$B$2:$B$58,0)))),NOT(IFERROR(COUNTIF(OFFSET('PRODUCT DATA'!$F$2,0,MATCH($AC134,'PRODUCT DATA'!$F$1:$NN$1,0)-1,114,1),$N134)&gt;0,FALSE()))),IF(UPPER(IFERROR(OFFSET('PRODUCT DATA'!$C$2,MATCH($N134,'PRODUCT DATA'!$B$2:$B$58,0)-1,0),""))="NO","Alcohol Restriction; ","Item Code / Country combination; "),"")&amp;IF($C134="","Quantity; ","")&amp;IF(AND($C134&lt;&gt;"",OR(NOT(ISNUMBER($C134)),$C134&lt;1,$C134&gt;999,MOD($C134,1)&lt;&gt;0)),"Quantity; ","")&amp;IF($D134="","Recipient Name; ","")&amp;IF(LEN($D134)&gt;35,"Recipient Name; ","")&amp;IF($E134="","Recipient Phone; ","")&amp;IF(AND($E134&lt;&gt;"",OR(LEN($E134)&lt;6,LEN($E134)&gt;20,NOT(IFERROR(ISNUMBER(1*$E134),FALSE())))),"Recipient Phone; ","")&amp;IF(LEN($F134)&gt;35,"Recipient Company Name; ","")&amp;IF($G134="","Address Line 1; ","")&amp;IF(LEN($G134)&gt;35,"Address Line 1; ","")&amp;IF(LEN($H134)&gt;35,"Address Line 2; ","")&amp;IF(LEN($I134)&gt;35,"Address Line 3; ","")&amp;IF($J134="","Town; ","")&amp;IF(LEN($J134)&gt;35,"Town; ","")&amp;IF(AND($N134="IE",$K134=""),"County; ","")&amp;IF(LEN($AB134)&gt;35,"County; ","")&amp;IF(AND($L134="",AND($N134&lt;&gt;"AE",$N134&lt;&gt;"QA")),"Postcode; ","")&amp;IF(LEN($L134)&gt;35,"Postcode; ","")&amp;IF($AE134&lt;&gt;"","Postcode; ","")&amp;IF(LEN($O134)&gt;40,"Gift Message 1; ","")&amp;IF(LEN($P134)&gt;40,"Gift Message 2; ","")&amp;IF(LEN($Q134)&gt;40,"Gift Message 3; ","")&amp;IF(LEN($R134)&gt;40,"Gift Message 4; ","")&amp;IF(LEN($S134)&gt;40,"Gift Message 5; ","")&amp;IF(LEN($T134)&gt;40,"Gift Message 6; ","")&amp;IF(LEN($U134)&gt;40,"Gift Message 7; ",""))</f>
        <v/>
      </c>
      <c r="X134" s="44" t="str">
        <f ca="1">IF(COUNTA($A134,$D134:$M134,$O134:$U134)=0,"",IF($A134="","Enter the Item Code (hamper) - type it, paste it, or choose it from the dropdown. ","")&amp;IF(AND($A134&lt;&gt;"",ISNA(MATCH($AC134,'PRODUCT DATA'!$D$2:$D$394,0))),"This Item Code is not recognised. Check the code (case does not matter, but spelling and digits must match exactly) or choose it from the dropdown. ","")&amp;IF($M134="","Enter the Country after the Item Code - type or paste the name or the 2-letter code, or choose it from the dropdown. ","")&amp;IF(AND($M134&lt;&gt;"",NOT(OR(NOT(ISNA(MATCH(IF(UPPER($M134)="UK","GB",$M134),'PRODUCT DATA'!$A$2:$A$58,0))),NOT(ISNA(MATCH(IF(UPPER($M134)="UK","GB",$M134),'PRODUCT DATA'!$B$2:$B$58,0)))))),"This Country is not recognised as either a full name or a 2-letter code. Check the spelling (case does not matter) or choose it from the dropdown. ","")&amp;IF(AND($A134&lt;&gt;"",$M134&lt;&gt;"",NOT(ISNA(MATCH($AC134,'PRODUCT DATA'!$D$2:$D$394,0))),OR(NOT(ISNA(MATCH(IF(UPPER($M134)="UK","GB",$M134),'PRODUCT DATA'!$A$2:$A$58,0))),NOT(ISNA(MATCH(IF(UPPER($M134)="UK","GB",$M134),'PRODUCT DATA'!$B$2:$B$58,0)))),NOT(IFERROR(COUNTIF(OFFSET('PRODUCT DATA'!$F$2,0,MATCH($AC134,'PRODUCT DATA'!$F$1:$NN$1,0)-1,114,1),$N134)&gt;0,FALSE()))),IF(UPPER(IFERROR(OFFSET('PRODUCT DATA'!$C$2,MATCH($N134,'PRODUCT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"),"")&amp;IF($C134="","Enter Quantity. ","")&amp;IF(AND($C134&lt;&gt;"",OR(NOT(ISNUMBER($C134)),$C134&lt;1,$C134&gt;999,MOD($C134,1)&lt;&gt;0)),"Quantity must be a whole number from 1 to 999 (use a quantity above 1 only for a genuine bulk order of identical items to ONE address — otherwise use a separate row per recipient). ","")&amp;IF($D134="","Enter Recipient Name. ","")&amp;IF(LEN($D134)&gt;35,"Recipient Name exceeds 35 characters. ","")&amp;IF($E134="","Enter Recipient Phone. ","")&amp;IF(AND($E134&lt;&gt;"",OR(LEN($E134)&lt;6,LEN($E134)&gt;20,NOT(IFERROR(ISNUMBER(1*$E134),FALSE())))),"Phone must be the LOCAL number for the destination country: digits only, no +, spaces, or country code, 6 to 20 digits. ","")&amp;IF(LEN($F134)&gt;35,"Recipient Company Name exceeds 35 characters. ","")&amp;IF($G134="","Enter Address Line 1. ","")&amp;IF(LEN($G134)&gt;35,"Address Line 1 exceeds the 35-character SAP limit. ","")&amp;IF(LEN($H134)&gt;35,"Address Line 2 exceeds the 35-character SAP limit. ","")&amp;IF(LEN($I134)&gt;35,"Address Line 3 exceeds the 35-character SAP limit. ","")&amp;IF($J134="","Enter Town. This must never be left blank, even if there is no conventional town name. ","")&amp;IF(LEN($J134)&gt;35,"Town exceeds 35 characters. ","")&amp;IF(AND($N134="IE",$K134=""),"County is required for deliveries within the Republic of Ireland. ","")&amp;IF(LEN($AB134)&gt;35,"County exceeds 35 characters. ","")&amp;IF(AND($L134="",AND($N134&lt;&gt;"AE",$N134&lt;&gt;"QA")),"Postcode is required for the selected country. If there is genuinely no postcode, enter the first 3 characters of the area (e.g. D15). ","")&amp;IF(LEN($L134)&gt;35,"Postcode exceeds 35 characters. ","")&amp;IF($AE134&lt;&gt;"",$AE134,"")&amp;IF(LEN($O134)&gt;40,"Gift Message Line 1 exceeds 40 characters. ","")&amp;IF(LEN($P134)&gt;40,"Gift Message Line 2 exceeds 40 characters. ","")&amp;IF(LEN($Q134)&gt;40,"Gift Message Line 3 exceeds 40 characters. ","")&amp;IF(LEN($R134)&gt;40,"Gift Message Line 4 exceeds 40 characters. ","")&amp;IF(LEN($S134)&gt;40,"Gift Message Line 5 exceeds 40 characters. ","")&amp;IF(LEN($T134)&gt;40,"Gift Message Line 6 exceeds 40 characters. ","")&amp;IF(LEN($U134)&gt;40,"Gift Message Line 7 exceeds 40 characters. ",""))</f>
        <v/>
      </c>
      <c r="Y134" s="44" t="str">
        <f t="shared" ref="Y134:Y197" si="9">IF(AND(NOT(COUNTA($A134,$D134:$M134,$O134:$U134)=0),ISNUMBER($C134),$C134&gt;1),"Quantity is more than 1 - confirm this is a genuine bulk order to ONE address before SAP entry. ","")&amp;IF(AND(NOT(COUNTA($A134,$D134:$M134,$O134:$U134)=0),AND($O134="",$P134="",$Q134="",$R134="",$S134="",$T134="",$U134="")),"No gift message entered - add our standard message before this goes to SAP. ","")&amp;IF(AND(NOT(COUNTA($A134,$D134:$M134,$O134:$U134)=0),AND($N134&lt;&gt;"AT",$N134&lt;&gt;"BE",$N134&lt;&gt;"BG",$N134&lt;&gt;"CY",$N134&lt;&gt;"CZ",$N134&lt;&gt;"DE",$N134&lt;&gt;"DK",$N134&lt;&gt;"EE",$N134&lt;&gt;"ES",$N134&lt;&gt;"FI",$N134&lt;&gt;"FR",$N134&lt;&gt;"GB",$N134&lt;&gt;"GR",$N134&lt;&gt;"HR",$N134&lt;&gt;"HU",$N134&lt;&gt;"IC",$N134&lt;&gt;"IE",$N134&lt;&gt;"IT",$N134&lt;&gt;"LT",$N134&lt;&gt;"LU",$N134&lt;&gt;"LV",$N134&lt;&gt;"MT",$N134&lt;&gt;"NL",$N134&lt;&gt;"PL",$N134&lt;&gt;"PT",$N134&lt;&gt;"RO",$N134&lt;&gt;"SE",$N134&lt;&gt;"SI",$N134&lt;&gt;"SK",$N134&lt;&gt;"VA"),$K134&lt;&gt;""),"Non-EU/UK/Ireland delivery with County filled in - check the SAP Town/Address-3 field-swap rule (State goes in Town, City goes in Address Line 3) before SAP entry. ","")&amp;IF($AA134&lt;&gt;"",$AA134&amp;" ","")</f>
        <v/>
      </c>
      <c r="Z134" s="44"/>
      <c r="AA134" s="44"/>
      <c r="AB134" s="32" t="str">
        <f t="shared" ref="AB134:AB197" si="10">IF(TRIM($K134)="","",IF(LEFT(UPPER(TRIM($K134)),4)="CO. ",TRIM(MID(TRIM($K134),5,255)),IF(LEFT(UPPER(TRIM($K134)),3)="CO ",TRIM(MID(TRIM($K134),4,255)),IF(LEFT(UPPER(TRIM($K134)),7)="COUNTY ",TRIM(MID(TRIM($K134),8,255)),TRIM($K134)))))</f>
        <v/>
      </c>
      <c r="AC134" s="32" t="str">
        <f>IF($A134="","",IFERROR(LEFT(INDEX('PRODUCT DATA'!$NO$2:$NO$25,MATCH($A134,'PRODUCT DATA'!$NP$2:$NP$25,0)),FIND("|",INDEX('PRODUCT DATA'!$NO$2:$NO$25,MATCH($A134,'PRODUCT DATA'!$NP$2:$NP$25,0)))-1),$A134))</f>
        <v/>
      </c>
      <c r="AD134" s="45"/>
      <c r="AE134" s="45" t="str">
        <f t="shared" ref="AE134:AE197" si="11">IF(OR($L134="",$N134=""),"",IF($N134="US",IF(OR(AND(LEN((SUBSTITUTE(TRIM($L134)," ","")))=5,ISNUMBER(VALUE((SUBSTITUTE(TRIM($L134)," ",""))))),AND(LEN((SUBSTITUTE(TRIM($L134)," ","")))=9,ISNUMBER(VALUE((SUBSTITUTE(TRIM($L134)," ",""))))),AND(LEN((SUBSTITUTE(TRIM($L134)," ","")))=10,MID((SUBSTITUTE(TRIM($L134)," ","")),6,1)="-",ISNUMBER(VALUE(LEFT((SUBSTITUTE(TRIM($L134)," ","")),5))),ISNUMBER(VALUE(RIGHT((SUBSTITUTE(TRIM($L134)," ","")),4))))),"","Postcode '"&amp;$L134&amp;"' doesn't look like a valid "&amp;$N134&amp;" postcode - please check it. "),IF($N134="CA",IF(AND(LEN((SUBSTITUTE(TRIM($L134)," ","")))=6,AND(CODE(UPPER(MID((SUBSTITUTE(TRIM($L134)," ","")),1,1)))&gt;=65,CODE(UPPER(MID((SUBSTITUTE(TRIM($L134)," ","")),1,1)))&lt;=90),ISNUMBER(VALUE(MID((SUBSTITUTE(TRIM($L134)," ","")),2,1))),AND(CODE(UPPER(MID((SUBSTITUTE(TRIM($L134)," ","")),3,1)))&gt;=65,CODE(UPPER(MID((SUBSTITUTE(TRIM($L134)," ","")),3,1)))&lt;=90),ISNUMBER(VALUE(MID((SUBSTITUTE(TRIM($L134)," ","")),4,1))),AND(CODE(UPPER(MID((SUBSTITUTE(TRIM($L134)," ","")),5,1)))&gt;=65,CODE(UPPER(MID((SUBSTITUTE(TRIM($L134)," ","")),5,1)))&lt;=90),ISNUMBER(VALUE(MID((SUBSTITUTE(TRIM($L134)," ","")),6,1)))),"","Postcode '"&amp;$L134&amp;"' doesn't look like a valid "&amp;$N134&amp;" postcode - please check it. "),IF($N134="NL",IF(AND(LEN((SUBSTITUTE(TRIM($L134)," ","")))=6,ISNUMBER(VALUE(LEFT((SUBSTITUTE(TRIM($L134)," ","")),4))),AND(CODE(UPPER(MID((SUBSTITUTE(TRIM($L134)," ","")),5,1)))&gt;=65,CODE(UPPER(MID((SUBSTITUTE(TRIM($L134)," ","")),5,1)))&lt;=90),AND(CODE(UPPER(MID((SUBSTITUTE(TRIM($L134)," ","")),6,1)))&gt;=65,CODE(UPPER(MID((SUBSTITUTE(TRIM($L134)," ","")),6,1)))&lt;=90)),"","Postcode '"&amp;$L134&amp;"' doesn't look like a valid "&amp;$N134&amp;" postcode - please check it. "),IF($N134="IE",IF(AND(LEN((SUBSTITUTE(TRIM($L134)," ","")))=7,AND(CODE(UPPER(MID((SUBSTITUTE(TRIM($L134)," ","")),1,1)))&gt;=65,CODE(UPPER(MID((SUBSTITUTE(TRIM($L134)," ","")),1,1)))&lt;=90),ISNUMBER(VALUE(MID((SUBSTITUTE(TRIM($L134)," ","")),2,1))),OR(ISNUMBER(VALUE(MID((SUBSTITUTE(TRIM($L134)," ","")),3,1))),AND(CODE(UPPER(MID((SUBSTITUTE(TRIM($L134)," ","")),3,1)))&gt;=65,CODE(UPPER(MID((SUBSTITUTE(TRIM($L134)," ","")),3,1)))&lt;=90)),OR(ISNUMBER(VALUE(MID((SUBSTITUTE(TRIM($L134)," ","")),4,1))),AND(CODE(UPPER(MID((SUBSTITUTE(TRIM($L134)," ","")),4,1)))&gt;=65,CODE(UPPER(MID((SUBSTITUTE(TRIM($L134)," ","")),4,1)))&lt;=90)),OR(ISNUMBER(VALUE(MID((SUBSTITUTE(TRIM($L134)," ","")),5,1))),AND(CODE(UPPER(MID((SUBSTITUTE(TRIM($L134)," ","")),5,1)))&gt;=65,CODE(UPPER(MID((SUBSTITUTE(TRIM($L134)," ","")),5,1)))&lt;=90)),OR(ISNUMBER(VALUE(MID((SUBSTITUTE(TRIM($L134)," ","")),6,1))),AND(CODE(UPPER(MID((SUBSTITUTE(TRIM($L134)," ","")),6,1)))&gt;=65,CODE(UPPER(MID((SUBSTITUTE(TRIM($L134)," ","")),6,1)))&lt;=90)),OR(ISNUMBER(VALUE(MID((SUBSTITUTE(TRIM($L134)," ","")),7,1))),AND(CODE(UPPER(MID((SUBSTITUTE(TRIM($L134)," ","")),7,1)))&gt;=65,CODE(UPPER(MID((SUBSTITUTE(TRIM($L134)," ","")),7,1)))&lt;=90))),"","Postcode '"&amp;$L134&amp;"' doesn't look like a valid "&amp;$N134&amp;" postcode - please check it. "),IF($N134="GB",IF(AND(OR(LEN((SUBSTITUTE(TRIM($L134)," ","")))=5,LEN((SUBSTITUTE(TRIM($L134)," ","")))=6,LEN((SUBSTITUTE(TRIM($L134)," ","")))=7),AND(ISNUMBER(VALUE(MID((SUBSTITUTE(TRIM($L134)," ","")),LEN((SUBSTITUTE(TRIM($L134)," ","")))-2,1))),AND(CODE(UPPER(MID((SUBSTITUTE(TRIM($L134)," ","")),LEN((SUBSTITUTE(TRIM($L134)," ","")))-1,1)))&gt;=65,CODE(UPPER(MID((SUBSTITUTE(TRIM($L134)," ","")),LEN((SUBSTITUTE(TRIM($L134)," ","")))-1,1)))&lt;=90),AND(CODE(UPPER(MID((SUBSTITUTE(TRIM($L134)," ","")),LEN((SUBSTITUTE(TRIM($L134)," ",""))),1)))&gt;=65,CODE(UPPER(MID((SUBSTITUTE(TRIM($L134)," ","")),LEN((SUBSTITUTE(TRIM($L134)," ",""))),1)))&lt;=90)),IF(LEN((SUBSTITUTE(TRIM($L134)," ","")))-3=2,AND(AND(CODE(UPPER(MID((SUBSTITUTE(TRIM($L134)," ","")),1,1)))&gt;=65,CODE(UPPER(MID((SUBSTITUTE(TRIM($L134)," ","")),1,1)))&lt;=90),ISNUMBER(VALUE(MID((SUBSTITUTE(TRIM($L134)," ","")),2,1)))),IF(LEN((SUBSTITUTE(TRIM($L134)," ","")))-3=3,OR(AND(AND(CODE(UPPER(MID((SUBSTITUTE(TRIM($L134)," ","")),1,1)))&gt;=65,CODE(UPPER(MID((SUBSTITUTE(TRIM($L134)," ","")),1,1)))&lt;=90),ISNUMBER(VALUE(MID((SUBSTITUTE(TRIM($L134)," ","")),2,1))),OR(ISNUMBER(VALUE(MID((SUBSTITUTE(TRIM($L134)," ","")),3,1))),AND(CODE(UPPER(MID((SUBSTITUTE(TRIM($L134)," ","")),3,1)))&gt;=65,CODE(UPPER(MID((SUBSTITUTE(TRIM($L134)," ","")),3,1)))&lt;=90))),AND(AND(CODE(UPPER(MID((SUBSTITUTE(TRIM($L134)," ","")),1,1)))&gt;=65,CODE(UPPER(MID((SUBSTITUTE(TRIM($L134)," ","")),1,1)))&lt;=90),AND(CODE(UPPER(MID((SUBSTITUTE(TRIM($L134)," ","")),2,1)))&gt;=65,CODE(UPPER(MID((SUBSTITUTE(TRIM($L134)," ","")),2,1)))&lt;=90),ISNUMBER(VALUE(MID((SUBSTITUTE(TRIM($L134)," ","")),3,1))))),AND(AND(CODE(UPPER(MID((SUBSTITUTE(TRIM($L134)," ","")),1,1)))&gt;=65,CODE(UPPER(MID((SUBSTITUTE(TRIM($L134)," ","")),1,1)))&lt;=90),AND(CODE(UPPER(MID((SUBSTITUTE(TRIM($L134)," ","")),2,1)))&gt;=65,CODE(UPPER(MID((SUBSTITUTE(TRIM($L134)," ","")),2,1)))&lt;=90),ISNUMBER(VALUE(MID((SUBSTITUTE(TRIM($L134)," ","")),3,1))),OR(ISNUMBER(VALUE(MID((SUBSTITUTE(TRIM($L134)," ","")),4,1))),AND(CODE(UPPER(MID((SUBSTITUTE(TRIM($L134)," ","")),4,1)))&gt;=65,CODE(UPPER(MID((SUBSTITUTE(TRIM($L134)," ","")),4,1)))&lt;=90)))))),"","Postcode '"&amp;$L134&amp;"' doesn't look like a valid "&amp;$N134&amp;" postcode - please check it. "),""))))))</f>
        <v/>
      </c>
    </row>
    <row r="135" spans="1:31" ht="15" customHeight="1" x14ac:dyDescent="0.25">
      <c r="A135" s="40"/>
      <c r="B135" s="43" t="str">
        <f>IF($A135="","",IFERROR(VLOOKUP($AC135,'PRODUCT DATA'!$NR$2:$NS$374,2,FALSE()),"UNKNOWN ITEM CODE - please check"))</f>
        <v/>
      </c>
      <c r="C135" s="39">
        <v>1</v>
      </c>
      <c r="D135" s="39"/>
      <c r="E135" s="40"/>
      <c r="F135" s="41"/>
      <c r="G135" s="39"/>
      <c r="H135" s="41"/>
      <c r="I135" s="41"/>
      <c r="J135" s="39"/>
      <c r="K135" s="41"/>
      <c r="L135" s="40"/>
      <c r="M135" s="40"/>
      <c r="N135" s="42" t="str">
        <f>IF($M135="","",IFERROR(INDEX('PRODUCT DATA'!$B$2:$B$58,MATCH(IF(UPPER($M135)="UK","GB",$M135),'PRODUCT DATA'!$B$2:$B$58,0)),IFERROR(INDEX('PRODUCT DATA'!$B$2:$B$58,MATCH(IF(UPPER($M135)="UK","GB",$M135),'PRODUCT DATA'!$A$2:$A$58,0)),"UNKNOWN COUNTRY - please check")))</f>
        <v/>
      </c>
      <c r="O135" s="41"/>
      <c r="P135" s="41"/>
      <c r="Q135" s="41"/>
      <c r="R135" s="41"/>
      <c r="S135" s="41"/>
      <c r="T135" s="41"/>
      <c r="U135" s="41"/>
      <c r="V135" s="43" t="str">
        <f t="shared" si="8"/>
        <v/>
      </c>
      <c r="W135" s="44" t="str">
        <f ca="1">IF(COUNTA($A135,$D135:$M135,$O135:$U135)=0,"",IF($A135="","Item Code; ","")&amp;IF(AND($A135&lt;&gt;"",ISNA(MATCH($AC135,'PRODUCT DATA'!$D$2:$D$394,0))),"Item Code; ","")&amp;IF($M135="","Country; ","")&amp;IF(AND($M135&lt;&gt;"",NOT(OR(NOT(ISNA(MATCH(IF(UPPER($M135)="UK","GB",$M135),'PRODUCT DATA'!$A$2:$A$58,0))),NOT(ISNA(MATCH(IF(UPPER($M135)="UK","GB",$M135),'PRODUCT DATA'!$B$2:$B$58,0)))))),"Country; ","")&amp;IF(AND($A135&lt;&gt;"",$M135&lt;&gt;"",NOT(ISNA(MATCH($AC135,'PRODUCT DATA'!$D$2:$D$394,0))),OR(NOT(ISNA(MATCH(IF(UPPER($M135)="UK","GB",$M135),'PRODUCT DATA'!$A$2:$A$58,0))),NOT(ISNA(MATCH(IF(UPPER($M135)="UK","GB",$M135),'PRODUCT DATA'!$B$2:$B$58,0)))),NOT(IFERROR(COUNTIF(OFFSET('PRODUCT DATA'!$F$2,0,MATCH($AC135,'PRODUCT DATA'!$F$1:$NN$1,0)-1,114,1),$N135)&gt;0,FALSE()))),IF(UPPER(IFERROR(OFFSET('PRODUCT DATA'!$C$2,MATCH($N135,'PRODUCT DATA'!$B$2:$B$58,0)-1,0),""))="NO","Alcohol Restriction; ","Item Code / Country combination; "),"")&amp;IF($C135="","Quantity; ","")&amp;IF(AND($C135&lt;&gt;"",OR(NOT(ISNUMBER($C135)),$C135&lt;1,$C135&gt;999,MOD($C135,1)&lt;&gt;0)),"Quantity; ","")&amp;IF($D135="","Recipient Name; ","")&amp;IF(LEN($D135)&gt;35,"Recipient Name; ","")&amp;IF($E135="","Recipient Phone; ","")&amp;IF(AND($E135&lt;&gt;"",OR(LEN($E135)&lt;6,LEN($E135)&gt;20,NOT(IFERROR(ISNUMBER(1*$E135),FALSE())))),"Recipient Phone; ","")&amp;IF(LEN($F135)&gt;35,"Recipient Company Name; ","")&amp;IF($G135="","Address Line 1; ","")&amp;IF(LEN($G135)&gt;35,"Address Line 1; ","")&amp;IF(LEN($H135)&gt;35,"Address Line 2; ","")&amp;IF(LEN($I135)&gt;35,"Address Line 3; ","")&amp;IF($J135="","Town; ","")&amp;IF(LEN($J135)&gt;35,"Town; ","")&amp;IF(AND($N135="IE",$K135=""),"County; ","")&amp;IF(LEN($AB135)&gt;35,"County; ","")&amp;IF(AND($L135="",AND($N135&lt;&gt;"AE",$N135&lt;&gt;"QA")),"Postcode; ","")&amp;IF(LEN($L135)&gt;35,"Postcode; ","")&amp;IF($AE135&lt;&gt;"","Postcode; ","")&amp;IF(LEN($O135)&gt;40,"Gift Message 1; ","")&amp;IF(LEN($P135)&gt;40,"Gift Message 2; ","")&amp;IF(LEN($Q135)&gt;40,"Gift Message 3; ","")&amp;IF(LEN($R135)&gt;40,"Gift Message 4; ","")&amp;IF(LEN($S135)&gt;40,"Gift Message 5; ","")&amp;IF(LEN($T135)&gt;40,"Gift Message 6; ","")&amp;IF(LEN($U135)&gt;40,"Gift Message 7; ",""))</f>
        <v/>
      </c>
      <c r="X135" s="44" t="str">
        <f ca="1">IF(COUNTA($A135,$D135:$M135,$O135:$U135)=0,"",IF($A135="","Enter the Item Code (hamper) - type it, paste it, or choose it from the dropdown. ","")&amp;IF(AND($A135&lt;&gt;"",ISNA(MATCH($AC135,'PRODUCT DATA'!$D$2:$D$394,0))),"This Item Code is not recognised. Check the code (case does not matter, but spelling and digits must match exactly) or choose it from the dropdown. ","")&amp;IF($M135="","Enter the Country after the Item Code - type or paste the name or the 2-letter code, or choose it from the dropdown. ","")&amp;IF(AND($M135&lt;&gt;"",NOT(OR(NOT(ISNA(MATCH(IF(UPPER($M135)="UK","GB",$M135),'PRODUCT DATA'!$A$2:$A$58,0))),NOT(ISNA(MATCH(IF(UPPER($M135)="UK","GB",$M135),'PRODUCT DATA'!$B$2:$B$58,0)))))),"This Country is not recognised as either a full name or a 2-letter code. Check the spelling (case does not matter) or choose it from the dropdown. ","")&amp;IF(AND($A135&lt;&gt;"",$M135&lt;&gt;"",NOT(ISNA(MATCH($AC135,'PRODUCT DATA'!$D$2:$D$394,0))),OR(NOT(ISNA(MATCH(IF(UPPER($M135)="UK","GB",$M135),'PRODUCT DATA'!$A$2:$A$58,0))),NOT(ISNA(MATCH(IF(UPPER($M135)="UK","GB",$M135),'PRODUCT DATA'!$B$2:$B$58,0)))),NOT(IFERROR(COUNTIF(OFFSET('PRODUCT DATA'!$F$2,0,MATCH($AC135,'PRODUCT DATA'!$F$1:$NN$1,0)-1,114,1),$N135)&gt;0,FALSE()))),IF(UPPER(IFERROR(OFFSET('PRODUCT DATA'!$C$2,MATCH($N135,'PRODUCT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"),"")&amp;IF($C135="","Enter Quantity. ","")&amp;IF(AND($C135&lt;&gt;"",OR(NOT(ISNUMBER($C135)),$C135&lt;1,$C135&gt;999,MOD($C135,1)&lt;&gt;0)),"Quantity must be a whole number from 1 to 999 (use a quantity above 1 only for a genuine bulk order of identical items to ONE address — otherwise use a separate row per recipient). ","")&amp;IF($D135="","Enter Recipient Name. ","")&amp;IF(LEN($D135)&gt;35,"Recipient Name exceeds 35 characters. ","")&amp;IF($E135="","Enter Recipient Phone. ","")&amp;IF(AND($E135&lt;&gt;"",OR(LEN($E135)&lt;6,LEN($E135)&gt;20,NOT(IFERROR(ISNUMBER(1*$E135),FALSE())))),"Phone must be the LOCAL number for the destination country: digits only, no +, spaces, or country code, 6 to 20 digits. ","")&amp;IF(LEN($F135)&gt;35,"Recipient Company Name exceeds 35 characters. ","")&amp;IF($G135="","Enter Address Line 1. ","")&amp;IF(LEN($G135)&gt;35,"Address Line 1 exceeds the 35-character SAP limit. ","")&amp;IF(LEN($H135)&gt;35,"Address Line 2 exceeds the 35-character SAP limit. ","")&amp;IF(LEN($I135)&gt;35,"Address Line 3 exceeds the 35-character SAP limit. ","")&amp;IF($J135="","Enter Town. This must never be left blank, even if there is no conventional town name. ","")&amp;IF(LEN($J135)&gt;35,"Town exceeds 35 characters. ","")&amp;IF(AND($N135="IE",$K135=""),"County is required for deliveries within the Republic of Ireland. ","")&amp;IF(LEN($AB135)&gt;35,"County exceeds 35 characters. ","")&amp;IF(AND($L135="",AND($N135&lt;&gt;"AE",$N135&lt;&gt;"QA")),"Postcode is required for the selected country. If there is genuinely no postcode, enter the first 3 characters of the area (e.g. D15). ","")&amp;IF(LEN($L135)&gt;35,"Postcode exceeds 35 characters. ","")&amp;IF($AE135&lt;&gt;"",$AE135,"")&amp;IF(LEN($O135)&gt;40,"Gift Message Line 1 exceeds 40 characters. ","")&amp;IF(LEN($P135)&gt;40,"Gift Message Line 2 exceeds 40 characters. ","")&amp;IF(LEN($Q135)&gt;40,"Gift Message Line 3 exceeds 40 characters. ","")&amp;IF(LEN($R135)&gt;40,"Gift Message Line 4 exceeds 40 characters. ","")&amp;IF(LEN($S135)&gt;40,"Gift Message Line 5 exceeds 40 characters. ","")&amp;IF(LEN($T135)&gt;40,"Gift Message Line 6 exceeds 40 characters. ","")&amp;IF(LEN($U135)&gt;40,"Gift Message Line 7 exceeds 40 characters. ",""))</f>
        <v/>
      </c>
      <c r="Y135" s="44" t="str">
        <f t="shared" si="9"/>
        <v/>
      </c>
      <c r="Z135" s="44"/>
      <c r="AA135" s="44"/>
      <c r="AB135" s="32" t="str">
        <f t="shared" si="10"/>
        <v/>
      </c>
      <c r="AC135" s="32" t="str">
        <f>IF($A135="","",IFERROR(LEFT(INDEX('PRODUCT DATA'!$NO$2:$NO$25,MATCH($A135,'PRODUCT DATA'!$NP$2:$NP$25,0)),FIND("|",INDEX('PRODUCT DATA'!$NO$2:$NO$25,MATCH($A135,'PRODUCT DATA'!$NP$2:$NP$25,0)))-1),$A135))</f>
        <v/>
      </c>
      <c r="AD135" s="45"/>
      <c r="AE135" s="45" t="str">
        <f t="shared" si="11"/>
        <v/>
      </c>
    </row>
    <row r="136" spans="1:31" ht="15" customHeight="1" x14ac:dyDescent="0.25">
      <c r="A136" s="40"/>
      <c r="B136" s="43" t="str">
        <f>IF($A136="","",IFERROR(VLOOKUP($AC136,'PRODUCT DATA'!$NR$2:$NS$374,2,FALSE()),"UNKNOWN ITEM CODE - please check"))</f>
        <v/>
      </c>
      <c r="C136" s="39">
        <v>1</v>
      </c>
      <c r="D136" s="39"/>
      <c r="E136" s="40"/>
      <c r="F136" s="41"/>
      <c r="G136" s="39"/>
      <c r="H136" s="41"/>
      <c r="I136" s="41"/>
      <c r="J136" s="39"/>
      <c r="K136" s="41"/>
      <c r="L136" s="40"/>
      <c r="M136" s="40"/>
      <c r="N136" s="42" t="str">
        <f>IF($M136="","",IFERROR(INDEX('PRODUCT DATA'!$B$2:$B$58,MATCH(IF(UPPER($M136)="UK","GB",$M136),'PRODUCT DATA'!$B$2:$B$58,0)),IFERROR(INDEX('PRODUCT DATA'!$B$2:$B$58,MATCH(IF(UPPER($M136)="UK","GB",$M136),'PRODUCT DATA'!$A$2:$A$58,0)),"UNKNOWN COUNTRY - please check")))</f>
        <v/>
      </c>
      <c r="O136" s="41"/>
      <c r="P136" s="41"/>
      <c r="Q136" s="41"/>
      <c r="R136" s="41"/>
      <c r="S136" s="41"/>
      <c r="T136" s="41"/>
      <c r="U136" s="41"/>
      <c r="V136" s="43" t="str">
        <f t="shared" si="8"/>
        <v/>
      </c>
      <c r="W136" s="44" t="str">
        <f ca="1">IF(COUNTA($A136,$D136:$M136,$O136:$U136)=0,"",IF($A136="","Item Code; ","")&amp;IF(AND($A136&lt;&gt;"",ISNA(MATCH($AC136,'PRODUCT DATA'!$D$2:$D$394,0))),"Item Code; ","")&amp;IF($M136="","Country; ","")&amp;IF(AND($M136&lt;&gt;"",NOT(OR(NOT(ISNA(MATCH(IF(UPPER($M136)="UK","GB",$M136),'PRODUCT DATA'!$A$2:$A$58,0))),NOT(ISNA(MATCH(IF(UPPER($M136)="UK","GB",$M136),'PRODUCT DATA'!$B$2:$B$58,0)))))),"Country; ","")&amp;IF(AND($A136&lt;&gt;"",$M136&lt;&gt;"",NOT(ISNA(MATCH($AC136,'PRODUCT DATA'!$D$2:$D$394,0))),OR(NOT(ISNA(MATCH(IF(UPPER($M136)="UK","GB",$M136),'PRODUCT DATA'!$A$2:$A$58,0))),NOT(ISNA(MATCH(IF(UPPER($M136)="UK","GB",$M136),'PRODUCT DATA'!$B$2:$B$58,0)))),NOT(IFERROR(COUNTIF(OFFSET('PRODUCT DATA'!$F$2,0,MATCH($AC136,'PRODUCT DATA'!$F$1:$NN$1,0)-1,114,1),$N136)&gt;0,FALSE()))),IF(UPPER(IFERROR(OFFSET('PRODUCT DATA'!$C$2,MATCH($N136,'PRODUCT DATA'!$B$2:$B$58,0)-1,0),""))="NO","Alcohol Restriction; ","Item Code / Country combination; "),"")&amp;IF($C136="","Quantity; ","")&amp;IF(AND($C136&lt;&gt;"",OR(NOT(ISNUMBER($C136)),$C136&lt;1,$C136&gt;999,MOD($C136,1)&lt;&gt;0)),"Quantity; ","")&amp;IF($D136="","Recipient Name; ","")&amp;IF(LEN($D136)&gt;35,"Recipient Name; ","")&amp;IF($E136="","Recipient Phone; ","")&amp;IF(AND($E136&lt;&gt;"",OR(LEN($E136)&lt;6,LEN($E136)&gt;20,NOT(IFERROR(ISNUMBER(1*$E136),FALSE())))),"Recipient Phone; ","")&amp;IF(LEN($F136)&gt;35,"Recipient Company Name; ","")&amp;IF($G136="","Address Line 1; ","")&amp;IF(LEN($G136)&gt;35,"Address Line 1; ","")&amp;IF(LEN($H136)&gt;35,"Address Line 2; ","")&amp;IF(LEN($I136)&gt;35,"Address Line 3; ","")&amp;IF($J136="","Town; ","")&amp;IF(LEN($J136)&gt;35,"Town; ","")&amp;IF(AND($N136="IE",$K136=""),"County; ","")&amp;IF(LEN($AB136)&gt;35,"County; ","")&amp;IF(AND($L136="",AND($N136&lt;&gt;"AE",$N136&lt;&gt;"QA")),"Postcode; ","")&amp;IF(LEN($L136)&gt;35,"Postcode; ","")&amp;IF($AE136&lt;&gt;"","Postcode; ","")&amp;IF(LEN($O136)&gt;40,"Gift Message 1; ","")&amp;IF(LEN($P136)&gt;40,"Gift Message 2; ","")&amp;IF(LEN($Q136)&gt;40,"Gift Message 3; ","")&amp;IF(LEN($R136)&gt;40,"Gift Message 4; ","")&amp;IF(LEN($S136)&gt;40,"Gift Message 5; ","")&amp;IF(LEN($T136)&gt;40,"Gift Message 6; ","")&amp;IF(LEN($U136)&gt;40,"Gift Message 7; ",""))</f>
        <v/>
      </c>
      <c r="X136" s="44" t="str">
        <f ca="1">IF(COUNTA($A136,$D136:$M136,$O136:$U136)=0,"",IF($A136="","Enter the Item Code (hamper) - type it, paste it, or choose it from the dropdown. ","")&amp;IF(AND($A136&lt;&gt;"",ISNA(MATCH($AC136,'PRODUCT DATA'!$D$2:$D$394,0))),"This Item Code is not recognised. Check the code (case does not matter, but spelling and digits must match exactly) or choose it from the dropdown. ","")&amp;IF($M136="","Enter the Country after the Item Code - type or paste the name or the 2-letter code, or choose it from the dropdown. ","")&amp;IF(AND($M136&lt;&gt;"",NOT(OR(NOT(ISNA(MATCH(IF(UPPER($M136)="UK","GB",$M136),'PRODUCT DATA'!$A$2:$A$58,0))),NOT(ISNA(MATCH(IF(UPPER($M136)="UK","GB",$M136),'PRODUCT DATA'!$B$2:$B$58,0)))))),"This Country is not recognised as either a full name or a 2-letter code. Check the spelling (case does not matter) or choose it from the dropdown. ","")&amp;IF(AND($A136&lt;&gt;"",$M136&lt;&gt;"",NOT(ISNA(MATCH($AC136,'PRODUCT DATA'!$D$2:$D$394,0))),OR(NOT(ISNA(MATCH(IF(UPPER($M136)="UK","GB",$M136),'PRODUCT DATA'!$A$2:$A$58,0))),NOT(ISNA(MATCH(IF(UPPER($M136)="UK","GB",$M136),'PRODUCT DATA'!$B$2:$B$58,0)))),NOT(IFERROR(COUNTIF(OFFSET('PRODUCT DATA'!$F$2,0,MATCH($AC136,'PRODUCT DATA'!$F$1:$NN$1,0)-1,114,1),$N136)&gt;0,FALSE()))),IF(UPPER(IFERROR(OFFSET('PRODUCT DATA'!$C$2,MATCH($N136,'PRODUCT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"),"")&amp;IF($C136="","Enter Quantity. ","")&amp;IF(AND($C136&lt;&gt;"",OR(NOT(ISNUMBER($C136)),$C136&lt;1,$C136&gt;999,MOD($C136,1)&lt;&gt;0)),"Quantity must be a whole number from 1 to 999 (use a quantity above 1 only for a genuine bulk order of identical items to ONE address — otherwise use a separate row per recipient). ","")&amp;IF($D136="","Enter Recipient Name. ","")&amp;IF(LEN($D136)&gt;35,"Recipient Name exceeds 35 characters. ","")&amp;IF($E136="","Enter Recipient Phone. ","")&amp;IF(AND($E136&lt;&gt;"",OR(LEN($E136)&lt;6,LEN($E136)&gt;20,NOT(IFERROR(ISNUMBER(1*$E136),FALSE())))),"Phone must be the LOCAL number for the destination country: digits only, no +, spaces, or country code, 6 to 20 digits. ","")&amp;IF(LEN($F136)&gt;35,"Recipient Company Name exceeds 35 characters. ","")&amp;IF($G136="","Enter Address Line 1. ","")&amp;IF(LEN($G136)&gt;35,"Address Line 1 exceeds the 35-character SAP limit. ","")&amp;IF(LEN($H136)&gt;35,"Address Line 2 exceeds the 35-character SAP limit. ","")&amp;IF(LEN($I136)&gt;35,"Address Line 3 exceeds the 35-character SAP limit. ","")&amp;IF($J136="","Enter Town. This must never be left blank, even if there is no conventional town name. ","")&amp;IF(LEN($J136)&gt;35,"Town exceeds 35 characters. ","")&amp;IF(AND($N136="IE",$K136=""),"County is required for deliveries within the Republic of Ireland. ","")&amp;IF(LEN($AB136)&gt;35,"County exceeds 35 characters. ","")&amp;IF(AND($L136="",AND($N136&lt;&gt;"AE",$N136&lt;&gt;"QA")),"Postcode is required for the selected country. If there is genuinely no postcode, enter the first 3 characters of the area (e.g. D15). ","")&amp;IF(LEN($L136)&gt;35,"Postcode exceeds 35 characters. ","")&amp;IF($AE136&lt;&gt;"",$AE136,"")&amp;IF(LEN($O136)&gt;40,"Gift Message Line 1 exceeds 40 characters. ","")&amp;IF(LEN($P136)&gt;40,"Gift Message Line 2 exceeds 40 characters. ","")&amp;IF(LEN($Q136)&gt;40,"Gift Message Line 3 exceeds 40 characters. ","")&amp;IF(LEN($R136)&gt;40,"Gift Message Line 4 exceeds 40 characters. ","")&amp;IF(LEN($S136)&gt;40,"Gift Message Line 5 exceeds 40 characters. ","")&amp;IF(LEN($T136)&gt;40,"Gift Message Line 6 exceeds 40 characters. ","")&amp;IF(LEN($U136)&gt;40,"Gift Message Line 7 exceeds 40 characters. ",""))</f>
        <v/>
      </c>
      <c r="Y136" s="44" t="str">
        <f t="shared" si="9"/>
        <v/>
      </c>
      <c r="Z136" s="44"/>
      <c r="AA136" s="44"/>
      <c r="AB136" s="32" t="str">
        <f t="shared" si="10"/>
        <v/>
      </c>
      <c r="AC136" s="32" t="str">
        <f>IF($A136="","",IFERROR(LEFT(INDEX('PRODUCT DATA'!$NO$2:$NO$25,MATCH($A136,'PRODUCT DATA'!$NP$2:$NP$25,0)),FIND("|",INDEX('PRODUCT DATA'!$NO$2:$NO$25,MATCH($A136,'PRODUCT DATA'!$NP$2:$NP$25,0)))-1),$A136))</f>
        <v/>
      </c>
      <c r="AD136" s="45"/>
      <c r="AE136" s="45" t="str">
        <f t="shared" si="11"/>
        <v/>
      </c>
    </row>
    <row r="137" spans="1:31" ht="15" customHeight="1" x14ac:dyDescent="0.25">
      <c r="A137" s="40"/>
      <c r="B137" s="43" t="str">
        <f>IF($A137="","",IFERROR(VLOOKUP($AC137,'PRODUCT DATA'!$NR$2:$NS$374,2,FALSE()),"UNKNOWN ITEM CODE - please check"))</f>
        <v/>
      </c>
      <c r="C137" s="39">
        <v>1</v>
      </c>
      <c r="D137" s="39"/>
      <c r="E137" s="40"/>
      <c r="F137" s="41"/>
      <c r="G137" s="39"/>
      <c r="H137" s="41"/>
      <c r="I137" s="41"/>
      <c r="J137" s="39"/>
      <c r="K137" s="41"/>
      <c r="L137" s="40"/>
      <c r="M137" s="40"/>
      <c r="N137" s="42" t="str">
        <f>IF($M137="","",IFERROR(INDEX('PRODUCT DATA'!$B$2:$B$58,MATCH(IF(UPPER($M137)="UK","GB",$M137),'PRODUCT DATA'!$B$2:$B$58,0)),IFERROR(INDEX('PRODUCT DATA'!$B$2:$B$58,MATCH(IF(UPPER($M137)="UK","GB",$M137),'PRODUCT DATA'!$A$2:$A$58,0)),"UNKNOWN COUNTRY - please check")))</f>
        <v/>
      </c>
      <c r="O137" s="41"/>
      <c r="P137" s="41"/>
      <c r="Q137" s="41"/>
      <c r="R137" s="41"/>
      <c r="S137" s="41"/>
      <c r="T137" s="41"/>
      <c r="U137" s="41"/>
      <c r="V137" s="43" t="str">
        <f t="shared" si="8"/>
        <v/>
      </c>
      <c r="W137" s="44" t="str">
        <f ca="1">IF(COUNTA($A137,$D137:$M137,$O137:$U137)=0,"",IF($A137="","Item Code; ","")&amp;IF(AND($A137&lt;&gt;"",ISNA(MATCH($AC137,'PRODUCT DATA'!$D$2:$D$394,0))),"Item Code; ","")&amp;IF($M137="","Country; ","")&amp;IF(AND($M137&lt;&gt;"",NOT(OR(NOT(ISNA(MATCH(IF(UPPER($M137)="UK","GB",$M137),'PRODUCT DATA'!$A$2:$A$58,0))),NOT(ISNA(MATCH(IF(UPPER($M137)="UK","GB",$M137),'PRODUCT DATA'!$B$2:$B$58,0)))))),"Country; ","")&amp;IF(AND($A137&lt;&gt;"",$M137&lt;&gt;"",NOT(ISNA(MATCH($AC137,'PRODUCT DATA'!$D$2:$D$394,0))),OR(NOT(ISNA(MATCH(IF(UPPER($M137)="UK","GB",$M137),'PRODUCT DATA'!$A$2:$A$58,0))),NOT(ISNA(MATCH(IF(UPPER($M137)="UK","GB",$M137),'PRODUCT DATA'!$B$2:$B$58,0)))),NOT(IFERROR(COUNTIF(OFFSET('PRODUCT DATA'!$F$2,0,MATCH($AC137,'PRODUCT DATA'!$F$1:$NN$1,0)-1,114,1),$N137)&gt;0,FALSE()))),IF(UPPER(IFERROR(OFFSET('PRODUCT DATA'!$C$2,MATCH($N137,'PRODUCT DATA'!$B$2:$B$58,0)-1,0),""))="NO","Alcohol Restriction; ","Item Code / Country combination; "),"")&amp;IF($C137="","Quantity; ","")&amp;IF(AND($C137&lt;&gt;"",OR(NOT(ISNUMBER($C137)),$C137&lt;1,$C137&gt;999,MOD($C137,1)&lt;&gt;0)),"Quantity; ","")&amp;IF($D137="","Recipient Name; ","")&amp;IF(LEN($D137)&gt;35,"Recipient Name; ","")&amp;IF($E137="","Recipient Phone; ","")&amp;IF(AND($E137&lt;&gt;"",OR(LEN($E137)&lt;6,LEN($E137)&gt;20,NOT(IFERROR(ISNUMBER(1*$E137),FALSE())))),"Recipient Phone; ","")&amp;IF(LEN($F137)&gt;35,"Recipient Company Name; ","")&amp;IF($G137="","Address Line 1; ","")&amp;IF(LEN($G137)&gt;35,"Address Line 1; ","")&amp;IF(LEN($H137)&gt;35,"Address Line 2; ","")&amp;IF(LEN($I137)&gt;35,"Address Line 3; ","")&amp;IF($J137="","Town; ","")&amp;IF(LEN($J137)&gt;35,"Town; ","")&amp;IF(AND($N137="IE",$K137=""),"County; ","")&amp;IF(LEN($AB137)&gt;35,"County; ","")&amp;IF(AND($L137="",AND($N137&lt;&gt;"AE",$N137&lt;&gt;"QA")),"Postcode; ","")&amp;IF(LEN($L137)&gt;35,"Postcode; ","")&amp;IF($AE137&lt;&gt;"","Postcode; ","")&amp;IF(LEN($O137)&gt;40,"Gift Message 1; ","")&amp;IF(LEN($P137)&gt;40,"Gift Message 2; ","")&amp;IF(LEN($Q137)&gt;40,"Gift Message 3; ","")&amp;IF(LEN($R137)&gt;40,"Gift Message 4; ","")&amp;IF(LEN($S137)&gt;40,"Gift Message 5; ","")&amp;IF(LEN($T137)&gt;40,"Gift Message 6; ","")&amp;IF(LEN($U137)&gt;40,"Gift Message 7; ",""))</f>
        <v/>
      </c>
      <c r="X137" s="44" t="str">
        <f ca="1">IF(COUNTA($A137,$D137:$M137,$O137:$U137)=0,"",IF($A137="","Enter the Item Code (hamper) - type it, paste it, or choose it from the dropdown. ","")&amp;IF(AND($A137&lt;&gt;"",ISNA(MATCH($AC137,'PRODUCT DATA'!$D$2:$D$394,0))),"This Item Code is not recognised. Check the code (case does not matter, but spelling and digits must match exactly) or choose it from the dropdown. ","")&amp;IF($M137="","Enter the Country after the Item Code - type or paste the name or the 2-letter code, or choose it from the dropdown. ","")&amp;IF(AND($M137&lt;&gt;"",NOT(OR(NOT(ISNA(MATCH(IF(UPPER($M137)="UK","GB",$M137),'PRODUCT DATA'!$A$2:$A$58,0))),NOT(ISNA(MATCH(IF(UPPER($M137)="UK","GB",$M137),'PRODUCT DATA'!$B$2:$B$58,0)))))),"This Country is not recognised as either a full name or a 2-letter code. Check the spelling (case does not matter) or choose it from the dropdown. ","")&amp;IF(AND($A137&lt;&gt;"",$M137&lt;&gt;"",NOT(ISNA(MATCH($AC137,'PRODUCT DATA'!$D$2:$D$394,0))),OR(NOT(ISNA(MATCH(IF(UPPER($M137)="UK","GB",$M137),'PRODUCT DATA'!$A$2:$A$58,0))),NOT(ISNA(MATCH(IF(UPPER($M137)="UK","GB",$M137),'PRODUCT DATA'!$B$2:$B$58,0)))),NOT(IFERROR(COUNTIF(OFFSET('PRODUCT DATA'!$F$2,0,MATCH($AC137,'PRODUCT DATA'!$F$1:$NN$1,0)-1,114,1),$N137)&gt;0,FALSE()))),IF(UPPER(IFERROR(OFFSET('PRODUCT DATA'!$C$2,MATCH($N137,'PRODUCT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"),"")&amp;IF($C137="","Enter Quantity. ","")&amp;IF(AND($C137&lt;&gt;"",OR(NOT(ISNUMBER($C137)),$C137&lt;1,$C137&gt;999,MOD($C137,1)&lt;&gt;0)),"Quantity must be a whole number from 1 to 999 (use a quantity above 1 only for a genuine bulk order of identical items to ONE address — otherwise use a separate row per recipient). ","")&amp;IF($D137="","Enter Recipient Name. ","")&amp;IF(LEN($D137)&gt;35,"Recipient Name exceeds 35 characters. ","")&amp;IF($E137="","Enter Recipient Phone. ","")&amp;IF(AND($E137&lt;&gt;"",OR(LEN($E137)&lt;6,LEN($E137)&gt;20,NOT(IFERROR(ISNUMBER(1*$E137),FALSE())))),"Phone must be the LOCAL number for the destination country: digits only, no +, spaces, or country code, 6 to 20 digits. ","")&amp;IF(LEN($F137)&gt;35,"Recipient Company Name exceeds 35 characters. ","")&amp;IF($G137="","Enter Address Line 1. ","")&amp;IF(LEN($G137)&gt;35,"Address Line 1 exceeds the 35-character SAP limit. ","")&amp;IF(LEN($H137)&gt;35,"Address Line 2 exceeds the 35-character SAP limit. ","")&amp;IF(LEN($I137)&gt;35,"Address Line 3 exceeds the 35-character SAP limit. ","")&amp;IF($J137="","Enter Town. This must never be left blank, even if there is no conventional town name. ","")&amp;IF(LEN($J137)&gt;35,"Town exceeds 35 characters. ","")&amp;IF(AND($N137="IE",$K137=""),"County is required for deliveries within the Republic of Ireland. ","")&amp;IF(LEN($AB137)&gt;35,"County exceeds 35 characters. ","")&amp;IF(AND($L137="",AND($N137&lt;&gt;"AE",$N137&lt;&gt;"QA")),"Postcode is required for the selected country. If there is genuinely no postcode, enter the first 3 characters of the area (e.g. D15). ","")&amp;IF(LEN($L137)&gt;35,"Postcode exceeds 35 characters. ","")&amp;IF($AE137&lt;&gt;"",$AE137,"")&amp;IF(LEN($O137)&gt;40,"Gift Message Line 1 exceeds 40 characters. ","")&amp;IF(LEN($P137)&gt;40,"Gift Message Line 2 exceeds 40 characters. ","")&amp;IF(LEN($Q137)&gt;40,"Gift Message Line 3 exceeds 40 characters. ","")&amp;IF(LEN($R137)&gt;40,"Gift Message Line 4 exceeds 40 characters. ","")&amp;IF(LEN($S137)&gt;40,"Gift Message Line 5 exceeds 40 characters. ","")&amp;IF(LEN($T137)&gt;40,"Gift Message Line 6 exceeds 40 characters. ","")&amp;IF(LEN($U137)&gt;40,"Gift Message Line 7 exceeds 40 characters. ",""))</f>
        <v/>
      </c>
      <c r="Y137" s="44" t="str">
        <f t="shared" si="9"/>
        <v/>
      </c>
      <c r="Z137" s="44"/>
      <c r="AA137" s="44"/>
      <c r="AB137" s="32" t="str">
        <f t="shared" si="10"/>
        <v/>
      </c>
      <c r="AC137" s="32" t="str">
        <f>IF($A137="","",IFERROR(LEFT(INDEX('PRODUCT DATA'!$NO$2:$NO$25,MATCH($A137,'PRODUCT DATA'!$NP$2:$NP$25,0)),FIND("|",INDEX('PRODUCT DATA'!$NO$2:$NO$25,MATCH($A137,'PRODUCT DATA'!$NP$2:$NP$25,0)))-1),$A137))</f>
        <v/>
      </c>
      <c r="AD137" s="45"/>
      <c r="AE137" s="45" t="str">
        <f t="shared" si="11"/>
        <v/>
      </c>
    </row>
    <row r="138" spans="1:31" ht="15" customHeight="1" x14ac:dyDescent="0.25">
      <c r="A138" s="40"/>
      <c r="B138" s="43" t="str">
        <f>IF($A138="","",IFERROR(VLOOKUP($AC138,'PRODUCT DATA'!$NR$2:$NS$374,2,FALSE()),"UNKNOWN ITEM CODE - please check"))</f>
        <v/>
      </c>
      <c r="C138" s="39">
        <v>1</v>
      </c>
      <c r="D138" s="39"/>
      <c r="E138" s="40"/>
      <c r="F138" s="41"/>
      <c r="G138" s="39"/>
      <c r="H138" s="41"/>
      <c r="I138" s="41"/>
      <c r="J138" s="39"/>
      <c r="K138" s="41"/>
      <c r="L138" s="40"/>
      <c r="M138" s="40"/>
      <c r="N138" s="42" t="str">
        <f>IF($M138="","",IFERROR(INDEX('PRODUCT DATA'!$B$2:$B$58,MATCH(IF(UPPER($M138)="UK","GB",$M138),'PRODUCT DATA'!$B$2:$B$58,0)),IFERROR(INDEX('PRODUCT DATA'!$B$2:$B$58,MATCH(IF(UPPER($M138)="UK","GB",$M138),'PRODUCT DATA'!$A$2:$A$58,0)),"UNKNOWN COUNTRY - please check")))</f>
        <v/>
      </c>
      <c r="O138" s="41"/>
      <c r="P138" s="41"/>
      <c r="Q138" s="41"/>
      <c r="R138" s="41"/>
      <c r="S138" s="41"/>
      <c r="T138" s="41"/>
      <c r="U138" s="41"/>
      <c r="V138" s="43" t="str">
        <f t="shared" si="8"/>
        <v/>
      </c>
      <c r="W138" s="44" t="str">
        <f ca="1">IF(COUNTA($A138,$D138:$M138,$O138:$U138)=0,"",IF($A138="","Item Code; ","")&amp;IF(AND($A138&lt;&gt;"",ISNA(MATCH($AC138,'PRODUCT DATA'!$D$2:$D$394,0))),"Item Code; ","")&amp;IF($M138="","Country; ","")&amp;IF(AND($M138&lt;&gt;"",NOT(OR(NOT(ISNA(MATCH(IF(UPPER($M138)="UK","GB",$M138),'PRODUCT DATA'!$A$2:$A$58,0))),NOT(ISNA(MATCH(IF(UPPER($M138)="UK","GB",$M138),'PRODUCT DATA'!$B$2:$B$58,0)))))),"Country; ","")&amp;IF(AND($A138&lt;&gt;"",$M138&lt;&gt;"",NOT(ISNA(MATCH($AC138,'PRODUCT DATA'!$D$2:$D$394,0))),OR(NOT(ISNA(MATCH(IF(UPPER($M138)="UK","GB",$M138),'PRODUCT DATA'!$A$2:$A$58,0))),NOT(ISNA(MATCH(IF(UPPER($M138)="UK","GB",$M138),'PRODUCT DATA'!$B$2:$B$58,0)))),NOT(IFERROR(COUNTIF(OFFSET('PRODUCT DATA'!$F$2,0,MATCH($AC138,'PRODUCT DATA'!$F$1:$NN$1,0)-1,114,1),$N138)&gt;0,FALSE()))),IF(UPPER(IFERROR(OFFSET('PRODUCT DATA'!$C$2,MATCH($N138,'PRODUCT DATA'!$B$2:$B$58,0)-1,0),""))="NO","Alcohol Restriction; ","Item Code / Country combination; "),"")&amp;IF($C138="","Quantity; ","")&amp;IF(AND($C138&lt;&gt;"",OR(NOT(ISNUMBER($C138)),$C138&lt;1,$C138&gt;999,MOD($C138,1)&lt;&gt;0)),"Quantity; ","")&amp;IF($D138="","Recipient Name; ","")&amp;IF(LEN($D138)&gt;35,"Recipient Name; ","")&amp;IF($E138="","Recipient Phone; ","")&amp;IF(AND($E138&lt;&gt;"",OR(LEN($E138)&lt;6,LEN($E138)&gt;20,NOT(IFERROR(ISNUMBER(1*$E138),FALSE())))),"Recipient Phone; ","")&amp;IF(LEN($F138)&gt;35,"Recipient Company Name; ","")&amp;IF($G138="","Address Line 1; ","")&amp;IF(LEN($G138)&gt;35,"Address Line 1; ","")&amp;IF(LEN($H138)&gt;35,"Address Line 2; ","")&amp;IF(LEN($I138)&gt;35,"Address Line 3; ","")&amp;IF($J138="","Town; ","")&amp;IF(LEN($J138)&gt;35,"Town; ","")&amp;IF(AND($N138="IE",$K138=""),"County; ","")&amp;IF(LEN($AB138)&gt;35,"County; ","")&amp;IF(AND($L138="",AND($N138&lt;&gt;"AE",$N138&lt;&gt;"QA")),"Postcode; ","")&amp;IF(LEN($L138)&gt;35,"Postcode; ","")&amp;IF($AE138&lt;&gt;"","Postcode; ","")&amp;IF(LEN($O138)&gt;40,"Gift Message 1; ","")&amp;IF(LEN($P138)&gt;40,"Gift Message 2; ","")&amp;IF(LEN($Q138)&gt;40,"Gift Message 3; ","")&amp;IF(LEN($R138)&gt;40,"Gift Message 4; ","")&amp;IF(LEN($S138)&gt;40,"Gift Message 5; ","")&amp;IF(LEN($T138)&gt;40,"Gift Message 6; ","")&amp;IF(LEN($U138)&gt;40,"Gift Message 7; ",""))</f>
        <v/>
      </c>
      <c r="X138" s="44" t="str">
        <f ca="1">IF(COUNTA($A138,$D138:$M138,$O138:$U138)=0,"",IF($A138="","Enter the Item Code (hamper) - type it, paste it, or choose it from the dropdown. ","")&amp;IF(AND($A138&lt;&gt;"",ISNA(MATCH($AC138,'PRODUCT DATA'!$D$2:$D$394,0))),"This Item Code is not recognised. Check the code (case does not matter, but spelling and digits must match exactly) or choose it from the dropdown. ","")&amp;IF($M138="","Enter the Country after the Item Code - type or paste the name or the 2-letter code, or choose it from the dropdown. ","")&amp;IF(AND($M138&lt;&gt;"",NOT(OR(NOT(ISNA(MATCH(IF(UPPER($M138)="UK","GB",$M138),'PRODUCT DATA'!$A$2:$A$58,0))),NOT(ISNA(MATCH(IF(UPPER($M138)="UK","GB",$M138),'PRODUCT DATA'!$B$2:$B$58,0)))))),"This Country is not recognised as either a full name or a 2-letter code. Check the spelling (case does not matter) or choose it from the dropdown. ","")&amp;IF(AND($A138&lt;&gt;"",$M138&lt;&gt;"",NOT(ISNA(MATCH($AC138,'PRODUCT DATA'!$D$2:$D$394,0))),OR(NOT(ISNA(MATCH(IF(UPPER($M138)="UK","GB",$M138),'PRODUCT DATA'!$A$2:$A$58,0))),NOT(ISNA(MATCH(IF(UPPER($M138)="UK","GB",$M138),'PRODUCT DATA'!$B$2:$B$58,0)))),NOT(IFERROR(COUNTIF(OFFSET('PRODUCT DATA'!$F$2,0,MATCH($AC138,'PRODUCT DATA'!$F$1:$NN$1,0)-1,114,1),$N138)&gt;0,FALSE()))),IF(UPPER(IFERROR(OFFSET('PRODUCT DATA'!$C$2,MATCH($N138,'PRODUCT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"),"")&amp;IF($C138="","Enter Quantity. ","")&amp;IF(AND($C138&lt;&gt;"",OR(NOT(ISNUMBER($C138)),$C138&lt;1,$C138&gt;999,MOD($C138,1)&lt;&gt;0)),"Quantity must be a whole number from 1 to 999 (use a quantity above 1 only for a genuine bulk order of identical items to ONE address — otherwise use a separate row per recipient). ","")&amp;IF($D138="","Enter Recipient Name. ","")&amp;IF(LEN($D138)&gt;35,"Recipient Name exceeds 35 characters. ","")&amp;IF($E138="","Enter Recipient Phone. ","")&amp;IF(AND($E138&lt;&gt;"",OR(LEN($E138)&lt;6,LEN($E138)&gt;20,NOT(IFERROR(ISNUMBER(1*$E138),FALSE())))),"Phone must be the LOCAL number for the destination country: digits only, no +, spaces, or country code, 6 to 20 digits. ","")&amp;IF(LEN($F138)&gt;35,"Recipient Company Name exceeds 35 characters. ","")&amp;IF($G138="","Enter Address Line 1. ","")&amp;IF(LEN($G138)&gt;35,"Address Line 1 exceeds the 35-character SAP limit. ","")&amp;IF(LEN($H138)&gt;35,"Address Line 2 exceeds the 35-character SAP limit. ","")&amp;IF(LEN($I138)&gt;35,"Address Line 3 exceeds the 35-character SAP limit. ","")&amp;IF($J138="","Enter Town. This must never be left blank, even if there is no conventional town name. ","")&amp;IF(LEN($J138)&gt;35,"Town exceeds 35 characters. ","")&amp;IF(AND($N138="IE",$K138=""),"County is required for deliveries within the Republic of Ireland. ","")&amp;IF(LEN($AB138)&gt;35,"County exceeds 35 characters. ","")&amp;IF(AND($L138="",AND($N138&lt;&gt;"AE",$N138&lt;&gt;"QA")),"Postcode is required for the selected country. If there is genuinely no postcode, enter the first 3 characters of the area (e.g. D15). ","")&amp;IF(LEN($L138)&gt;35,"Postcode exceeds 35 characters. ","")&amp;IF($AE138&lt;&gt;"",$AE138,"")&amp;IF(LEN($O138)&gt;40,"Gift Message Line 1 exceeds 40 characters. ","")&amp;IF(LEN($P138)&gt;40,"Gift Message Line 2 exceeds 40 characters. ","")&amp;IF(LEN($Q138)&gt;40,"Gift Message Line 3 exceeds 40 characters. ","")&amp;IF(LEN($R138)&gt;40,"Gift Message Line 4 exceeds 40 characters. ","")&amp;IF(LEN($S138)&gt;40,"Gift Message Line 5 exceeds 40 characters. ","")&amp;IF(LEN($T138)&gt;40,"Gift Message Line 6 exceeds 40 characters. ","")&amp;IF(LEN($U138)&gt;40,"Gift Message Line 7 exceeds 40 characters. ",""))</f>
        <v/>
      </c>
      <c r="Y138" s="44" t="str">
        <f t="shared" si="9"/>
        <v/>
      </c>
      <c r="Z138" s="44"/>
      <c r="AA138" s="44"/>
      <c r="AB138" s="32" t="str">
        <f t="shared" si="10"/>
        <v/>
      </c>
      <c r="AC138" s="32" t="str">
        <f>IF($A138="","",IFERROR(LEFT(INDEX('PRODUCT DATA'!$NO$2:$NO$25,MATCH($A138,'PRODUCT DATA'!$NP$2:$NP$25,0)),FIND("|",INDEX('PRODUCT DATA'!$NO$2:$NO$25,MATCH($A138,'PRODUCT DATA'!$NP$2:$NP$25,0)))-1),$A138))</f>
        <v/>
      </c>
      <c r="AD138" s="45"/>
      <c r="AE138" s="45" t="str">
        <f t="shared" si="11"/>
        <v/>
      </c>
    </row>
    <row r="139" spans="1:31" ht="15" customHeight="1" x14ac:dyDescent="0.25">
      <c r="A139" s="40"/>
      <c r="B139" s="43" t="str">
        <f>IF($A139="","",IFERROR(VLOOKUP($AC139,'PRODUCT DATA'!$NR$2:$NS$374,2,FALSE()),"UNKNOWN ITEM CODE - please check"))</f>
        <v/>
      </c>
      <c r="C139" s="39">
        <v>1</v>
      </c>
      <c r="D139" s="39"/>
      <c r="E139" s="40"/>
      <c r="F139" s="41"/>
      <c r="G139" s="39"/>
      <c r="H139" s="41"/>
      <c r="I139" s="41"/>
      <c r="J139" s="39"/>
      <c r="K139" s="41"/>
      <c r="L139" s="40"/>
      <c r="M139" s="40"/>
      <c r="N139" s="42" t="str">
        <f>IF($M139="","",IFERROR(INDEX('PRODUCT DATA'!$B$2:$B$58,MATCH(IF(UPPER($M139)="UK","GB",$M139),'PRODUCT DATA'!$B$2:$B$58,0)),IFERROR(INDEX('PRODUCT DATA'!$B$2:$B$58,MATCH(IF(UPPER($M139)="UK","GB",$M139),'PRODUCT DATA'!$A$2:$A$58,0)),"UNKNOWN COUNTRY - please check")))</f>
        <v/>
      </c>
      <c r="O139" s="41"/>
      <c r="P139" s="41"/>
      <c r="Q139" s="41"/>
      <c r="R139" s="41"/>
      <c r="S139" s="41"/>
      <c r="T139" s="41"/>
      <c r="U139" s="41"/>
      <c r="V139" s="43" t="str">
        <f t="shared" si="8"/>
        <v/>
      </c>
      <c r="W139" s="44" t="str">
        <f ca="1">IF(COUNTA($A139,$D139:$M139,$O139:$U139)=0,"",IF($A139="","Item Code; ","")&amp;IF(AND($A139&lt;&gt;"",ISNA(MATCH($AC139,'PRODUCT DATA'!$D$2:$D$394,0))),"Item Code; ","")&amp;IF($M139="","Country; ","")&amp;IF(AND($M139&lt;&gt;"",NOT(OR(NOT(ISNA(MATCH(IF(UPPER($M139)="UK","GB",$M139),'PRODUCT DATA'!$A$2:$A$58,0))),NOT(ISNA(MATCH(IF(UPPER($M139)="UK","GB",$M139),'PRODUCT DATA'!$B$2:$B$58,0)))))),"Country; ","")&amp;IF(AND($A139&lt;&gt;"",$M139&lt;&gt;"",NOT(ISNA(MATCH($AC139,'PRODUCT DATA'!$D$2:$D$394,0))),OR(NOT(ISNA(MATCH(IF(UPPER($M139)="UK","GB",$M139),'PRODUCT DATA'!$A$2:$A$58,0))),NOT(ISNA(MATCH(IF(UPPER($M139)="UK","GB",$M139),'PRODUCT DATA'!$B$2:$B$58,0)))),NOT(IFERROR(COUNTIF(OFFSET('PRODUCT DATA'!$F$2,0,MATCH($AC139,'PRODUCT DATA'!$F$1:$NN$1,0)-1,114,1),$N139)&gt;0,FALSE()))),IF(UPPER(IFERROR(OFFSET('PRODUCT DATA'!$C$2,MATCH($N139,'PRODUCT DATA'!$B$2:$B$58,0)-1,0),""))="NO","Alcohol Restriction; ","Item Code / Country combination; "),"")&amp;IF($C139="","Quantity; ","")&amp;IF(AND($C139&lt;&gt;"",OR(NOT(ISNUMBER($C139)),$C139&lt;1,$C139&gt;999,MOD($C139,1)&lt;&gt;0)),"Quantity; ","")&amp;IF($D139="","Recipient Name; ","")&amp;IF(LEN($D139)&gt;35,"Recipient Name; ","")&amp;IF($E139="","Recipient Phone; ","")&amp;IF(AND($E139&lt;&gt;"",OR(LEN($E139)&lt;6,LEN($E139)&gt;20,NOT(IFERROR(ISNUMBER(1*$E139),FALSE())))),"Recipient Phone; ","")&amp;IF(LEN($F139)&gt;35,"Recipient Company Name; ","")&amp;IF($G139="","Address Line 1; ","")&amp;IF(LEN($G139)&gt;35,"Address Line 1; ","")&amp;IF(LEN($H139)&gt;35,"Address Line 2; ","")&amp;IF(LEN($I139)&gt;35,"Address Line 3; ","")&amp;IF($J139="","Town; ","")&amp;IF(LEN($J139)&gt;35,"Town; ","")&amp;IF(AND($N139="IE",$K139=""),"County; ","")&amp;IF(LEN($AB139)&gt;35,"County; ","")&amp;IF(AND($L139="",AND($N139&lt;&gt;"AE",$N139&lt;&gt;"QA")),"Postcode; ","")&amp;IF(LEN($L139)&gt;35,"Postcode; ","")&amp;IF($AE139&lt;&gt;"","Postcode; ","")&amp;IF(LEN($O139)&gt;40,"Gift Message 1; ","")&amp;IF(LEN($P139)&gt;40,"Gift Message 2; ","")&amp;IF(LEN($Q139)&gt;40,"Gift Message 3; ","")&amp;IF(LEN($R139)&gt;40,"Gift Message 4; ","")&amp;IF(LEN($S139)&gt;40,"Gift Message 5; ","")&amp;IF(LEN($T139)&gt;40,"Gift Message 6; ","")&amp;IF(LEN($U139)&gt;40,"Gift Message 7; ",""))</f>
        <v/>
      </c>
      <c r="X139" s="44" t="str">
        <f ca="1">IF(COUNTA($A139,$D139:$M139,$O139:$U139)=0,"",IF($A139="","Enter the Item Code (hamper) - type it, paste it, or choose it from the dropdown. ","")&amp;IF(AND($A139&lt;&gt;"",ISNA(MATCH($AC139,'PRODUCT DATA'!$D$2:$D$394,0))),"This Item Code is not recognised. Check the code (case does not matter, but spelling and digits must match exactly) or choose it from the dropdown. ","")&amp;IF($M139="","Enter the Country after the Item Code - type or paste the name or the 2-letter code, or choose it from the dropdown. ","")&amp;IF(AND($M139&lt;&gt;"",NOT(OR(NOT(ISNA(MATCH(IF(UPPER($M139)="UK","GB",$M139),'PRODUCT DATA'!$A$2:$A$58,0))),NOT(ISNA(MATCH(IF(UPPER($M139)="UK","GB",$M139),'PRODUCT DATA'!$B$2:$B$58,0)))))),"This Country is not recognised as either a full name or a 2-letter code. Check the spelling (case does not matter) or choose it from the dropdown. ","")&amp;IF(AND($A139&lt;&gt;"",$M139&lt;&gt;"",NOT(ISNA(MATCH($AC139,'PRODUCT DATA'!$D$2:$D$394,0))),OR(NOT(ISNA(MATCH(IF(UPPER($M139)="UK","GB",$M139),'PRODUCT DATA'!$A$2:$A$58,0))),NOT(ISNA(MATCH(IF(UPPER($M139)="UK","GB",$M139),'PRODUCT DATA'!$B$2:$B$58,0)))),NOT(IFERROR(COUNTIF(OFFSET('PRODUCT DATA'!$F$2,0,MATCH($AC139,'PRODUCT DATA'!$F$1:$NN$1,0)-1,114,1),$N139)&gt;0,FALSE()))),IF(UPPER(IFERROR(OFFSET('PRODUCT DATA'!$C$2,MATCH($N139,'PRODUCT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"),"")&amp;IF($C139="","Enter Quantity. ","")&amp;IF(AND($C139&lt;&gt;"",OR(NOT(ISNUMBER($C139)),$C139&lt;1,$C139&gt;999,MOD($C139,1)&lt;&gt;0)),"Quantity must be a whole number from 1 to 999 (use a quantity above 1 only for a genuine bulk order of identical items to ONE address — otherwise use a separate row per recipient). ","")&amp;IF($D139="","Enter Recipient Name. ","")&amp;IF(LEN($D139)&gt;35,"Recipient Name exceeds 35 characters. ","")&amp;IF($E139="","Enter Recipient Phone. ","")&amp;IF(AND($E139&lt;&gt;"",OR(LEN($E139)&lt;6,LEN($E139)&gt;20,NOT(IFERROR(ISNUMBER(1*$E139),FALSE())))),"Phone must be the LOCAL number for the destination country: digits only, no +, spaces, or country code, 6 to 20 digits. ","")&amp;IF(LEN($F139)&gt;35,"Recipient Company Name exceeds 35 characters. ","")&amp;IF($G139="","Enter Address Line 1. ","")&amp;IF(LEN($G139)&gt;35,"Address Line 1 exceeds the 35-character SAP limit. ","")&amp;IF(LEN($H139)&gt;35,"Address Line 2 exceeds the 35-character SAP limit. ","")&amp;IF(LEN($I139)&gt;35,"Address Line 3 exceeds the 35-character SAP limit. ","")&amp;IF($J139="","Enter Town. This must never be left blank, even if there is no conventional town name. ","")&amp;IF(LEN($J139)&gt;35,"Town exceeds 35 characters. ","")&amp;IF(AND($N139="IE",$K139=""),"County is required for deliveries within the Republic of Ireland. ","")&amp;IF(LEN($AB139)&gt;35,"County exceeds 35 characters. ","")&amp;IF(AND($L139="",AND($N139&lt;&gt;"AE",$N139&lt;&gt;"QA")),"Postcode is required for the selected country. If there is genuinely no postcode, enter the first 3 characters of the area (e.g. D15). ","")&amp;IF(LEN($L139)&gt;35,"Postcode exceeds 35 characters. ","")&amp;IF($AE139&lt;&gt;"",$AE139,"")&amp;IF(LEN($O139)&gt;40,"Gift Message Line 1 exceeds 40 characters. ","")&amp;IF(LEN($P139)&gt;40,"Gift Message Line 2 exceeds 40 characters. ","")&amp;IF(LEN($Q139)&gt;40,"Gift Message Line 3 exceeds 40 characters. ","")&amp;IF(LEN($R139)&gt;40,"Gift Message Line 4 exceeds 40 characters. ","")&amp;IF(LEN($S139)&gt;40,"Gift Message Line 5 exceeds 40 characters. ","")&amp;IF(LEN($T139)&gt;40,"Gift Message Line 6 exceeds 40 characters. ","")&amp;IF(LEN($U139)&gt;40,"Gift Message Line 7 exceeds 40 characters. ",""))</f>
        <v/>
      </c>
      <c r="Y139" s="44" t="str">
        <f t="shared" si="9"/>
        <v/>
      </c>
      <c r="Z139" s="44"/>
      <c r="AA139" s="44"/>
      <c r="AB139" s="32" t="str">
        <f t="shared" si="10"/>
        <v/>
      </c>
      <c r="AC139" s="32" t="str">
        <f>IF($A139="","",IFERROR(LEFT(INDEX('PRODUCT DATA'!$NO$2:$NO$25,MATCH($A139,'PRODUCT DATA'!$NP$2:$NP$25,0)),FIND("|",INDEX('PRODUCT DATA'!$NO$2:$NO$25,MATCH($A139,'PRODUCT DATA'!$NP$2:$NP$25,0)))-1),$A139))</f>
        <v/>
      </c>
      <c r="AD139" s="45"/>
      <c r="AE139" s="45" t="str">
        <f t="shared" si="11"/>
        <v/>
      </c>
    </row>
    <row r="140" spans="1:31" ht="15" customHeight="1" x14ac:dyDescent="0.25">
      <c r="A140" s="40"/>
      <c r="B140" s="43" t="str">
        <f>IF($A140="","",IFERROR(VLOOKUP($AC140,'PRODUCT DATA'!$NR$2:$NS$374,2,FALSE()),"UNKNOWN ITEM CODE - please check"))</f>
        <v/>
      </c>
      <c r="C140" s="39">
        <v>1</v>
      </c>
      <c r="D140" s="39"/>
      <c r="E140" s="40"/>
      <c r="F140" s="41"/>
      <c r="G140" s="39"/>
      <c r="H140" s="41"/>
      <c r="I140" s="41"/>
      <c r="J140" s="39"/>
      <c r="K140" s="41"/>
      <c r="L140" s="40"/>
      <c r="M140" s="40"/>
      <c r="N140" s="42" t="str">
        <f>IF($M140="","",IFERROR(INDEX('PRODUCT DATA'!$B$2:$B$58,MATCH(IF(UPPER($M140)="UK","GB",$M140),'PRODUCT DATA'!$B$2:$B$58,0)),IFERROR(INDEX('PRODUCT DATA'!$B$2:$B$58,MATCH(IF(UPPER($M140)="UK","GB",$M140),'PRODUCT DATA'!$A$2:$A$58,0)),"UNKNOWN COUNTRY - please check")))</f>
        <v/>
      </c>
      <c r="O140" s="41"/>
      <c r="P140" s="41"/>
      <c r="Q140" s="41"/>
      <c r="R140" s="41"/>
      <c r="S140" s="41"/>
      <c r="T140" s="41"/>
      <c r="U140" s="41"/>
      <c r="V140" s="43" t="str">
        <f t="shared" si="8"/>
        <v/>
      </c>
      <c r="W140" s="44" t="str">
        <f ca="1">IF(COUNTA($A140,$D140:$M140,$O140:$U140)=0,"",IF($A140="","Item Code; ","")&amp;IF(AND($A140&lt;&gt;"",ISNA(MATCH($AC140,'PRODUCT DATA'!$D$2:$D$394,0))),"Item Code; ","")&amp;IF($M140="","Country; ","")&amp;IF(AND($M140&lt;&gt;"",NOT(OR(NOT(ISNA(MATCH(IF(UPPER($M140)="UK","GB",$M140),'PRODUCT DATA'!$A$2:$A$58,0))),NOT(ISNA(MATCH(IF(UPPER($M140)="UK","GB",$M140),'PRODUCT DATA'!$B$2:$B$58,0)))))),"Country; ","")&amp;IF(AND($A140&lt;&gt;"",$M140&lt;&gt;"",NOT(ISNA(MATCH($AC140,'PRODUCT DATA'!$D$2:$D$394,0))),OR(NOT(ISNA(MATCH(IF(UPPER($M140)="UK","GB",$M140),'PRODUCT DATA'!$A$2:$A$58,0))),NOT(ISNA(MATCH(IF(UPPER($M140)="UK","GB",$M140),'PRODUCT DATA'!$B$2:$B$58,0)))),NOT(IFERROR(COUNTIF(OFFSET('PRODUCT DATA'!$F$2,0,MATCH($AC140,'PRODUCT DATA'!$F$1:$NN$1,0)-1,114,1),$N140)&gt;0,FALSE()))),IF(UPPER(IFERROR(OFFSET('PRODUCT DATA'!$C$2,MATCH($N140,'PRODUCT DATA'!$B$2:$B$58,0)-1,0),""))="NO","Alcohol Restriction; ","Item Code / Country combination; "),"")&amp;IF($C140="","Quantity; ","")&amp;IF(AND($C140&lt;&gt;"",OR(NOT(ISNUMBER($C140)),$C140&lt;1,$C140&gt;999,MOD($C140,1)&lt;&gt;0)),"Quantity; ","")&amp;IF($D140="","Recipient Name; ","")&amp;IF(LEN($D140)&gt;35,"Recipient Name; ","")&amp;IF($E140="","Recipient Phone; ","")&amp;IF(AND($E140&lt;&gt;"",OR(LEN($E140)&lt;6,LEN($E140)&gt;20,NOT(IFERROR(ISNUMBER(1*$E140),FALSE())))),"Recipient Phone; ","")&amp;IF(LEN($F140)&gt;35,"Recipient Company Name; ","")&amp;IF($G140="","Address Line 1; ","")&amp;IF(LEN($G140)&gt;35,"Address Line 1; ","")&amp;IF(LEN($H140)&gt;35,"Address Line 2; ","")&amp;IF(LEN($I140)&gt;35,"Address Line 3; ","")&amp;IF($J140="","Town; ","")&amp;IF(LEN($J140)&gt;35,"Town; ","")&amp;IF(AND($N140="IE",$K140=""),"County; ","")&amp;IF(LEN($AB140)&gt;35,"County; ","")&amp;IF(AND($L140="",AND($N140&lt;&gt;"AE",$N140&lt;&gt;"QA")),"Postcode; ","")&amp;IF(LEN($L140)&gt;35,"Postcode; ","")&amp;IF($AE140&lt;&gt;"","Postcode; ","")&amp;IF(LEN($O140)&gt;40,"Gift Message 1; ","")&amp;IF(LEN($P140)&gt;40,"Gift Message 2; ","")&amp;IF(LEN($Q140)&gt;40,"Gift Message 3; ","")&amp;IF(LEN($R140)&gt;40,"Gift Message 4; ","")&amp;IF(LEN($S140)&gt;40,"Gift Message 5; ","")&amp;IF(LEN($T140)&gt;40,"Gift Message 6; ","")&amp;IF(LEN($U140)&gt;40,"Gift Message 7; ",""))</f>
        <v/>
      </c>
      <c r="X140" s="44" t="str">
        <f ca="1">IF(COUNTA($A140,$D140:$M140,$O140:$U140)=0,"",IF($A140="","Enter the Item Code (hamper) - type it, paste it, or choose it from the dropdown. ","")&amp;IF(AND($A140&lt;&gt;"",ISNA(MATCH($AC140,'PRODUCT DATA'!$D$2:$D$394,0))),"This Item Code is not recognised. Check the code (case does not matter, but spelling and digits must match exactly) or choose it from the dropdown. ","")&amp;IF($M140="","Enter the Country after the Item Code - type or paste the name or the 2-letter code, or choose it from the dropdown. ","")&amp;IF(AND($M140&lt;&gt;"",NOT(OR(NOT(ISNA(MATCH(IF(UPPER($M140)="UK","GB",$M140),'PRODUCT DATA'!$A$2:$A$58,0))),NOT(ISNA(MATCH(IF(UPPER($M140)="UK","GB",$M140),'PRODUCT DATA'!$B$2:$B$58,0)))))),"This Country is not recognised as either a full name or a 2-letter code. Check the spelling (case does not matter) or choose it from the dropdown. ","")&amp;IF(AND($A140&lt;&gt;"",$M140&lt;&gt;"",NOT(ISNA(MATCH($AC140,'PRODUCT DATA'!$D$2:$D$394,0))),OR(NOT(ISNA(MATCH(IF(UPPER($M140)="UK","GB",$M140),'PRODUCT DATA'!$A$2:$A$58,0))),NOT(ISNA(MATCH(IF(UPPER($M140)="UK","GB",$M140),'PRODUCT DATA'!$B$2:$B$58,0)))),NOT(IFERROR(COUNTIF(OFFSET('PRODUCT DATA'!$F$2,0,MATCH($AC140,'PRODUCT DATA'!$F$1:$NN$1,0)-1,114,1),$N140)&gt;0,FALSE()))),IF(UPPER(IFERROR(OFFSET('PRODUCT DATA'!$C$2,MATCH($N140,'PRODUCT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"),"")&amp;IF($C140="","Enter Quantity. ","")&amp;IF(AND($C140&lt;&gt;"",OR(NOT(ISNUMBER($C140)),$C140&lt;1,$C140&gt;999,MOD($C140,1)&lt;&gt;0)),"Quantity must be a whole number from 1 to 999 (use a quantity above 1 only for a genuine bulk order of identical items to ONE address — otherwise use a separate row per recipient). ","")&amp;IF($D140="","Enter Recipient Name. ","")&amp;IF(LEN($D140)&gt;35,"Recipient Name exceeds 35 characters. ","")&amp;IF($E140="","Enter Recipient Phone. ","")&amp;IF(AND($E140&lt;&gt;"",OR(LEN($E140)&lt;6,LEN($E140)&gt;20,NOT(IFERROR(ISNUMBER(1*$E140),FALSE())))),"Phone must be the LOCAL number for the destination country: digits only, no +, spaces, or country code, 6 to 20 digits. ","")&amp;IF(LEN($F140)&gt;35,"Recipient Company Name exceeds 35 characters. ","")&amp;IF($G140="","Enter Address Line 1. ","")&amp;IF(LEN($G140)&gt;35,"Address Line 1 exceeds the 35-character SAP limit. ","")&amp;IF(LEN($H140)&gt;35,"Address Line 2 exceeds the 35-character SAP limit. ","")&amp;IF(LEN($I140)&gt;35,"Address Line 3 exceeds the 35-character SAP limit. ","")&amp;IF($J140="","Enter Town. This must never be left blank, even if there is no conventional town name. ","")&amp;IF(LEN($J140)&gt;35,"Town exceeds 35 characters. ","")&amp;IF(AND($N140="IE",$K140=""),"County is required for deliveries within the Republic of Ireland. ","")&amp;IF(LEN($AB140)&gt;35,"County exceeds 35 characters. ","")&amp;IF(AND($L140="",AND($N140&lt;&gt;"AE",$N140&lt;&gt;"QA")),"Postcode is required for the selected country. If there is genuinely no postcode, enter the first 3 characters of the area (e.g. D15). ","")&amp;IF(LEN($L140)&gt;35,"Postcode exceeds 35 characters. ","")&amp;IF($AE140&lt;&gt;"",$AE140,"")&amp;IF(LEN($O140)&gt;40,"Gift Message Line 1 exceeds 40 characters. ","")&amp;IF(LEN($P140)&gt;40,"Gift Message Line 2 exceeds 40 characters. ","")&amp;IF(LEN($Q140)&gt;40,"Gift Message Line 3 exceeds 40 characters. ","")&amp;IF(LEN($R140)&gt;40,"Gift Message Line 4 exceeds 40 characters. ","")&amp;IF(LEN($S140)&gt;40,"Gift Message Line 5 exceeds 40 characters. ","")&amp;IF(LEN($T140)&gt;40,"Gift Message Line 6 exceeds 40 characters. ","")&amp;IF(LEN($U140)&gt;40,"Gift Message Line 7 exceeds 40 characters. ",""))</f>
        <v/>
      </c>
      <c r="Y140" s="44" t="str">
        <f t="shared" si="9"/>
        <v/>
      </c>
      <c r="Z140" s="44"/>
      <c r="AA140" s="44"/>
      <c r="AB140" s="32" t="str">
        <f t="shared" si="10"/>
        <v/>
      </c>
      <c r="AC140" s="32" t="str">
        <f>IF($A140="","",IFERROR(LEFT(INDEX('PRODUCT DATA'!$NO$2:$NO$25,MATCH($A140,'PRODUCT DATA'!$NP$2:$NP$25,0)),FIND("|",INDEX('PRODUCT DATA'!$NO$2:$NO$25,MATCH($A140,'PRODUCT DATA'!$NP$2:$NP$25,0)))-1),$A140))</f>
        <v/>
      </c>
      <c r="AD140" s="45"/>
      <c r="AE140" s="45" t="str">
        <f t="shared" si="11"/>
        <v/>
      </c>
    </row>
    <row r="141" spans="1:31" ht="15" customHeight="1" x14ac:dyDescent="0.25">
      <c r="A141" s="40"/>
      <c r="B141" s="43" t="str">
        <f>IF($A141="","",IFERROR(VLOOKUP($AC141,'PRODUCT DATA'!$NR$2:$NS$374,2,FALSE()),"UNKNOWN ITEM CODE - please check"))</f>
        <v/>
      </c>
      <c r="C141" s="39">
        <v>1</v>
      </c>
      <c r="D141" s="39"/>
      <c r="E141" s="40"/>
      <c r="F141" s="41"/>
      <c r="G141" s="39"/>
      <c r="H141" s="41"/>
      <c r="I141" s="41"/>
      <c r="J141" s="39"/>
      <c r="K141" s="41"/>
      <c r="L141" s="40"/>
      <c r="M141" s="40"/>
      <c r="N141" s="42" t="str">
        <f>IF($M141="","",IFERROR(INDEX('PRODUCT DATA'!$B$2:$B$58,MATCH(IF(UPPER($M141)="UK","GB",$M141),'PRODUCT DATA'!$B$2:$B$58,0)),IFERROR(INDEX('PRODUCT DATA'!$B$2:$B$58,MATCH(IF(UPPER($M141)="UK","GB",$M141),'PRODUCT DATA'!$A$2:$A$58,0)),"UNKNOWN COUNTRY - please check")))</f>
        <v/>
      </c>
      <c r="O141" s="41"/>
      <c r="P141" s="41"/>
      <c r="Q141" s="41"/>
      <c r="R141" s="41"/>
      <c r="S141" s="41"/>
      <c r="T141" s="41"/>
      <c r="U141" s="41"/>
      <c r="V141" s="43" t="str">
        <f t="shared" si="8"/>
        <v/>
      </c>
      <c r="W141" s="44" t="str">
        <f ca="1">IF(COUNTA($A141,$D141:$M141,$O141:$U141)=0,"",IF($A141="","Item Code; ","")&amp;IF(AND($A141&lt;&gt;"",ISNA(MATCH($AC141,'PRODUCT DATA'!$D$2:$D$394,0))),"Item Code; ","")&amp;IF($M141="","Country; ","")&amp;IF(AND($M141&lt;&gt;"",NOT(OR(NOT(ISNA(MATCH(IF(UPPER($M141)="UK","GB",$M141),'PRODUCT DATA'!$A$2:$A$58,0))),NOT(ISNA(MATCH(IF(UPPER($M141)="UK","GB",$M141),'PRODUCT DATA'!$B$2:$B$58,0)))))),"Country; ","")&amp;IF(AND($A141&lt;&gt;"",$M141&lt;&gt;"",NOT(ISNA(MATCH($AC141,'PRODUCT DATA'!$D$2:$D$394,0))),OR(NOT(ISNA(MATCH(IF(UPPER($M141)="UK","GB",$M141),'PRODUCT DATA'!$A$2:$A$58,0))),NOT(ISNA(MATCH(IF(UPPER($M141)="UK","GB",$M141),'PRODUCT DATA'!$B$2:$B$58,0)))),NOT(IFERROR(COUNTIF(OFFSET('PRODUCT DATA'!$F$2,0,MATCH($AC141,'PRODUCT DATA'!$F$1:$NN$1,0)-1,114,1),$N141)&gt;0,FALSE()))),IF(UPPER(IFERROR(OFFSET('PRODUCT DATA'!$C$2,MATCH($N141,'PRODUCT DATA'!$B$2:$B$58,0)-1,0),""))="NO","Alcohol Restriction; ","Item Code / Country combination; "),"")&amp;IF($C141="","Quantity; ","")&amp;IF(AND($C141&lt;&gt;"",OR(NOT(ISNUMBER($C141)),$C141&lt;1,$C141&gt;999,MOD($C141,1)&lt;&gt;0)),"Quantity; ","")&amp;IF($D141="","Recipient Name; ","")&amp;IF(LEN($D141)&gt;35,"Recipient Name; ","")&amp;IF($E141="","Recipient Phone; ","")&amp;IF(AND($E141&lt;&gt;"",OR(LEN($E141)&lt;6,LEN($E141)&gt;20,NOT(IFERROR(ISNUMBER(1*$E141),FALSE())))),"Recipient Phone; ","")&amp;IF(LEN($F141)&gt;35,"Recipient Company Name; ","")&amp;IF($G141="","Address Line 1; ","")&amp;IF(LEN($G141)&gt;35,"Address Line 1; ","")&amp;IF(LEN($H141)&gt;35,"Address Line 2; ","")&amp;IF(LEN($I141)&gt;35,"Address Line 3; ","")&amp;IF($J141="","Town; ","")&amp;IF(LEN($J141)&gt;35,"Town; ","")&amp;IF(AND($N141="IE",$K141=""),"County; ","")&amp;IF(LEN($AB141)&gt;35,"County; ","")&amp;IF(AND($L141="",AND($N141&lt;&gt;"AE",$N141&lt;&gt;"QA")),"Postcode; ","")&amp;IF(LEN($L141)&gt;35,"Postcode; ","")&amp;IF($AE141&lt;&gt;"","Postcode; ","")&amp;IF(LEN($O141)&gt;40,"Gift Message 1; ","")&amp;IF(LEN($P141)&gt;40,"Gift Message 2; ","")&amp;IF(LEN($Q141)&gt;40,"Gift Message 3; ","")&amp;IF(LEN($R141)&gt;40,"Gift Message 4; ","")&amp;IF(LEN($S141)&gt;40,"Gift Message 5; ","")&amp;IF(LEN($T141)&gt;40,"Gift Message 6; ","")&amp;IF(LEN($U141)&gt;40,"Gift Message 7; ",""))</f>
        <v/>
      </c>
      <c r="X141" s="44" t="str">
        <f ca="1">IF(COUNTA($A141,$D141:$M141,$O141:$U141)=0,"",IF($A141="","Enter the Item Code (hamper) - type it, paste it, or choose it from the dropdown. ","")&amp;IF(AND($A141&lt;&gt;"",ISNA(MATCH($AC141,'PRODUCT DATA'!$D$2:$D$394,0))),"This Item Code is not recognised. Check the code (case does not matter, but spelling and digits must match exactly) or choose it from the dropdown. ","")&amp;IF($M141="","Enter the Country after the Item Code - type or paste the name or the 2-letter code, or choose it from the dropdown. ","")&amp;IF(AND($M141&lt;&gt;"",NOT(OR(NOT(ISNA(MATCH(IF(UPPER($M141)="UK","GB",$M141),'PRODUCT DATA'!$A$2:$A$58,0))),NOT(ISNA(MATCH(IF(UPPER($M141)="UK","GB",$M141),'PRODUCT DATA'!$B$2:$B$58,0)))))),"This Country is not recognised as either a full name or a 2-letter code. Check the spelling (case does not matter) or choose it from the dropdown. ","")&amp;IF(AND($A141&lt;&gt;"",$M141&lt;&gt;"",NOT(ISNA(MATCH($AC141,'PRODUCT DATA'!$D$2:$D$394,0))),OR(NOT(ISNA(MATCH(IF(UPPER($M141)="UK","GB",$M141),'PRODUCT DATA'!$A$2:$A$58,0))),NOT(ISNA(MATCH(IF(UPPER($M141)="UK","GB",$M141),'PRODUCT DATA'!$B$2:$B$58,0)))),NOT(IFERROR(COUNTIF(OFFSET('PRODUCT DATA'!$F$2,0,MATCH($AC141,'PRODUCT DATA'!$F$1:$NN$1,0)-1,114,1),$N141)&gt;0,FALSE()))),IF(UPPER(IFERROR(OFFSET('PRODUCT DATA'!$C$2,MATCH($N141,'PRODUCT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"),"")&amp;IF($C141="","Enter Quantity. ","")&amp;IF(AND($C141&lt;&gt;"",OR(NOT(ISNUMBER($C141)),$C141&lt;1,$C141&gt;999,MOD($C141,1)&lt;&gt;0)),"Quantity must be a whole number from 1 to 999 (use a quantity above 1 only for a genuine bulk order of identical items to ONE address — otherwise use a separate row per recipient). ","")&amp;IF($D141="","Enter Recipient Name. ","")&amp;IF(LEN($D141)&gt;35,"Recipient Name exceeds 35 characters. ","")&amp;IF($E141="","Enter Recipient Phone. ","")&amp;IF(AND($E141&lt;&gt;"",OR(LEN($E141)&lt;6,LEN($E141)&gt;20,NOT(IFERROR(ISNUMBER(1*$E141),FALSE())))),"Phone must be the LOCAL number for the destination country: digits only, no +, spaces, or country code, 6 to 20 digits. ","")&amp;IF(LEN($F141)&gt;35,"Recipient Company Name exceeds 35 characters. ","")&amp;IF($G141="","Enter Address Line 1. ","")&amp;IF(LEN($G141)&gt;35,"Address Line 1 exceeds the 35-character SAP limit. ","")&amp;IF(LEN($H141)&gt;35,"Address Line 2 exceeds the 35-character SAP limit. ","")&amp;IF(LEN($I141)&gt;35,"Address Line 3 exceeds the 35-character SAP limit. ","")&amp;IF($J141="","Enter Town. This must never be left blank, even if there is no conventional town name. ","")&amp;IF(LEN($J141)&gt;35,"Town exceeds 35 characters. ","")&amp;IF(AND($N141="IE",$K141=""),"County is required for deliveries within the Republic of Ireland. ","")&amp;IF(LEN($AB141)&gt;35,"County exceeds 35 characters. ","")&amp;IF(AND($L141="",AND($N141&lt;&gt;"AE",$N141&lt;&gt;"QA")),"Postcode is required for the selected country. If there is genuinely no postcode, enter the first 3 characters of the area (e.g. D15). ","")&amp;IF(LEN($L141)&gt;35,"Postcode exceeds 35 characters. ","")&amp;IF($AE141&lt;&gt;"",$AE141,"")&amp;IF(LEN($O141)&gt;40,"Gift Message Line 1 exceeds 40 characters. ","")&amp;IF(LEN($P141)&gt;40,"Gift Message Line 2 exceeds 40 characters. ","")&amp;IF(LEN($Q141)&gt;40,"Gift Message Line 3 exceeds 40 characters. ","")&amp;IF(LEN($R141)&gt;40,"Gift Message Line 4 exceeds 40 characters. ","")&amp;IF(LEN($S141)&gt;40,"Gift Message Line 5 exceeds 40 characters. ","")&amp;IF(LEN($T141)&gt;40,"Gift Message Line 6 exceeds 40 characters. ","")&amp;IF(LEN($U141)&gt;40,"Gift Message Line 7 exceeds 40 characters. ",""))</f>
        <v/>
      </c>
      <c r="Y141" s="44" t="str">
        <f t="shared" si="9"/>
        <v/>
      </c>
      <c r="Z141" s="44"/>
      <c r="AA141" s="44"/>
      <c r="AB141" s="32" t="str">
        <f t="shared" si="10"/>
        <v/>
      </c>
      <c r="AC141" s="32" t="str">
        <f>IF($A141="","",IFERROR(LEFT(INDEX('PRODUCT DATA'!$NO$2:$NO$25,MATCH($A141,'PRODUCT DATA'!$NP$2:$NP$25,0)),FIND("|",INDEX('PRODUCT DATA'!$NO$2:$NO$25,MATCH($A141,'PRODUCT DATA'!$NP$2:$NP$25,0)))-1),$A141))</f>
        <v/>
      </c>
      <c r="AD141" s="45"/>
      <c r="AE141" s="45" t="str">
        <f t="shared" si="11"/>
        <v/>
      </c>
    </row>
    <row r="142" spans="1:31" ht="15" customHeight="1" x14ac:dyDescent="0.25">
      <c r="A142" s="40"/>
      <c r="B142" s="43" t="str">
        <f>IF($A142="","",IFERROR(VLOOKUP($AC142,'PRODUCT DATA'!$NR$2:$NS$374,2,FALSE()),"UNKNOWN ITEM CODE - please check"))</f>
        <v/>
      </c>
      <c r="C142" s="39">
        <v>1</v>
      </c>
      <c r="D142" s="39"/>
      <c r="E142" s="40"/>
      <c r="F142" s="41"/>
      <c r="G142" s="39"/>
      <c r="H142" s="41"/>
      <c r="I142" s="41"/>
      <c r="J142" s="39"/>
      <c r="K142" s="41"/>
      <c r="L142" s="40"/>
      <c r="M142" s="40"/>
      <c r="N142" s="42" t="str">
        <f>IF($M142="","",IFERROR(INDEX('PRODUCT DATA'!$B$2:$B$58,MATCH(IF(UPPER($M142)="UK","GB",$M142),'PRODUCT DATA'!$B$2:$B$58,0)),IFERROR(INDEX('PRODUCT DATA'!$B$2:$B$58,MATCH(IF(UPPER($M142)="UK","GB",$M142),'PRODUCT DATA'!$A$2:$A$58,0)),"UNKNOWN COUNTRY - please check")))</f>
        <v/>
      </c>
      <c r="O142" s="41"/>
      <c r="P142" s="41"/>
      <c r="Q142" s="41"/>
      <c r="R142" s="41"/>
      <c r="S142" s="41"/>
      <c r="T142" s="41"/>
      <c r="U142" s="41"/>
      <c r="V142" s="43" t="str">
        <f t="shared" si="8"/>
        <v/>
      </c>
      <c r="W142" s="44" t="str">
        <f ca="1">IF(COUNTA($A142,$D142:$M142,$O142:$U142)=0,"",IF($A142="","Item Code; ","")&amp;IF(AND($A142&lt;&gt;"",ISNA(MATCH($AC142,'PRODUCT DATA'!$D$2:$D$394,0))),"Item Code; ","")&amp;IF($M142="","Country; ","")&amp;IF(AND($M142&lt;&gt;"",NOT(OR(NOT(ISNA(MATCH(IF(UPPER($M142)="UK","GB",$M142),'PRODUCT DATA'!$A$2:$A$58,0))),NOT(ISNA(MATCH(IF(UPPER($M142)="UK","GB",$M142),'PRODUCT DATA'!$B$2:$B$58,0)))))),"Country; ","")&amp;IF(AND($A142&lt;&gt;"",$M142&lt;&gt;"",NOT(ISNA(MATCH($AC142,'PRODUCT DATA'!$D$2:$D$394,0))),OR(NOT(ISNA(MATCH(IF(UPPER($M142)="UK","GB",$M142),'PRODUCT DATA'!$A$2:$A$58,0))),NOT(ISNA(MATCH(IF(UPPER($M142)="UK","GB",$M142),'PRODUCT DATA'!$B$2:$B$58,0)))),NOT(IFERROR(COUNTIF(OFFSET('PRODUCT DATA'!$F$2,0,MATCH($AC142,'PRODUCT DATA'!$F$1:$NN$1,0)-1,114,1),$N142)&gt;0,FALSE()))),IF(UPPER(IFERROR(OFFSET('PRODUCT DATA'!$C$2,MATCH($N142,'PRODUCT DATA'!$B$2:$B$58,0)-1,0),""))="NO","Alcohol Restriction; ","Item Code / Country combination; "),"")&amp;IF($C142="","Quantity; ","")&amp;IF(AND($C142&lt;&gt;"",OR(NOT(ISNUMBER($C142)),$C142&lt;1,$C142&gt;999,MOD($C142,1)&lt;&gt;0)),"Quantity; ","")&amp;IF($D142="","Recipient Name; ","")&amp;IF(LEN($D142)&gt;35,"Recipient Name; ","")&amp;IF($E142="","Recipient Phone; ","")&amp;IF(AND($E142&lt;&gt;"",OR(LEN($E142)&lt;6,LEN($E142)&gt;20,NOT(IFERROR(ISNUMBER(1*$E142),FALSE())))),"Recipient Phone; ","")&amp;IF(LEN($F142)&gt;35,"Recipient Company Name; ","")&amp;IF($G142="","Address Line 1; ","")&amp;IF(LEN($G142)&gt;35,"Address Line 1; ","")&amp;IF(LEN($H142)&gt;35,"Address Line 2; ","")&amp;IF(LEN($I142)&gt;35,"Address Line 3; ","")&amp;IF($J142="","Town; ","")&amp;IF(LEN($J142)&gt;35,"Town; ","")&amp;IF(AND($N142="IE",$K142=""),"County; ","")&amp;IF(LEN($AB142)&gt;35,"County; ","")&amp;IF(AND($L142="",AND($N142&lt;&gt;"AE",$N142&lt;&gt;"QA")),"Postcode; ","")&amp;IF(LEN($L142)&gt;35,"Postcode; ","")&amp;IF($AE142&lt;&gt;"","Postcode; ","")&amp;IF(LEN($O142)&gt;40,"Gift Message 1; ","")&amp;IF(LEN($P142)&gt;40,"Gift Message 2; ","")&amp;IF(LEN($Q142)&gt;40,"Gift Message 3; ","")&amp;IF(LEN($R142)&gt;40,"Gift Message 4; ","")&amp;IF(LEN($S142)&gt;40,"Gift Message 5; ","")&amp;IF(LEN($T142)&gt;40,"Gift Message 6; ","")&amp;IF(LEN($U142)&gt;40,"Gift Message 7; ",""))</f>
        <v/>
      </c>
      <c r="X142" s="44" t="str">
        <f ca="1">IF(COUNTA($A142,$D142:$M142,$O142:$U142)=0,"",IF($A142="","Enter the Item Code (hamper) - type it, paste it, or choose it from the dropdown. ","")&amp;IF(AND($A142&lt;&gt;"",ISNA(MATCH($AC142,'PRODUCT DATA'!$D$2:$D$394,0))),"This Item Code is not recognised. Check the code (case does not matter, but spelling and digits must match exactly) or choose it from the dropdown. ","")&amp;IF($M142="","Enter the Country after the Item Code - type or paste the name or the 2-letter code, or choose it from the dropdown. ","")&amp;IF(AND($M142&lt;&gt;"",NOT(OR(NOT(ISNA(MATCH(IF(UPPER($M142)="UK","GB",$M142),'PRODUCT DATA'!$A$2:$A$58,0))),NOT(ISNA(MATCH(IF(UPPER($M142)="UK","GB",$M142),'PRODUCT DATA'!$B$2:$B$58,0)))))),"This Country is not recognised as either a full name or a 2-letter code. Check the spelling (case does not matter) or choose it from the dropdown. ","")&amp;IF(AND($A142&lt;&gt;"",$M142&lt;&gt;"",NOT(ISNA(MATCH($AC142,'PRODUCT DATA'!$D$2:$D$394,0))),OR(NOT(ISNA(MATCH(IF(UPPER($M142)="UK","GB",$M142),'PRODUCT DATA'!$A$2:$A$58,0))),NOT(ISNA(MATCH(IF(UPPER($M142)="UK","GB",$M142),'PRODUCT DATA'!$B$2:$B$58,0)))),NOT(IFERROR(COUNTIF(OFFSET('PRODUCT DATA'!$F$2,0,MATCH($AC142,'PRODUCT DATA'!$F$1:$NN$1,0)-1,114,1),$N142)&gt;0,FALSE()))),IF(UPPER(IFERROR(OFFSET('PRODUCT DATA'!$C$2,MATCH($N142,'PRODUCT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"),"")&amp;IF($C142="","Enter Quantity. ","")&amp;IF(AND($C142&lt;&gt;"",OR(NOT(ISNUMBER($C142)),$C142&lt;1,$C142&gt;999,MOD($C142,1)&lt;&gt;0)),"Quantity must be a whole number from 1 to 999 (use a quantity above 1 only for a genuine bulk order of identical items to ONE address — otherwise use a separate row per recipient). ","")&amp;IF($D142="","Enter Recipient Name. ","")&amp;IF(LEN($D142)&gt;35,"Recipient Name exceeds 35 characters. ","")&amp;IF($E142="","Enter Recipient Phone. ","")&amp;IF(AND($E142&lt;&gt;"",OR(LEN($E142)&lt;6,LEN($E142)&gt;20,NOT(IFERROR(ISNUMBER(1*$E142),FALSE())))),"Phone must be the LOCAL number for the destination country: digits only, no +, spaces, or country code, 6 to 20 digits. ","")&amp;IF(LEN($F142)&gt;35,"Recipient Company Name exceeds 35 characters. ","")&amp;IF($G142="","Enter Address Line 1. ","")&amp;IF(LEN($G142)&gt;35,"Address Line 1 exceeds the 35-character SAP limit. ","")&amp;IF(LEN($H142)&gt;35,"Address Line 2 exceeds the 35-character SAP limit. ","")&amp;IF(LEN($I142)&gt;35,"Address Line 3 exceeds the 35-character SAP limit. ","")&amp;IF($J142="","Enter Town. This must never be left blank, even if there is no conventional town name. ","")&amp;IF(LEN($J142)&gt;35,"Town exceeds 35 characters. ","")&amp;IF(AND($N142="IE",$K142=""),"County is required for deliveries within the Republic of Ireland. ","")&amp;IF(LEN($AB142)&gt;35,"County exceeds 35 characters. ","")&amp;IF(AND($L142="",AND($N142&lt;&gt;"AE",$N142&lt;&gt;"QA")),"Postcode is required for the selected country. If there is genuinely no postcode, enter the first 3 characters of the area (e.g. D15). ","")&amp;IF(LEN($L142)&gt;35,"Postcode exceeds 35 characters. ","")&amp;IF($AE142&lt;&gt;"",$AE142,"")&amp;IF(LEN($O142)&gt;40,"Gift Message Line 1 exceeds 40 characters. ","")&amp;IF(LEN($P142)&gt;40,"Gift Message Line 2 exceeds 40 characters. ","")&amp;IF(LEN($Q142)&gt;40,"Gift Message Line 3 exceeds 40 characters. ","")&amp;IF(LEN($R142)&gt;40,"Gift Message Line 4 exceeds 40 characters. ","")&amp;IF(LEN($S142)&gt;40,"Gift Message Line 5 exceeds 40 characters. ","")&amp;IF(LEN($T142)&gt;40,"Gift Message Line 6 exceeds 40 characters. ","")&amp;IF(LEN($U142)&gt;40,"Gift Message Line 7 exceeds 40 characters. ",""))</f>
        <v/>
      </c>
      <c r="Y142" s="44" t="str">
        <f t="shared" si="9"/>
        <v/>
      </c>
      <c r="Z142" s="44"/>
      <c r="AA142" s="44"/>
      <c r="AB142" s="32" t="str">
        <f t="shared" si="10"/>
        <v/>
      </c>
      <c r="AC142" s="32" t="str">
        <f>IF($A142="","",IFERROR(LEFT(INDEX('PRODUCT DATA'!$NO$2:$NO$25,MATCH($A142,'PRODUCT DATA'!$NP$2:$NP$25,0)),FIND("|",INDEX('PRODUCT DATA'!$NO$2:$NO$25,MATCH($A142,'PRODUCT DATA'!$NP$2:$NP$25,0)))-1),$A142))</f>
        <v/>
      </c>
      <c r="AD142" s="45"/>
      <c r="AE142" s="45" t="str">
        <f t="shared" si="11"/>
        <v/>
      </c>
    </row>
    <row r="143" spans="1:31" ht="15" customHeight="1" x14ac:dyDescent="0.25">
      <c r="A143" s="40"/>
      <c r="B143" s="43" t="str">
        <f>IF($A143="","",IFERROR(VLOOKUP($AC143,'PRODUCT DATA'!$NR$2:$NS$374,2,FALSE()),"UNKNOWN ITEM CODE - please check"))</f>
        <v/>
      </c>
      <c r="C143" s="39">
        <v>1</v>
      </c>
      <c r="D143" s="39"/>
      <c r="E143" s="40"/>
      <c r="F143" s="41"/>
      <c r="G143" s="39"/>
      <c r="H143" s="41"/>
      <c r="I143" s="41"/>
      <c r="J143" s="39"/>
      <c r="K143" s="41"/>
      <c r="L143" s="40"/>
      <c r="M143" s="40"/>
      <c r="N143" s="42" t="str">
        <f>IF($M143="","",IFERROR(INDEX('PRODUCT DATA'!$B$2:$B$58,MATCH(IF(UPPER($M143)="UK","GB",$M143),'PRODUCT DATA'!$B$2:$B$58,0)),IFERROR(INDEX('PRODUCT DATA'!$B$2:$B$58,MATCH(IF(UPPER($M143)="UK","GB",$M143),'PRODUCT DATA'!$A$2:$A$58,0)),"UNKNOWN COUNTRY - please check")))</f>
        <v/>
      </c>
      <c r="O143" s="41"/>
      <c r="P143" s="41"/>
      <c r="Q143" s="41"/>
      <c r="R143" s="41"/>
      <c r="S143" s="41"/>
      <c r="T143" s="41"/>
      <c r="U143" s="41"/>
      <c r="V143" s="43" t="str">
        <f t="shared" si="8"/>
        <v/>
      </c>
      <c r="W143" s="44" t="str">
        <f ca="1">IF(COUNTA($A143,$D143:$M143,$O143:$U143)=0,"",IF($A143="","Item Code; ","")&amp;IF(AND($A143&lt;&gt;"",ISNA(MATCH($AC143,'PRODUCT DATA'!$D$2:$D$394,0))),"Item Code; ","")&amp;IF($M143="","Country; ","")&amp;IF(AND($M143&lt;&gt;"",NOT(OR(NOT(ISNA(MATCH(IF(UPPER($M143)="UK","GB",$M143),'PRODUCT DATA'!$A$2:$A$58,0))),NOT(ISNA(MATCH(IF(UPPER($M143)="UK","GB",$M143),'PRODUCT DATA'!$B$2:$B$58,0)))))),"Country; ","")&amp;IF(AND($A143&lt;&gt;"",$M143&lt;&gt;"",NOT(ISNA(MATCH($AC143,'PRODUCT DATA'!$D$2:$D$394,0))),OR(NOT(ISNA(MATCH(IF(UPPER($M143)="UK","GB",$M143),'PRODUCT DATA'!$A$2:$A$58,0))),NOT(ISNA(MATCH(IF(UPPER($M143)="UK","GB",$M143),'PRODUCT DATA'!$B$2:$B$58,0)))),NOT(IFERROR(COUNTIF(OFFSET('PRODUCT DATA'!$F$2,0,MATCH($AC143,'PRODUCT DATA'!$F$1:$NN$1,0)-1,114,1),$N143)&gt;0,FALSE()))),IF(UPPER(IFERROR(OFFSET('PRODUCT DATA'!$C$2,MATCH($N143,'PRODUCT DATA'!$B$2:$B$58,0)-1,0),""))="NO","Alcohol Restriction; ","Item Code / Country combination; "),"")&amp;IF($C143="","Quantity; ","")&amp;IF(AND($C143&lt;&gt;"",OR(NOT(ISNUMBER($C143)),$C143&lt;1,$C143&gt;999,MOD($C143,1)&lt;&gt;0)),"Quantity; ","")&amp;IF($D143="","Recipient Name; ","")&amp;IF(LEN($D143)&gt;35,"Recipient Name; ","")&amp;IF($E143="","Recipient Phone; ","")&amp;IF(AND($E143&lt;&gt;"",OR(LEN($E143)&lt;6,LEN($E143)&gt;20,NOT(IFERROR(ISNUMBER(1*$E143),FALSE())))),"Recipient Phone; ","")&amp;IF(LEN($F143)&gt;35,"Recipient Company Name; ","")&amp;IF($G143="","Address Line 1; ","")&amp;IF(LEN($G143)&gt;35,"Address Line 1; ","")&amp;IF(LEN($H143)&gt;35,"Address Line 2; ","")&amp;IF(LEN($I143)&gt;35,"Address Line 3; ","")&amp;IF($J143="","Town; ","")&amp;IF(LEN($J143)&gt;35,"Town; ","")&amp;IF(AND($N143="IE",$K143=""),"County; ","")&amp;IF(LEN($AB143)&gt;35,"County; ","")&amp;IF(AND($L143="",AND($N143&lt;&gt;"AE",$N143&lt;&gt;"QA")),"Postcode; ","")&amp;IF(LEN($L143)&gt;35,"Postcode; ","")&amp;IF($AE143&lt;&gt;"","Postcode; ","")&amp;IF(LEN($O143)&gt;40,"Gift Message 1; ","")&amp;IF(LEN($P143)&gt;40,"Gift Message 2; ","")&amp;IF(LEN($Q143)&gt;40,"Gift Message 3; ","")&amp;IF(LEN($R143)&gt;40,"Gift Message 4; ","")&amp;IF(LEN($S143)&gt;40,"Gift Message 5; ","")&amp;IF(LEN($T143)&gt;40,"Gift Message 6; ","")&amp;IF(LEN($U143)&gt;40,"Gift Message 7; ",""))</f>
        <v/>
      </c>
      <c r="X143" s="44" t="str">
        <f ca="1">IF(COUNTA($A143,$D143:$M143,$O143:$U143)=0,"",IF($A143="","Enter the Item Code (hamper) - type it, paste it, or choose it from the dropdown. ","")&amp;IF(AND($A143&lt;&gt;"",ISNA(MATCH($AC143,'PRODUCT DATA'!$D$2:$D$394,0))),"This Item Code is not recognised. Check the code (case does not matter, but spelling and digits must match exactly) or choose it from the dropdown. ","")&amp;IF($M143="","Enter the Country after the Item Code - type or paste the name or the 2-letter code, or choose it from the dropdown. ","")&amp;IF(AND($M143&lt;&gt;"",NOT(OR(NOT(ISNA(MATCH(IF(UPPER($M143)="UK","GB",$M143),'PRODUCT DATA'!$A$2:$A$58,0))),NOT(ISNA(MATCH(IF(UPPER($M143)="UK","GB",$M143),'PRODUCT DATA'!$B$2:$B$58,0)))))),"This Country is not recognised as either a full name or a 2-letter code. Check the spelling (case does not matter) or choose it from the dropdown. ","")&amp;IF(AND($A143&lt;&gt;"",$M143&lt;&gt;"",NOT(ISNA(MATCH($AC143,'PRODUCT DATA'!$D$2:$D$394,0))),OR(NOT(ISNA(MATCH(IF(UPPER($M143)="UK","GB",$M143),'PRODUCT DATA'!$A$2:$A$58,0))),NOT(ISNA(MATCH(IF(UPPER($M143)="UK","GB",$M143),'PRODUCT DATA'!$B$2:$B$58,0)))),NOT(IFERROR(COUNTIF(OFFSET('PRODUCT DATA'!$F$2,0,MATCH($AC143,'PRODUCT DATA'!$F$1:$NN$1,0)-1,114,1),$N143)&gt;0,FALSE()))),IF(UPPER(IFERROR(OFFSET('PRODUCT DATA'!$C$2,MATCH($N143,'PRODUCT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"),"")&amp;IF($C143="","Enter Quantity. ","")&amp;IF(AND($C143&lt;&gt;"",OR(NOT(ISNUMBER($C143)),$C143&lt;1,$C143&gt;999,MOD($C143,1)&lt;&gt;0)),"Quantity must be a whole number from 1 to 999 (use a quantity above 1 only for a genuine bulk order of identical items to ONE address — otherwise use a separate row per recipient). ","")&amp;IF($D143="","Enter Recipient Name. ","")&amp;IF(LEN($D143)&gt;35,"Recipient Name exceeds 35 characters. ","")&amp;IF($E143="","Enter Recipient Phone. ","")&amp;IF(AND($E143&lt;&gt;"",OR(LEN($E143)&lt;6,LEN($E143)&gt;20,NOT(IFERROR(ISNUMBER(1*$E143),FALSE())))),"Phone must be the LOCAL number for the destination country: digits only, no +, spaces, or country code, 6 to 20 digits. ","")&amp;IF(LEN($F143)&gt;35,"Recipient Company Name exceeds 35 characters. ","")&amp;IF($G143="","Enter Address Line 1. ","")&amp;IF(LEN($G143)&gt;35,"Address Line 1 exceeds the 35-character SAP limit. ","")&amp;IF(LEN($H143)&gt;35,"Address Line 2 exceeds the 35-character SAP limit. ","")&amp;IF(LEN($I143)&gt;35,"Address Line 3 exceeds the 35-character SAP limit. ","")&amp;IF($J143="","Enter Town. This must never be left blank, even if there is no conventional town name. ","")&amp;IF(LEN($J143)&gt;35,"Town exceeds 35 characters. ","")&amp;IF(AND($N143="IE",$K143=""),"County is required for deliveries within the Republic of Ireland. ","")&amp;IF(LEN($AB143)&gt;35,"County exceeds 35 characters. ","")&amp;IF(AND($L143="",AND($N143&lt;&gt;"AE",$N143&lt;&gt;"QA")),"Postcode is required for the selected country. If there is genuinely no postcode, enter the first 3 characters of the area (e.g. D15). ","")&amp;IF(LEN($L143)&gt;35,"Postcode exceeds 35 characters. ","")&amp;IF($AE143&lt;&gt;"",$AE143,"")&amp;IF(LEN($O143)&gt;40,"Gift Message Line 1 exceeds 40 characters. ","")&amp;IF(LEN($P143)&gt;40,"Gift Message Line 2 exceeds 40 characters. ","")&amp;IF(LEN($Q143)&gt;40,"Gift Message Line 3 exceeds 40 characters. ","")&amp;IF(LEN($R143)&gt;40,"Gift Message Line 4 exceeds 40 characters. ","")&amp;IF(LEN($S143)&gt;40,"Gift Message Line 5 exceeds 40 characters. ","")&amp;IF(LEN($T143)&gt;40,"Gift Message Line 6 exceeds 40 characters. ","")&amp;IF(LEN($U143)&gt;40,"Gift Message Line 7 exceeds 40 characters. ",""))</f>
        <v/>
      </c>
      <c r="Y143" s="44" t="str">
        <f t="shared" si="9"/>
        <v/>
      </c>
      <c r="Z143" s="44"/>
      <c r="AA143" s="44"/>
      <c r="AB143" s="32" t="str">
        <f t="shared" si="10"/>
        <v/>
      </c>
      <c r="AC143" s="32" t="str">
        <f>IF($A143="","",IFERROR(LEFT(INDEX('PRODUCT DATA'!$NO$2:$NO$25,MATCH($A143,'PRODUCT DATA'!$NP$2:$NP$25,0)),FIND("|",INDEX('PRODUCT DATA'!$NO$2:$NO$25,MATCH($A143,'PRODUCT DATA'!$NP$2:$NP$25,0)))-1),$A143))</f>
        <v/>
      </c>
      <c r="AD143" s="45"/>
      <c r="AE143" s="45" t="str">
        <f t="shared" si="11"/>
        <v/>
      </c>
    </row>
    <row r="144" spans="1:31" ht="15" customHeight="1" x14ac:dyDescent="0.25">
      <c r="A144" s="40"/>
      <c r="B144" s="43" t="str">
        <f>IF($A144="","",IFERROR(VLOOKUP($AC144,'PRODUCT DATA'!$NR$2:$NS$374,2,FALSE()),"UNKNOWN ITEM CODE - please check"))</f>
        <v/>
      </c>
      <c r="C144" s="39">
        <v>1</v>
      </c>
      <c r="D144" s="39"/>
      <c r="E144" s="40"/>
      <c r="F144" s="41"/>
      <c r="G144" s="39"/>
      <c r="H144" s="41"/>
      <c r="I144" s="41"/>
      <c r="J144" s="39"/>
      <c r="K144" s="41"/>
      <c r="L144" s="40"/>
      <c r="M144" s="40"/>
      <c r="N144" s="42" t="str">
        <f>IF($M144="","",IFERROR(INDEX('PRODUCT DATA'!$B$2:$B$58,MATCH(IF(UPPER($M144)="UK","GB",$M144),'PRODUCT DATA'!$B$2:$B$58,0)),IFERROR(INDEX('PRODUCT DATA'!$B$2:$B$58,MATCH(IF(UPPER($M144)="UK","GB",$M144),'PRODUCT DATA'!$A$2:$A$58,0)),"UNKNOWN COUNTRY - please check")))</f>
        <v/>
      </c>
      <c r="O144" s="41"/>
      <c r="P144" s="41"/>
      <c r="Q144" s="41"/>
      <c r="R144" s="41"/>
      <c r="S144" s="41"/>
      <c r="T144" s="41"/>
      <c r="U144" s="41"/>
      <c r="V144" s="43" t="str">
        <f t="shared" si="8"/>
        <v/>
      </c>
      <c r="W144" s="44" t="str">
        <f ca="1">IF(COUNTA($A144,$D144:$M144,$O144:$U144)=0,"",IF($A144="","Item Code; ","")&amp;IF(AND($A144&lt;&gt;"",ISNA(MATCH($AC144,'PRODUCT DATA'!$D$2:$D$394,0))),"Item Code; ","")&amp;IF($M144="","Country; ","")&amp;IF(AND($M144&lt;&gt;"",NOT(OR(NOT(ISNA(MATCH(IF(UPPER($M144)="UK","GB",$M144),'PRODUCT DATA'!$A$2:$A$58,0))),NOT(ISNA(MATCH(IF(UPPER($M144)="UK","GB",$M144),'PRODUCT DATA'!$B$2:$B$58,0)))))),"Country; ","")&amp;IF(AND($A144&lt;&gt;"",$M144&lt;&gt;"",NOT(ISNA(MATCH($AC144,'PRODUCT DATA'!$D$2:$D$394,0))),OR(NOT(ISNA(MATCH(IF(UPPER($M144)="UK","GB",$M144),'PRODUCT DATA'!$A$2:$A$58,0))),NOT(ISNA(MATCH(IF(UPPER($M144)="UK","GB",$M144),'PRODUCT DATA'!$B$2:$B$58,0)))),NOT(IFERROR(COUNTIF(OFFSET('PRODUCT DATA'!$F$2,0,MATCH($AC144,'PRODUCT DATA'!$F$1:$NN$1,0)-1,114,1),$N144)&gt;0,FALSE()))),IF(UPPER(IFERROR(OFFSET('PRODUCT DATA'!$C$2,MATCH($N144,'PRODUCT DATA'!$B$2:$B$58,0)-1,0),""))="NO","Alcohol Restriction; ","Item Code / Country combination; "),"")&amp;IF($C144="","Quantity; ","")&amp;IF(AND($C144&lt;&gt;"",OR(NOT(ISNUMBER($C144)),$C144&lt;1,$C144&gt;999,MOD($C144,1)&lt;&gt;0)),"Quantity; ","")&amp;IF($D144="","Recipient Name; ","")&amp;IF(LEN($D144)&gt;35,"Recipient Name; ","")&amp;IF($E144="","Recipient Phone; ","")&amp;IF(AND($E144&lt;&gt;"",OR(LEN($E144)&lt;6,LEN($E144)&gt;20,NOT(IFERROR(ISNUMBER(1*$E144),FALSE())))),"Recipient Phone; ","")&amp;IF(LEN($F144)&gt;35,"Recipient Company Name; ","")&amp;IF($G144="","Address Line 1; ","")&amp;IF(LEN($G144)&gt;35,"Address Line 1; ","")&amp;IF(LEN($H144)&gt;35,"Address Line 2; ","")&amp;IF(LEN($I144)&gt;35,"Address Line 3; ","")&amp;IF($J144="","Town; ","")&amp;IF(LEN($J144)&gt;35,"Town; ","")&amp;IF(AND($N144="IE",$K144=""),"County; ","")&amp;IF(LEN($AB144)&gt;35,"County; ","")&amp;IF(AND($L144="",AND($N144&lt;&gt;"AE",$N144&lt;&gt;"QA")),"Postcode; ","")&amp;IF(LEN($L144)&gt;35,"Postcode; ","")&amp;IF($AE144&lt;&gt;"","Postcode; ","")&amp;IF(LEN($O144)&gt;40,"Gift Message 1; ","")&amp;IF(LEN($P144)&gt;40,"Gift Message 2; ","")&amp;IF(LEN($Q144)&gt;40,"Gift Message 3; ","")&amp;IF(LEN($R144)&gt;40,"Gift Message 4; ","")&amp;IF(LEN($S144)&gt;40,"Gift Message 5; ","")&amp;IF(LEN($T144)&gt;40,"Gift Message 6; ","")&amp;IF(LEN($U144)&gt;40,"Gift Message 7; ",""))</f>
        <v/>
      </c>
      <c r="X144" s="44" t="str">
        <f ca="1">IF(COUNTA($A144,$D144:$M144,$O144:$U144)=0,"",IF($A144="","Enter the Item Code (hamper) - type it, paste it, or choose it from the dropdown. ","")&amp;IF(AND($A144&lt;&gt;"",ISNA(MATCH($AC144,'PRODUCT DATA'!$D$2:$D$394,0))),"This Item Code is not recognised. Check the code (case does not matter, but spelling and digits must match exactly) or choose it from the dropdown. ","")&amp;IF($M144="","Enter the Country after the Item Code - type or paste the name or the 2-letter code, or choose it from the dropdown. ","")&amp;IF(AND($M144&lt;&gt;"",NOT(OR(NOT(ISNA(MATCH(IF(UPPER($M144)="UK","GB",$M144),'PRODUCT DATA'!$A$2:$A$58,0))),NOT(ISNA(MATCH(IF(UPPER($M144)="UK","GB",$M144),'PRODUCT DATA'!$B$2:$B$58,0)))))),"This Country is not recognised as either a full name or a 2-letter code. Check the spelling (case does not matter) or choose it from the dropdown. ","")&amp;IF(AND($A144&lt;&gt;"",$M144&lt;&gt;"",NOT(ISNA(MATCH($AC144,'PRODUCT DATA'!$D$2:$D$394,0))),OR(NOT(ISNA(MATCH(IF(UPPER($M144)="UK","GB",$M144),'PRODUCT DATA'!$A$2:$A$58,0))),NOT(ISNA(MATCH(IF(UPPER($M144)="UK","GB",$M144),'PRODUCT DATA'!$B$2:$B$58,0)))),NOT(IFERROR(COUNTIF(OFFSET('PRODUCT DATA'!$F$2,0,MATCH($AC144,'PRODUCT DATA'!$F$1:$NN$1,0)-1,114,1),$N144)&gt;0,FALSE()))),IF(UPPER(IFERROR(OFFSET('PRODUCT DATA'!$C$2,MATCH($N144,'PRODUCT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"),"")&amp;IF($C144="","Enter Quantity. ","")&amp;IF(AND($C144&lt;&gt;"",OR(NOT(ISNUMBER($C144)),$C144&lt;1,$C144&gt;999,MOD($C144,1)&lt;&gt;0)),"Quantity must be a whole number from 1 to 999 (use a quantity above 1 only for a genuine bulk order of identical items to ONE address — otherwise use a separate row per recipient). ","")&amp;IF($D144="","Enter Recipient Name. ","")&amp;IF(LEN($D144)&gt;35,"Recipient Name exceeds 35 characters. ","")&amp;IF($E144="","Enter Recipient Phone. ","")&amp;IF(AND($E144&lt;&gt;"",OR(LEN($E144)&lt;6,LEN($E144)&gt;20,NOT(IFERROR(ISNUMBER(1*$E144),FALSE())))),"Phone must be the LOCAL number for the destination country: digits only, no +, spaces, or country code, 6 to 20 digits. ","")&amp;IF(LEN($F144)&gt;35,"Recipient Company Name exceeds 35 characters. ","")&amp;IF($G144="","Enter Address Line 1. ","")&amp;IF(LEN($G144)&gt;35,"Address Line 1 exceeds the 35-character SAP limit. ","")&amp;IF(LEN($H144)&gt;35,"Address Line 2 exceeds the 35-character SAP limit. ","")&amp;IF(LEN($I144)&gt;35,"Address Line 3 exceeds the 35-character SAP limit. ","")&amp;IF($J144="","Enter Town. This must never be left blank, even if there is no conventional town name. ","")&amp;IF(LEN($J144)&gt;35,"Town exceeds 35 characters. ","")&amp;IF(AND($N144="IE",$K144=""),"County is required for deliveries within the Republic of Ireland. ","")&amp;IF(LEN($AB144)&gt;35,"County exceeds 35 characters. ","")&amp;IF(AND($L144="",AND($N144&lt;&gt;"AE",$N144&lt;&gt;"QA")),"Postcode is required for the selected country. If there is genuinely no postcode, enter the first 3 characters of the area (e.g. D15). ","")&amp;IF(LEN($L144)&gt;35,"Postcode exceeds 35 characters. ","")&amp;IF($AE144&lt;&gt;"",$AE144,"")&amp;IF(LEN($O144)&gt;40,"Gift Message Line 1 exceeds 40 characters. ","")&amp;IF(LEN($P144)&gt;40,"Gift Message Line 2 exceeds 40 characters. ","")&amp;IF(LEN($Q144)&gt;40,"Gift Message Line 3 exceeds 40 characters. ","")&amp;IF(LEN($R144)&gt;40,"Gift Message Line 4 exceeds 40 characters. ","")&amp;IF(LEN($S144)&gt;40,"Gift Message Line 5 exceeds 40 characters. ","")&amp;IF(LEN($T144)&gt;40,"Gift Message Line 6 exceeds 40 characters. ","")&amp;IF(LEN($U144)&gt;40,"Gift Message Line 7 exceeds 40 characters. ",""))</f>
        <v/>
      </c>
      <c r="Y144" s="44" t="str">
        <f t="shared" si="9"/>
        <v/>
      </c>
      <c r="Z144" s="44"/>
      <c r="AA144" s="44"/>
      <c r="AB144" s="32" t="str">
        <f t="shared" si="10"/>
        <v/>
      </c>
      <c r="AC144" s="32" t="str">
        <f>IF($A144="","",IFERROR(LEFT(INDEX('PRODUCT DATA'!$NO$2:$NO$25,MATCH($A144,'PRODUCT DATA'!$NP$2:$NP$25,0)),FIND("|",INDEX('PRODUCT DATA'!$NO$2:$NO$25,MATCH($A144,'PRODUCT DATA'!$NP$2:$NP$25,0)))-1),$A144))</f>
        <v/>
      </c>
      <c r="AD144" s="45"/>
      <c r="AE144" s="45" t="str">
        <f t="shared" si="11"/>
        <v/>
      </c>
    </row>
    <row r="145" spans="1:31" ht="15" customHeight="1" x14ac:dyDescent="0.25">
      <c r="A145" s="40"/>
      <c r="B145" s="43" t="str">
        <f>IF($A145="","",IFERROR(VLOOKUP($AC145,'PRODUCT DATA'!$NR$2:$NS$374,2,FALSE()),"UNKNOWN ITEM CODE - please check"))</f>
        <v/>
      </c>
      <c r="C145" s="39">
        <v>1</v>
      </c>
      <c r="D145" s="39"/>
      <c r="E145" s="40"/>
      <c r="F145" s="41"/>
      <c r="G145" s="39"/>
      <c r="H145" s="41"/>
      <c r="I145" s="41"/>
      <c r="J145" s="39"/>
      <c r="K145" s="41"/>
      <c r="L145" s="40"/>
      <c r="M145" s="40"/>
      <c r="N145" s="42" t="str">
        <f>IF($M145="","",IFERROR(INDEX('PRODUCT DATA'!$B$2:$B$58,MATCH(IF(UPPER($M145)="UK","GB",$M145),'PRODUCT DATA'!$B$2:$B$58,0)),IFERROR(INDEX('PRODUCT DATA'!$B$2:$B$58,MATCH(IF(UPPER($M145)="UK","GB",$M145),'PRODUCT DATA'!$A$2:$A$58,0)),"UNKNOWN COUNTRY - please check")))</f>
        <v/>
      </c>
      <c r="O145" s="41"/>
      <c r="P145" s="41"/>
      <c r="Q145" s="41"/>
      <c r="R145" s="41"/>
      <c r="S145" s="41"/>
      <c r="T145" s="41"/>
      <c r="U145" s="41"/>
      <c r="V145" s="43" t="str">
        <f t="shared" si="8"/>
        <v/>
      </c>
      <c r="W145" s="44" t="str">
        <f ca="1">IF(COUNTA($A145,$D145:$M145,$O145:$U145)=0,"",IF($A145="","Item Code; ","")&amp;IF(AND($A145&lt;&gt;"",ISNA(MATCH($AC145,'PRODUCT DATA'!$D$2:$D$394,0))),"Item Code; ","")&amp;IF($M145="","Country; ","")&amp;IF(AND($M145&lt;&gt;"",NOT(OR(NOT(ISNA(MATCH(IF(UPPER($M145)="UK","GB",$M145),'PRODUCT DATA'!$A$2:$A$58,0))),NOT(ISNA(MATCH(IF(UPPER($M145)="UK","GB",$M145),'PRODUCT DATA'!$B$2:$B$58,0)))))),"Country; ","")&amp;IF(AND($A145&lt;&gt;"",$M145&lt;&gt;"",NOT(ISNA(MATCH($AC145,'PRODUCT DATA'!$D$2:$D$394,0))),OR(NOT(ISNA(MATCH(IF(UPPER($M145)="UK","GB",$M145),'PRODUCT DATA'!$A$2:$A$58,0))),NOT(ISNA(MATCH(IF(UPPER($M145)="UK","GB",$M145),'PRODUCT DATA'!$B$2:$B$58,0)))),NOT(IFERROR(COUNTIF(OFFSET('PRODUCT DATA'!$F$2,0,MATCH($AC145,'PRODUCT DATA'!$F$1:$NN$1,0)-1,114,1),$N145)&gt;0,FALSE()))),IF(UPPER(IFERROR(OFFSET('PRODUCT DATA'!$C$2,MATCH($N145,'PRODUCT DATA'!$B$2:$B$58,0)-1,0),""))="NO","Alcohol Restriction; ","Item Code / Country combination; "),"")&amp;IF($C145="","Quantity; ","")&amp;IF(AND($C145&lt;&gt;"",OR(NOT(ISNUMBER($C145)),$C145&lt;1,$C145&gt;999,MOD($C145,1)&lt;&gt;0)),"Quantity; ","")&amp;IF($D145="","Recipient Name; ","")&amp;IF(LEN($D145)&gt;35,"Recipient Name; ","")&amp;IF($E145="","Recipient Phone; ","")&amp;IF(AND($E145&lt;&gt;"",OR(LEN($E145)&lt;6,LEN($E145)&gt;20,NOT(IFERROR(ISNUMBER(1*$E145),FALSE())))),"Recipient Phone; ","")&amp;IF(LEN($F145)&gt;35,"Recipient Company Name; ","")&amp;IF($G145="","Address Line 1; ","")&amp;IF(LEN($G145)&gt;35,"Address Line 1; ","")&amp;IF(LEN($H145)&gt;35,"Address Line 2; ","")&amp;IF(LEN($I145)&gt;35,"Address Line 3; ","")&amp;IF($J145="","Town; ","")&amp;IF(LEN($J145)&gt;35,"Town; ","")&amp;IF(AND($N145="IE",$K145=""),"County; ","")&amp;IF(LEN($AB145)&gt;35,"County; ","")&amp;IF(AND($L145="",AND($N145&lt;&gt;"AE",$N145&lt;&gt;"QA")),"Postcode; ","")&amp;IF(LEN($L145)&gt;35,"Postcode; ","")&amp;IF($AE145&lt;&gt;"","Postcode; ","")&amp;IF(LEN($O145)&gt;40,"Gift Message 1; ","")&amp;IF(LEN($P145)&gt;40,"Gift Message 2; ","")&amp;IF(LEN($Q145)&gt;40,"Gift Message 3; ","")&amp;IF(LEN($R145)&gt;40,"Gift Message 4; ","")&amp;IF(LEN($S145)&gt;40,"Gift Message 5; ","")&amp;IF(LEN($T145)&gt;40,"Gift Message 6; ","")&amp;IF(LEN($U145)&gt;40,"Gift Message 7; ",""))</f>
        <v/>
      </c>
      <c r="X145" s="44" t="str">
        <f ca="1">IF(COUNTA($A145,$D145:$M145,$O145:$U145)=0,"",IF($A145="","Enter the Item Code (hamper) - type it, paste it, or choose it from the dropdown. ","")&amp;IF(AND($A145&lt;&gt;"",ISNA(MATCH($AC145,'PRODUCT DATA'!$D$2:$D$394,0))),"This Item Code is not recognised. Check the code (case does not matter, but spelling and digits must match exactly) or choose it from the dropdown. ","")&amp;IF($M145="","Enter the Country after the Item Code - type or paste the name or the 2-letter code, or choose it from the dropdown. ","")&amp;IF(AND($M145&lt;&gt;"",NOT(OR(NOT(ISNA(MATCH(IF(UPPER($M145)="UK","GB",$M145),'PRODUCT DATA'!$A$2:$A$58,0))),NOT(ISNA(MATCH(IF(UPPER($M145)="UK","GB",$M145),'PRODUCT DATA'!$B$2:$B$58,0)))))),"This Country is not recognised as either a full name or a 2-letter code. Check the spelling (case does not matter) or choose it from the dropdown. ","")&amp;IF(AND($A145&lt;&gt;"",$M145&lt;&gt;"",NOT(ISNA(MATCH($AC145,'PRODUCT DATA'!$D$2:$D$394,0))),OR(NOT(ISNA(MATCH(IF(UPPER($M145)="UK","GB",$M145),'PRODUCT DATA'!$A$2:$A$58,0))),NOT(ISNA(MATCH(IF(UPPER($M145)="UK","GB",$M145),'PRODUCT DATA'!$B$2:$B$58,0)))),NOT(IFERROR(COUNTIF(OFFSET('PRODUCT DATA'!$F$2,0,MATCH($AC145,'PRODUCT DATA'!$F$1:$NN$1,0)-1,114,1),$N145)&gt;0,FALSE()))),IF(UPPER(IFERROR(OFFSET('PRODUCT DATA'!$C$2,MATCH($N145,'PRODUCT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"),"")&amp;IF($C145="","Enter Quantity. ","")&amp;IF(AND($C145&lt;&gt;"",OR(NOT(ISNUMBER($C145)),$C145&lt;1,$C145&gt;999,MOD($C145,1)&lt;&gt;0)),"Quantity must be a whole number from 1 to 999 (use a quantity above 1 only for a genuine bulk order of identical items to ONE address — otherwise use a separate row per recipient). ","")&amp;IF($D145="","Enter Recipient Name. ","")&amp;IF(LEN($D145)&gt;35,"Recipient Name exceeds 35 characters. ","")&amp;IF($E145="","Enter Recipient Phone. ","")&amp;IF(AND($E145&lt;&gt;"",OR(LEN($E145)&lt;6,LEN($E145)&gt;20,NOT(IFERROR(ISNUMBER(1*$E145),FALSE())))),"Phone must be the LOCAL number for the destination country: digits only, no +, spaces, or country code, 6 to 20 digits. ","")&amp;IF(LEN($F145)&gt;35,"Recipient Company Name exceeds 35 characters. ","")&amp;IF($G145="","Enter Address Line 1. ","")&amp;IF(LEN($G145)&gt;35,"Address Line 1 exceeds the 35-character SAP limit. ","")&amp;IF(LEN($H145)&gt;35,"Address Line 2 exceeds the 35-character SAP limit. ","")&amp;IF(LEN($I145)&gt;35,"Address Line 3 exceeds the 35-character SAP limit. ","")&amp;IF($J145="","Enter Town. This must never be left blank, even if there is no conventional town name. ","")&amp;IF(LEN($J145)&gt;35,"Town exceeds 35 characters. ","")&amp;IF(AND($N145="IE",$K145=""),"County is required for deliveries within the Republic of Ireland. ","")&amp;IF(LEN($AB145)&gt;35,"County exceeds 35 characters. ","")&amp;IF(AND($L145="",AND($N145&lt;&gt;"AE",$N145&lt;&gt;"QA")),"Postcode is required for the selected country. If there is genuinely no postcode, enter the first 3 characters of the area (e.g. D15). ","")&amp;IF(LEN($L145)&gt;35,"Postcode exceeds 35 characters. ","")&amp;IF($AE145&lt;&gt;"",$AE145,"")&amp;IF(LEN($O145)&gt;40,"Gift Message Line 1 exceeds 40 characters. ","")&amp;IF(LEN($P145)&gt;40,"Gift Message Line 2 exceeds 40 characters. ","")&amp;IF(LEN($Q145)&gt;40,"Gift Message Line 3 exceeds 40 characters. ","")&amp;IF(LEN($R145)&gt;40,"Gift Message Line 4 exceeds 40 characters. ","")&amp;IF(LEN($S145)&gt;40,"Gift Message Line 5 exceeds 40 characters. ","")&amp;IF(LEN($T145)&gt;40,"Gift Message Line 6 exceeds 40 characters. ","")&amp;IF(LEN($U145)&gt;40,"Gift Message Line 7 exceeds 40 characters. ",""))</f>
        <v/>
      </c>
      <c r="Y145" s="44" t="str">
        <f t="shared" si="9"/>
        <v/>
      </c>
      <c r="Z145" s="44"/>
      <c r="AA145" s="44"/>
      <c r="AB145" s="32" t="str">
        <f t="shared" si="10"/>
        <v/>
      </c>
      <c r="AC145" s="32" t="str">
        <f>IF($A145="","",IFERROR(LEFT(INDEX('PRODUCT DATA'!$NO$2:$NO$25,MATCH($A145,'PRODUCT DATA'!$NP$2:$NP$25,0)),FIND("|",INDEX('PRODUCT DATA'!$NO$2:$NO$25,MATCH($A145,'PRODUCT DATA'!$NP$2:$NP$25,0)))-1),$A145))</f>
        <v/>
      </c>
      <c r="AD145" s="45"/>
      <c r="AE145" s="45" t="str">
        <f t="shared" si="11"/>
        <v/>
      </c>
    </row>
    <row r="146" spans="1:31" ht="15" customHeight="1" x14ac:dyDescent="0.25">
      <c r="A146" s="40"/>
      <c r="B146" s="43" t="str">
        <f>IF($A146="","",IFERROR(VLOOKUP($AC146,'PRODUCT DATA'!$NR$2:$NS$374,2,FALSE()),"UNKNOWN ITEM CODE - please check"))</f>
        <v/>
      </c>
      <c r="C146" s="39">
        <v>1</v>
      </c>
      <c r="D146" s="39"/>
      <c r="E146" s="40"/>
      <c r="F146" s="41"/>
      <c r="G146" s="39"/>
      <c r="H146" s="41"/>
      <c r="I146" s="41"/>
      <c r="J146" s="39"/>
      <c r="K146" s="41"/>
      <c r="L146" s="40"/>
      <c r="M146" s="40"/>
      <c r="N146" s="42" t="str">
        <f>IF($M146="","",IFERROR(INDEX('PRODUCT DATA'!$B$2:$B$58,MATCH(IF(UPPER($M146)="UK","GB",$M146),'PRODUCT DATA'!$B$2:$B$58,0)),IFERROR(INDEX('PRODUCT DATA'!$B$2:$B$58,MATCH(IF(UPPER($M146)="UK","GB",$M146),'PRODUCT DATA'!$A$2:$A$58,0)),"UNKNOWN COUNTRY - please check")))</f>
        <v/>
      </c>
      <c r="O146" s="41"/>
      <c r="P146" s="41"/>
      <c r="Q146" s="41"/>
      <c r="R146" s="41"/>
      <c r="S146" s="41"/>
      <c r="T146" s="41"/>
      <c r="U146" s="41"/>
      <c r="V146" s="43" t="str">
        <f t="shared" si="8"/>
        <v/>
      </c>
      <c r="W146" s="44" t="str">
        <f ca="1">IF(COUNTA($A146,$D146:$M146,$O146:$U146)=0,"",IF($A146="","Item Code; ","")&amp;IF(AND($A146&lt;&gt;"",ISNA(MATCH($AC146,'PRODUCT DATA'!$D$2:$D$394,0))),"Item Code; ","")&amp;IF($M146="","Country; ","")&amp;IF(AND($M146&lt;&gt;"",NOT(OR(NOT(ISNA(MATCH(IF(UPPER($M146)="UK","GB",$M146),'PRODUCT DATA'!$A$2:$A$58,0))),NOT(ISNA(MATCH(IF(UPPER($M146)="UK","GB",$M146),'PRODUCT DATA'!$B$2:$B$58,0)))))),"Country; ","")&amp;IF(AND($A146&lt;&gt;"",$M146&lt;&gt;"",NOT(ISNA(MATCH($AC146,'PRODUCT DATA'!$D$2:$D$394,0))),OR(NOT(ISNA(MATCH(IF(UPPER($M146)="UK","GB",$M146),'PRODUCT DATA'!$A$2:$A$58,0))),NOT(ISNA(MATCH(IF(UPPER($M146)="UK","GB",$M146),'PRODUCT DATA'!$B$2:$B$58,0)))),NOT(IFERROR(COUNTIF(OFFSET('PRODUCT DATA'!$F$2,0,MATCH($AC146,'PRODUCT DATA'!$F$1:$NN$1,0)-1,114,1),$N146)&gt;0,FALSE()))),IF(UPPER(IFERROR(OFFSET('PRODUCT DATA'!$C$2,MATCH($N146,'PRODUCT DATA'!$B$2:$B$58,0)-1,0),""))="NO","Alcohol Restriction; ","Item Code / Country combination; "),"")&amp;IF($C146="","Quantity; ","")&amp;IF(AND($C146&lt;&gt;"",OR(NOT(ISNUMBER($C146)),$C146&lt;1,$C146&gt;999,MOD($C146,1)&lt;&gt;0)),"Quantity; ","")&amp;IF($D146="","Recipient Name; ","")&amp;IF(LEN($D146)&gt;35,"Recipient Name; ","")&amp;IF($E146="","Recipient Phone; ","")&amp;IF(AND($E146&lt;&gt;"",OR(LEN($E146)&lt;6,LEN($E146)&gt;20,NOT(IFERROR(ISNUMBER(1*$E146),FALSE())))),"Recipient Phone; ","")&amp;IF(LEN($F146)&gt;35,"Recipient Company Name; ","")&amp;IF($G146="","Address Line 1; ","")&amp;IF(LEN($G146)&gt;35,"Address Line 1; ","")&amp;IF(LEN($H146)&gt;35,"Address Line 2; ","")&amp;IF(LEN($I146)&gt;35,"Address Line 3; ","")&amp;IF($J146="","Town; ","")&amp;IF(LEN($J146)&gt;35,"Town; ","")&amp;IF(AND($N146="IE",$K146=""),"County; ","")&amp;IF(LEN($AB146)&gt;35,"County; ","")&amp;IF(AND($L146="",AND($N146&lt;&gt;"AE",$N146&lt;&gt;"QA")),"Postcode; ","")&amp;IF(LEN($L146)&gt;35,"Postcode; ","")&amp;IF($AE146&lt;&gt;"","Postcode; ","")&amp;IF(LEN($O146)&gt;40,"Gift Message 1; ","")&amp;IF(LEN($P146)&gt;40,"Gift Message 2; ","")&amp;IF(LEN($Q146)&gt;40,"Gift Message 3; ","")&amp;IF(LEN($R146)&gt;40,"Gift Message 4; ","")&amp;IF(LEN($S146)&gt;40,"Gift Message 5; ","")&amp;IF(LEN($T146)&gt;40,"Gift Message 6; ","")&amp;IF(LEN($U146)&gt;40,"Gift Message 7; ",""))</f>
        <v/>
      </c>
      <c r="X146" s="44" t="str">
        <f ca="1">IF(COUNTA($A146,$D146:$M146,$O146:$U146)=0,"",IF($A146="","Enter the Item Code (hamper) - type it, paste it, or choose it from the dropdown. ","")&amp;IF(AND($A146&lt;&gt;"",ISNA(MATCH($AC146,'PRODUCT DATA'!$D$2:$D$394,0))),"This Item Code is not recognised. Check the code (case does not matter, but spelling and digits must match exactly) or choose it from the dropdown. ","")&amp;IF($M146="","Enter the Country after the Item Code - type or paste the name or the 2-letter code, or choose it from the dropdown. ","")&amp;IF(AND($M146&lt;&gt;"",NOT(OR(NOT(ISNA(MATCH(IF(UPPER($M146)="UK","GB",$M146),'PRODUCT DATA'!$A$2:$A$58,0))),NOT(ISNA(MATCH(IF(UPPER($M146)="UK","GB",$M146),'PRODUCT DATA'!$B$2:$B$58,0)))))),"This Country is not recognised as either a full name or a 2-letter code. Check the spelling (case does not matter) or choose it from the dropdown. ","")&amp;IF(AND($A146&lt;&gt;"",$M146&lt;&gt;"",NOT(ISNA(MATCH($AC146,'PRODUCT DATA'!$D$2:$D$394,0))),OR(NOT(ISNA(MATCH(IF(UPPER($M146)="UK","GB",$M146),'PRODUCT DATA'!$A$2:$A$58,0))),NOT(ISNA(MATCH(IF(UPPER($M146)="UK","GB",$M146),'PRODUCT DATA'!$B$2:$B$58,0)))),NOT(IFERROR(COUNTIF(OFFSET('PRODUCT DATA'!$F$2,0,MATCH($AC146,'PRODUCT DATA'!$F$1:$NN$1,0)-1,114,1),$N146)&gt;0,FALSE()))),IF(UPPER(IFERROR(OFFSET('PRODUCT DATA'!$C$2,MATCH($N146,'PRODUCT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"),"")&amp;IF($C146="","Enter Quantity. ","")&amp;IF(AND($C146&lt;&gt;"",OR(NOT(ISNUMBER($C146)),$C146&lt;1,$C146&gt;999,MOD($C146,1)&lt;&gt;0)),"Quantity must be a whole number from 1 to 999 (use a quantity above 1 only for a genuine bulk order of identical items to ONE address — otherwise use a separate row per recipient). ","")&amp;IF($D146="","Enter Recipient Name. ","")&amp;IF(LEN($D146)&gt;35,"Recipient Name exceeds 35 characters. ","")&amp;IF($E146="","Enter Recipient Phone. ","")&amp;IF(AND($E146&lt;&gt;"",OR(LEN($E146)&lt;6,LEN($E146)&gt;20,NOT(IFERROR(ISNUMBER(1*$E146),FALSE())))),"Phone must be the LOCAL number for the destination country: digits only, no +, spaces, or country code, 6 to 20 digits. ","")&amp;IF(LEN($F146)&gt;35,"Recipient Company Name exceeds 35 characters. ","")&amp;IF($G146="","Enter Address Line 1. ","")&amp;IF(LEN($G146)&gt;35,"Address Line 1 exceeds the 35-character SAP limit. ","")&amp;IF(LEN($H146)&gt;35,"Address Line 2 exceeds the 35-character SAP limit. ","")&amp;IF(LEN($I146)&gt;35,"Address Line 3 exceeds the 35-character SAP limit. ","")&amp;IF($J146="","Enter Town. This must never be left blank, even if there is no conventional town name. ","")&amp;IF(LEN($J146)&gt;35,"Town exceeds 35 characters. ","")&amp;IF(AND($N146="IE",$K146=""),"County is required for deliveries within the Republic of Ireland. ","")&amp;IF(LEN($AB146)&gt;35,"County exceeds 35 characters. ","")&amp;IF(AND($L146="",AND($N146&lt;&gt;"AE",$N146&lt;&gt;"QA")),"Postcode is required for the selected country. If there is genuinely no postcode, enter the first 3 characters of the area (e.g. D15). ","")&amp;IF(LEN($L146)&gt;35,"Postcode exceeds 35 characters. ","")&amp;IF($AE146&lt;&gt;"",$AE146,"")&amp;IF(LEN($O146)&gt;40,"Gift Message Line 1 exceeds 40 characters. ","")&amp;IF(LEN($P146)&gt;40,"Gift Message Line 2 exceeds 40 characters. ","")&amp;IF(LEN($Q146)&gt;40,"Gift Message Line 3 exceeds 40 characters. ","")&amp;IF(LEN($R146)&gt;40,"Gift Message Line 4 exceeds 40 characters. ","")&amp;IF(LEN($S146)&gt;40,"Gift Message Line 5 exceeds 40 characters. ","")&amp;IF(LEN($T146)&gt;40,"Gift Message Line 6 exceeds 40 characters. ","")&amp;IF(LEN($U146)&gt;40,"Gift Message Line 7 exceeds 40 characters. ",""))</f>
        <v/>
      </c>
      <c r="Y146" s="44" t="str">
        <f t="shared" si="9"/>
        <v/>
      </c>
      <c r="Z146" s="44"/>
      <c r="AA146" s="44"/>
      <c r="AB146" s="32" t="str">
        <f t="shared" si="10"/>
        <v/>
      </c>
      <c r="AC146" s="32" t="str">
        <f>IF($A146="","",IFERROR(LEFT(INDEX('PRODUCT DATA'!$NO$2:$NO$25,MATCH($A146,'PRODUCT DATA'!$NP$2:$NP$25,0)),FIND("|",INDEX('PRODUCT DATA'!$NO$2:$NO$25,MATCH($A146,'PRODUCT DATA'!$NP$2:$NP$25,0)))-1),$A146))</f>
        <v/>
      </c>
      <c r="AD146" s="45"/>
      <c r="AE146" s="45" t="str">
        <f t="shared" si="11"/>
        <v/>
      </c>
    </row>
    <row r="147" spans="1:31" ht="15" customHeight="1" x14ac:dyDescent="0.25">
      <c r="A147" s="40"/>
      <c r="B147" s="43" t="str">
        <f>IF($A147="","",IFERROR(VLOOKUP($AC147,'PRODUCT DATA'!$NR$2:$NS$374,2,FALSE()),"UNKNOWN ITEM CODE - please check"))</f>
        <v/>
      </c>
      <c r="C147" s="39">
        <v>1</v>
      </c>
      <c r="D147" s="39"/>
      <c r="E147" s="40"/>
      <c r="F147" s="41"/>
      <c r="G147" s="39"/>
      <c r="H147" s="41"/>
      <c r="I147" s="41"/>
      <c r="J147" s="39"/>
      <c r="K147" s="41"/>
      <c r="L147" s="40"/>
      <c r="M147" s="40"/>
      <c r="N147" s="42" t="str">
        <f>IF($M147="","",IFERROR(INDEX('PRODUCT DATA'!$B$2:$B$58,MATCH(IF(UPPER($M147)="UK","GB",$M147),'PRODUCT DATA'!$B$2:$B$58,0)),IFERROR(INDEX('PRODUCT DATA'!$B$2:$B$58,MATCH(IF(UPPER($M147)="UK","GB",$M147),'PRODUCT DATA'!$A$2:$A$58,0)),"UNKNOWN COUNTRY - please check")))</f>
        <v/>
      </c>
      <c r="O147" s="41"/>
      <c r="P147" s="41"/>
      <c r="Q147" s="41"/>
      <c r="R147" s="41"/>
      <c r="S147" s="41"/>
      <c r="T147" s="41"/>
      <c r="U147" s="41"/>
      <c r="V147" s="43" t="str">
        <f t="shared" si="8"/>
        <v/>
      </c>
      <c r="W147" s="44" t="str">
        <f ca="1">IF(COUNTA($A147,$D147:$M147,$O147:$U147)=0,"",IF($A147="","Item Code; ","")&amp;IF(AND($A147&lt;&gt;"",ISNA(MATCH($AC147,'PRODUCT DATA'!$D$2:$D$394,0))),"Item Code; ","")&amp;IF($M147="","Country; ","")&amp;IF(AND($M147&lt;&gt;"",NOT(OR(NOT(ISNA(MATCH(IF(UPPER($M147)="UK","GB",$M147),'PRODUCT DATA'!$A$2:$A$58,0))),NOT(ISNA(MATCH(IF(UPPER($M147)="UK","GB",$M147),'PRODUCT DATA'!$B$2:$B$58,0)))))),"Country; ","")&amp;IF(AND($A147&lt;&gt;"",$M147&lt;&gt;"",NOT(ISNA(MATCH($AC147,'PRODUCT DATA'!$D$2:$D$394,0))),OR(NOT(ISNA(MATCH(IF(UPPER($M147)="UK","GB",$M147),'PRODUCT DATA'!$A$2:$A$58,0))),NOT(ISNA(MATCH(IF(UPPER($M147)="UK","GB",$M147),'PRODUCT DATA'!$B$2:$B$58,0)))),NOT(IFERROR(COUNTIF(OFFSET('PRODUCT DATA'!$F$2,0,MATCH($AC147,'PRODUCT DATA'!$F$1:$NN$1,0)-1,114,1),$N147)&gt;0,FALSE()))),IF(UPPER(IFERROR(OFFSET('PRODUCT DATA'!$C$2,MATCH($N147,'PRODUCT DATA'!$B$2:$B$58,0)-1,0),""))="NO","Alcohol Restriction; ","Item Code / Country combination; "),"")&amp;IF($C147="","Quantity; ","")&amp;IF(AND($C147&lt;&gt;"",OR(NOT(ISNUMBER($C147)),$C147&lt;1,$C147&gt;999,MOD($C147,1)&lt;&gt;0)),"Quantity; ","")&amp;IF($D147="","Recipient Name; ","")&amp;IF(LEN($D147)&gt;35,"Recipient Name; ","")&amp;IF($E147="","Recipient Phone; ","")&amp;IF(AND($E147&lt;&gt;"",OR(LEN($E147)&lt;6,LEN($E147)&gt;20,NOT(IFERROR(ISNUMBER(1*$E147),FALSE())))),"Recipient Phone; ","")&amp;IF(LEN($F147)&gt;35,"Recipient Company Name; ","")&amp;IF($G147="","Address Line 1; ","")&amp;IF(LEN($G147)&gt;35,"Address Line 1; ","")&amp;IF(LEN($H147)&gt;35,"Address Line 2; ","")&amp;IF(LEN($I147)&gt;35,"Address Line 3; ","")&amp;IF($J147="","Town; ","")&amp;IF(LEN($J147)&gt;35,"Town; ","")&amp;IF(AND($N147="IE",$K147=""),"County; ","")&amp;IF(LEN($AB147)&gt;35,"County; ","")&amp;IF(AND($L147="",AND($N147&lt;&gt;"AE",$N147&lt;&gt;"QA")),"Postcode; ","")&amp;IF(LEN($L147)&gt;35,"Postcode; ","")&amp;IF($AE147&lt;&gt;"","Postcode; ","")&amp;IF(LEN($O147)&gt;40,"Gift Message 1; ","")&amp;IF(LEN($P147)&gt;40,"Gift Message 2; ","")&amp;IF(LEN($Q147)&gt;40,"Gift Message 3; ","")&amp;IF(LEN($R147)&gt;40,"Gift Message 4; ","")&amp;IF(LEN($S147)&gt;40,"Gift Message 5; ","")&amp;IF(LEN($T147)&gt;40,"Gift Message 6; ","")&amp;IF(LEN($U147)&gt;40,"Gift Message 7; ",""))</f>
        <v/>
      </c>
      <c r="X147" s="44" t="str">
        <f ca="1">IF(COUNTA($A147,$D147:$M147,$O147:$U147)=0,"",IF($A147="","Enter the Item Code (hamper) - type it, paste it, or choose it from the dropdown. ","")&amp;IF(AND($A147&lt;&gt;"",ISNA(MATCH($AC147,'PRODUCT DATA'!$D$2:$D$394,0))),"This Item Code is not recognised. Check the code (case does not matter, but spelling and digits must match exactly) or choose it from the dropdown. ","")&amp;IF($M147="","Enter the Country after the Item Code - type or paste the name or the 2-letter code, or choose it from the dropdown. ","")&amp;IF(AND($M147&lt;&gt;"",NOT(OR(NOT(ISNA(MATCH(IF(UPPER($M147)="UK","GB",$M147),'PRODUCT DATA'!$A$2:$A$58,0))),NOT(ISNA(MATCH(IF(UPPER($M147)="UK","GB",$M147),'PRODUCT DATA'!$B$2:$B$58,0)))))),"This Country is not recognised as either a full name or a 2-letter code. Check the spelling (case does not matter) or choose it from the dropdown. ","")&amp;IF(AND($A147&lt;&gt;"",$M147&lt;&gt;"",NOT(ISNA(MATCH($AC147,'PRODUCT DATA'!$D$2:$D$394,0))),OR(NOT(ISNA(MATCH(IF(UPPER($M147)="UK","GB",$M147),'PRODUCT DATA'!$A$2:$A$58,0))),NOT(ISNA(MATCH(IF(UPPER($M147)="UK","GB",$M147),'PRODUCT DATA'!$B$2:$B$58,0)))),NOT(IFERROR(COUNTIF(OFFSET('PRODUCT DATA'!$F$2,0,MATCH($AC147,'PRODUCT DATA'!$F$1:$NN$1,0)-1,114,1),$N147)&gt;0,FALSE()))),IF(UPPER(IFERROR(OFFSET('PRODUCT DATA'!$C$2,MATCH($N147,'PRODUCT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"),"")&amp;IF($C147="","Enter Quantity. ","")&amp;IF(AND($C147&lt;&gt;"",OR(NOT(ISNUMBER($C147)),$C147&lt;1,$C147&gt;999,MOD($C147,1)&lt;&gt;0)),"Quantity must be a whole number from 1 to 999 (use a quantity above 1 only for a genuine bulk order of identical items to ONE address — otherwise use a separate row per recipient). ","")&amp;IF($D147="","Enter Recipient Name. ","")&amp;IF(LEN($D147)&gt;35,"Recipient Name exceeds 35 characters. ","")&amp;IF($E147="","Enter Recipient Phone. ","")&amp;IF(AND($E147&lt;&gt;"",OR(LEN($E147)&lt;6,LEN($E147)&gt;20,NOT(IFERROR(ISNUMBER(1*$E147),FALSE())))),"Phone must be the LOCAL number for the destination country: digits only, no +, spaces, or country code, 6 to 20 digits. ","")&amp;IF(LEN($F147)&gt;35,"Recipient Company Name exceeds 35 characters. ","")&amp;IF($G147="","Enter Address Line 1. ","")&amp;IF(LEN($G147)&gt;35,"Address Line 1 exceeds the 35-character SAP limit. ","")&amp;IF(LEN($H147)&gt;35,"Address Line 2 exceeds the 35-character SAP limit. ","")&amp;IF(LEN($I147)&gt;35,"Address Line 3 exceeds the 35-character SAP limit. ","")&amp;IF($J147="","Enter Town. This must never be left blank, even if there is no conventional town name. ","")&amp;IF(LEN($J147)&gt;35,"Town exceeds 35 characters. ","")&amp;IF(AND($N147="IE",$K147=""),"County is required for deliveries within the Republic of Ireland. ","")&amp;IF(LEN($AB147)&gt;35,"County exceeds 35 characters. ","")&amp;IF(AND($L147="",AND($N147&lt;&gt;"AE",$N147&lt;&gt;"QA")),"Postcode is required for the selected country. If there is genuinely no postcode, enter the first 3 characters of the area (e.g. D15). ","")&amp;IF(LEN($L147)&gt;35,"Postcode exceeds 35 characters. ","")&amp;IF($AE147&lt;&gt;"",$AE147,"")&amp;IF(LEN($O147)&gt;40,"Gift Message Line 1 exceeds 40 characters. ","")&amp;IF(LEN($P147)&gt;40,"Gift Message Line 2 exceeds 40 characters. ","")&amp;IF(LEN($Q147)&gt;40,"Gift Message Line 3 exceeds 40 characters. ","")&amp;IF(LEN($R147)&gt;40,"Gift Message Line 4 exceeds 40 characters. ","")&amp;IF(LEN($S147)&gt;40,"Gift Message Line 5 exceeds 40 characters. ","")&amp;IF(LEN($T147)&gt;40,"Gift Message Line 6 exceeds 40 characters. ","")&amp;IF(LEN($U147)&gt;40,"Gift Message Line 7 exceeds 40 characters. ",""))</f>
        <v/>
      </c>
      <c r="Y147" s="44" t="str">
        <f t="shared" si="9"/>
        <v/>
      </c>
      <c r="Z147" s="44"/>
      <c r="AA147" s="44"/>
      <c r="AB147" s="32" t="str">
        <f t="shared" si="10"/>
        <v/>
      </c>
      <c r="AC147" s="32" t="str">
        <f>IF($A147="","",IFERROR(LEFT(INDEX('PRODUCT DATA'!$NO$2:$NO$25,MATCH($A147,'PRODUCT DATA'!$NP$2:$NP$25,0)),FIND("|",INDEX('PRODUCT DATA'!$NO$2:$NO$25,MATCH($A147,'PRODUCT DATA'!$NP$2:$NP$25,0)))-1),$A147))</f>
        <v/>
      </c>
      <c r="AD147" s="45"/>
      <c r="AE147" s="45" t="str">
        <f t="shared" si="11"/>
        <v/>
      </c>
    </row>
    <row r="148" spans="1:31" ht="15" customHeight="1" x14ac:dyDescent="0.25">
      <c r="A148" s="40"/>
      <c r="B148" s="43" t="str">
        <f>IF($A148="","",IFERROR(VLOOKUP($AC148,'PRODUCT DATA'!$NR$2:$NS$374,2,FALSE()),"UNKNOWN ITEM CODE - please check"))</f>
        <v/>
      </c>
      <c r="C148" s="39">
        <v>1</v>
      </c>
      <c r="D148" s="39"/>
      <c r="E148" s="40"/>
      <c r="F148" s="41"/>
      <c r="G148" s="39"/>
      <c r="H148" s="41"/>
      <c r="I148" s="41"/>
      <c r="J148" s="39"/>
      <c r="K148" s="41"/>
      <c r="L148" s="40"/>
      <c r="M148" s="40"/>
      <c r="N148" s="42" t="str">
        <f>IF($M148="","",IFERROR(INDEX('PRODUCT DATA'!$B$2:$B$58,MATCH(IF(UPPER($M148)="UK","GB",$M148),'PRODUCT DATA'!$B$2:$B$58,0)),IFERROR(INDEX('PRODUCT DATA'!$B$2:$B$58,MATCH(IF(UPPER($M148)="UK","GB",$M148),'PRODUCT DATA'!$A$2:$A$58,0)),"UNKNOWN COUNTRY - please check")))</f>
        <v/>
      </c>
      <c r="O148" s="41"/>
      <c r="P148" s="41"/>
      <c r="Q148" s="41"/>
      <c r="R148" s="41"/>
      <c r="S148" s="41"/>
      <c r="T148" s="41"/>
      <c r="U148" s="41"/>
      <c r="V148" s="43" t="str">
        <f t="shared" si="8"/>
        <v/>
      </c>
      <c r="W148" s="44" t="str">
        <f ca="1">IF(COUNTA($A148,$D148:$M148,$O148:$U148)=0,"",IF($A148="","Item Code; ","")&amp;IF(AND($A148&lt;&gt;"",ISNA(MATCH($AC148,'PRODUCT DATA'!$D$2:$D$394,0))),"Item Code; ","")&amp;IF($M148="","Country; ","")&amp;IF(AND($M148&lt;&gt;"",NOT(OR(NOT(ISNA(MATCH(IF(UPPER($M148)="UK","GB",$M148),'PRODUCT DATA'!$A$2:$A$58,0))),NOT(ISNA(MATCH(IF(UPPER($M148)="UK","GB",$M148),'PRODUCT DATA'!$B$2:$B$58,0)))))),"Country; ","")&amp;IF(AND($A148&lt;&gt;"",$M148&lt;&gt;"",NOT(ISNA(MATCH($AC148,'PRODUCT DATA'!$D$2:$D$394,0))),OR(NOT(ISNA(MATCH(IF(UPPER($M148)="UK","GB",$M148),'PRODUCT DATA'!$A$2:$A$58,0))),NOT(ISNA(MATCH(IF(UPPER($M148)="UK","GB",$M148),'PRODUCT DATA'!$B$2:$B$58,0)))),NOT(IFERROR(COUNTIF(OFFSET('PRODUCT DATA'!$F$2,0,MATCH($AC148,'PRODUCT DATA'!$F$1:$NN$1,0)-1,114,1),$N148)&gt;0,FALSE()))),IF(UPPER(IFERROR(OFFSET('PRODUCT DATA'!$C$2,MATCH($N148,'PRODUCT DATA'!$B$2:$B$58,0)-1,0),""))="NO","Alcohol Restriction; ","Item Code / Country combination; "),"")&amp;IF($C148="","Quantity; ","")&amp;IF(AND($C148&lt;&gt;"",OR(NOT(ISNUMBER($C148)),$C148&lt;1,$C148&gt;999,MOD($C148,1)&lt;&gt;0)),"Quantity; ","")&amp;IF($D148="","Recipient Name; ","")&amp;IF(LEN($D148)&gt;35,"Recipient Name; ","")&amp;IF($E148="","Recipient Phone; ","")&amp;IF(AND($E148&lt;&gt;"",OR(LEN($E148)&lt;6,LEN($E148)&gt;20,NOT(IFERROR(ISNUMBER(1*$E148),FALSE())))),"Recipient Phone; ","")&amp;IF(LEN($F148)&gt;35,"Recipient Company Name; ","")&amp;IF($G148="","Address Line 1; ","")&amp;IF(LEN($G148)&gt;35,"Address Line 1; ","")&amp;IF(LEN($H148)&gt;35,"Address Line 2; ","")&amp;IF(LEN($I148)&gt;35,"Address Line 3; ","")&amp;IF($J148="","Town; ","")&amp;IF(LEN($J148)&gt;35,"Town; ","")&amp;IF(AND($N148="IE",$K148=""),"County; ","")&amp;IF(LEN($AB148)&gt;35,"County; ","")&amp;IF(AND($L148="",AND($N148&lt;&gt;"AE",$N148&lt;&gt;"QA")),"Postcode; ","")&amp;IF(LEN($L148)&gt;35,"Postcode; ","")&amp;IF($AE148&lt;&gt;"","Postcode; ","")&amp;IF(LEN($O148)&gt;40,"Gift Message 1; ","")&amp;IF(LEN($P148)&gt;40,"Gift Message 2; ","")&amp;IF(LEN($Q148)&gt;40,"Gift Message 3; ","")&amp;IF(LEN($R148)&gt;40,"Gift Message 4; ","")&amp;IF(LEN($S148)&gt;40,"Gift Message 5; ","")&amp;IF(LEN($T148)&gt;40,"Gift Message 6; ","")&amp;IF(LEN($U148)&gt;40,"Gift Message 7; ",""))</f>
        <v/>
      </c>
      <c r="X148" s="44" t="str">
        <f ca="1">IF(COUNTA($A148,$D148:$M148,$O148:$U148)=0,"",IF($A148="","Enter the Item Code (hamper) - type it, paste it, or choose it from the dropdown. ","")&amp;IF(AND($A148&lt;&gt;"",ISNA(MATCH($AC148,'PRODUCT DATA'!$D$2:$D$394,0))),"This Item Code is not recognised. Check the code (case does not matter, but spelling and digits must match exactly) or choose it from the dropdown. ","")&amp;IF($M148="","Enter the Country after the Item Code - type or paste the name or the 2-letter code, or choose it from the dropdown. ","")&amp;IF(AND($M148&lt;&gt;"",NOT(OR(NOT(ISNA(MATCH(IF(UPPER($M148)="UK","GB",$M148),'PRODUCT DATA'!$A$2:$A$58,0))),NOT(ISNA(MATCH(IF(UPPER($M148)="UK","GB",$M148),'PRODUCT DATA'!$B$2:$B$58,0)))))),"This Country is not recognised as either a full name or a 2-letter code. Check the spelling (case does not matter) or choose it from the dropdown. ","")&amp;IF(AND($A148&lt;&gt;"",$M148&lt;&gt;"",NOT(ISNA(MATCH($AC148,'PRODUCT DATA'!$D$2:$D$394,0))),OR(NOT(ISNA(MATCH(IF(UPPER($M148)="UK","GB",$M148),'PRODUCT DATA'!$A$2:$A$58,0))),NOT(ISNA(MATCH(IF(UPPER($M148)="UK","GB",$M148),'PRODUCT DATA'!$B$2:$B$58,0)))),NOT(IFERROR(COUNTIF(OFFSET('PRODUCT DATA'!$F$2,0,MATCH($AC148,'PRODUCT DATA'!$F$1:$NN$1,0)-1,114,1),$N148)&gt;0,FALSE()))),IF(UPPER(IFERROR(OFFSET('PRODUCT DATA'!$C$2,MATCH($N148,'PRODUCT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"),"")&amp;IF($C148="","Enter Quantity. ","")&amp;IF(AND($C148&lt;&gt;"",OR(NOT(ISNUMBER($C148)),$C148&lt;1,$C148&gt;999,MOD($C148,1)&lt;&gt;0)),"Quantity must be a whole number from 1 to 999 (use a quantity above 1 only for a genuine bulk order of identical items to ONE address — otherwise use a separate row per recipient). ","")&amp;IF($D148="","Enter Recipient Name. ","")&amp;IF(LEN($D148)&gt;35,"Recipient Name exceeds 35 characters. ","")&amp;IF($E148="","Enter Recipient Phone. ","")&amp;IF(AND($E148&lt;&gt;"",OR(LEN($E148)&lt;6,LEN($E148)&gt;20,NOT(IFERROR(ISNUMBER(1*$E148),FALSE())))),"Phone must be the LOCAL number for the destination country: digits only, no +, spaces, or country code, 6 to 20 digits. ","")&amp;IF(LEN($F148)&gt;35,"Recipient Company Name exceeds 35 characters. ","")&amp;IF($G148="","Enter Address Line 1. ","")&amp;IF(LEN($G148)&gt;35,"Address Line 1 exceeds the 35-character SAP limit. ","")&amp;IF(LEN($H148)&gt;35,"Address Line 2 exceeds the 35-character SAP limit. ","")&amp;IF(LEN($I148)&gt;35,"Address Line 3 exceeds the 35-character SAP limit. ","")&amp;IF($J148="","Enter Town. This must never be left blank, even if there is no conventional town name. ","")&amp;IF(LEN($J148)&gt;35,"Town exceeds 35 characters. ","")&amp;IF(AND($N148="IE",$K148=""),"County is required for deliveries within the Republic of Ireland. ","")&amp;IF(LEN($AB148)&gt;35,"County exceeds 35 characters. ","")&amp;IF(AND($L148="",AND($N148&lt;&gt;"AE",$N148&lt;&gt;"QA")),"Postcode is required for the selected country. If there is genuinely no postcode, enter the first 3 characters of the area (e.g. D15). ","")&amp;IF(LEN($L148)&gt;35,"Postcode exceeds 35 characters. ","")&amp;IF($AE148&lt;&gt;"",$AE148,"")&amp;IF(LEN($O148)&gt;40,"Gift Message Line 1 exceeds 40 characters. ","")&amp;IF(LEN($P148)&gt;40,"Gift Message Line 2 exceeds 40 characters. ","")&amp;IF(LEN($Q148)&gt;40,"Gift Message Line 3 exceeds 40 characters. ","")&amp;IF(LEN($R148)&gt;40,"Gift Message Line 4 exceeds 40 characters. ","")&amp;IF(LEN($S148)&gt;40,"Gift Message Line 5 exceeds 40 characters. ","")&amp;IF(LEN($T148)&gt;40,"Gift Message Line 6 exceeds 40 characters. ","")&amp;IF(LEN($U148)&gt;40,"Gift Message Line 7 exceeds 40 characters. ",""))</f>
        <v/>
      </c>
      <c r="Y148" s="44" t="str">
        <f t="shared" si="9"/>
        <v/>
      </c>
      <c r="Z148" s="44"/>
      <c r="AA148" s="44"/>
      <c r="AB148" s="32" t="str">
        <f t="shared" si="10"/>
        <v/>
      </c>
      <c r="AC148" s="32" t="str">
        <f>IF($A148="","",IFERROR(LEFT(INDEX('PRODUCT DATA'!$NO$2:$NO$25,MATCH($A148,'PRODUCT DATA'!$NP$2:$NP$25,0)),FIND("|",INDEX('PRODUCT DATA'!$NO$2:$NO$25,MATCH($A148,'PRODUCT DATA'!$NP$2:$NP$25,0)))-1),$A148))</f>
        <v/>
      </c>
      <c r="AD148" s="45"/>
      <c r="AE148" s="45" t="str">
        <f t="shared" si="11"/>
        <v/>
      </c>
    </row>
    <row r="149" spans="1:31" ht="15" customHeight="1" x14ac:dyDescent="0.25">
      <c r="A149" s="40"/>
      <c r="B149" s="43" t="str">
        <f>IF($A149="","",IFERROR(VLOOKUP($AC149,'PRODUCT DATA'!$NR$2:$NS$374,2,FALSE()),"UNKNOWN ITEM CODE - please check"))</f>
        <v/>
      </c>
      <c r="C149" s="39">
        <v>1</v>
      </c>
      <c r="D149" s="39"/>
      <c r="E149" s="40"/>
      <c r="F149" s="41"/>
      <c r="G149" s="39"/>
      <c r="H149" s="41"/>
      <c r="I149" s="41"/>
      <c r="J149" s="39"/>
      <c r="K149" s="41"/>
      <c r="L149" s="40"/>
      <c r="M149" s="40"/>
      <c r="N149" s="42" t="str">
        <f>IF($M149="","",IFERROR(INDEX('PRODUCT DATA'!$B$2:$B$58,MATCH(IF(UPPER($M149)="UK","GB",$M149),'PRODUCT DATA'!$B$2:$B$58,0)),IFERROR(INDEX('PRODUCT DATA'!$B$2:$B$58,MATCH(IF(UPPER($M149)="UK","GB",$M149),'PRODUCT DATA'!$A$2:$A$58,0)),"UNKNOWN COUNTRY - please check")))</f>
        <v/>
      </c>
      <c r="O149" s="41"/>
      <c r="P149" s="41"/>
      <c r="Q149" s="41"/>
      <c r="R149" s="41"/>
      <c r="S149" s="41"/>
      <c r="T149" s="41"/>
      <c r="U149" s="41"/>
      <c r="V149" s="43" t="str">
        <f t="shared" si="8"/>
        <v/>
      </c>
      <c r="W149" s="44" t="str">
        <f ca="1">IF(COUNTA($A149,$D149:$M149,$O149:$U149)=0,"",IF($A149="","Item Code; ","")&amp;IF(AND($A149&lt;&gt;"",ISNA(MATCH($AC149,'PRODUCT DATA'!$D$2:$D$394,0))),"Item Code; ","")&amp;IF($M149="","Country; ","")&amp;IF(AND($M149&lt;&gt;"",NOT(OR(NOT(ISNA(MATCH(IF(UPPER($M149)="UK","GB",$M149),'PRODUCT DATA'!$A$2:$A$58,0))),NOT(ISNA(MATCH(IF(UPPER($M149)="UK","GB",$M149),'PRODUCT DATA'!$B$2:$B$58,0)))))),"Country; ","")&amp;IF(AND($A149&lt;&gt;"",$M149&lt;&gt;"",NOT(ISNA(MATCH($AC149,'PRODUCT DATA'!$D$2:$D$394,0))),OR(NOT(ISNA(MATCH(IF(UPPER($M149)="UK","GB",$M149),'PRODUCT DATA'!$A$2:$A$58,0))),NOT(ISNA(MATCH(IF(UPPER($M149)="UK","GB",$M149),'PRODUCT DATA'!$B$2:$B$58,0)))),NOT(IFERROR(COUNTIF(OFFSET('PRODUCT DATA'!$F$2,0,MATCH($AC149,'PRODUCT DATA'!$F$1:$NN$1,0)-1,114,1),$N149)&gt;0,FALSE()))),IF(UPPER(IFERROR(OFFSET('PRODUCT DATA'!$C$2,MATCH($N149,'PRODUCT DATA'!$B$2:$B$58,0)-1,0),""))="NO","Alcohol Restriction; ","Item Code / Country combination; "),"")&amp;IF($C149="","Quantity; ","")&amp;IF(AND($C149&lt;&gt;"",OR(NOT(ISNUMBER($C149)),$C149&lt;1,$C149&gt;999,MOD($C149,1)&lt;&gt;0)),"Quantity; ","")&amp;IF($D149="","Recipient Name; ","")&amp;IF(LEN($D149)&gt;35,"Recipient Name; ","")&amp;IF($E149="","Recipient Phone; ","")&amp;IF(AND($E149&lt;&gt;"",OR(LEN($E149)&lt;6,LEN($E149)&gt;20,NOT(IFERROR(ISNUMBER(1*$E149),FALSE())))),"Recipient Phone; ","")&amp;IF(LEN($F149)&gt;35,"Recipient Company Name; ","")&amp;IF($G149="","Address Line 1; ","")&amp;IF(LEN($G149)&gt;35,"Address Line 1; ","")&amp;IF(LEN($H149)&gt;35,"Address Line 2; ","")&amp;IF(LEN($I149)&gt;35,"Address Line 3; ","")&amp;IF($J149="","Town; ","")&amp;IF(LEN($J149)&gt;35,"Town; ","")&amp;IF(AND($N149="IE",$K149=""),"County; ","")&amp;IF(LEN($AB149)&gt;35,"County; ","")&amp;IF(AND($L149="",AND($N149&lt;&gt;"AE",$N149&lt;&gt;"QA")),"Postcode; ","")&amp;IF(LEN($L149)&gt;35,"Postcode; ","")&amp;IF($AE149&lt;&gt;"","Postcode; ","")&amp;IF(LEN($O149)&gt;40,"Gift Message 1; ","")&amp;IF(LEN($P149)&gt;40,"Gift Message 2; ","")&amp;IF(LEN($Q149)&gt;40,"Gift Message 3; ","")&amp;IF(LEN($R149)&gt;40,"Gift Message 4; ","")&amp;IF(LEN($S149)&gt;40,"Gift Message 5; ","")&amp;IF(LEN($T149)&gt;40,"Gift Message 6; ","")&amp;IF(LEN($U149)&gt;40,"Gift Message 7; ",""))</f>
        <v/>
      </c>
      <c r="X149" s="44" t="str">
        <f ca="1">IF(COUNTA($A149,$D149:$M149,$O149:$U149)=0,"",IF($A149="","Enter the Item Code (hamper) - type it, paste it, or choose it from the dropdown. ","")&amp;IF(AND($A149&lt;&gt;"",ISNA(MATCH($AC149,'PRODUCT DATA'!$D$2:$D$394,0))),"This Item Code is not recognised. Check the code (case does not matter, but spelling and digits must match exactly) or choose it from the dropdown. ","")&amp;IF($M149="","Enter the Country after the Item Code - type or paste the name or the 2-letter code, or choose it from the dropdown. ","")&amp;IF(AND($M149&lt;&gt;"",NOT(OR(NOT(ISNA(MATCH(IF(UPPER($M149)="UK","GB",$M149),'PRODUCT DATA'!$A$2:$A$58,0))),NOT(ISNA(MATCH(IF(UPPER($M149)="UK","GB",$M149),'PRODUCT DATA'!$B$2:$B$58,0)))))),"This Country is not recognised as either a full name or a 2-letter code. Check the spelling (case does not matter) or choose it from the dropdown. ","")&amp;IF(AND($A149&lt;&gt;"",$M149&lt;&gt;"",NOT(ISNA(MATCH($AC149,'PRODUCT DATA'!$D$2:$D$394,0))),OR(NOT(ISNA(MATCH(IF(UPPER($M149)="UK","GB",$M149),'PRODUCT DATA'!$A$2:$A$58,0))),NOT(ISNA(MATCH(IF(UPPER($M149)="UK","GB",$M149),'PRODUCT DATA'!$B$2:$B$58,0)))),NOT(IFERROR(COUNTIF(OFFSET('PRODUCT DATA'!$F$2,0,MATCH($AC149,'PRODUCT DATA'!$F$1:$NN$1,0)-1,114,1),$N149)&gt;0,FALSE()))),IF(UPPER(IFERROR(OFFSET('PRODUCT DATA'!$C$2,MATCH($N149,'PRODUCT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"),"")&amp;IF($C149="","Enter Quantity. ","")&amp;IF(AND($C149&lt;&gt;"",OR(NOT(ISNUMBER($C149)),$C149&lt;1,$C149&gt;999,MOD($C149,1)&lt;&gt;0)),"Quantity must be a whole number from 1 to 999 (use a quantity above 1 only for a genuine bulk order of identical items to ONE address — otherwise use a separate row per recipient). ","")&amp;IF($D149="","Enter Recipient Name. ","")&amp;IF(LEN($D149)&gt;35,"Recipient Name exceeds 35 characters. ","")&amp;IF($E149="","Enter Recipient Phone. ","")&amp;IF(AND($E149&lt;&gt;"",OR(LEN($E149)&lt;6,LEN($E149)&gt;20,NOT(IFERROR(ISNUMBER(1*$E149),FALSE())))),"Phone must be the LOCAL number for the destination country: digits only, no +, spaces, or country code, 6 to 20 digits. ","")&amp;IF(LEN($F149)&gt;35,"Recipient Company Name exceeds 35 characters. ","")&amp;IF($G149="","Enter Address Line 1. ","")&amp;IF(LEN($G149)&gt;35,"Address Line 1 exceeds the 35-character SAP limit. ","")&amp;IF(LEN($H149)&gt;35,"Address Line 2 exceeds the 35-character SAP limit. ","")&amp;IF(LEN($I149)&gt;35,"Address Line 3 exceeds the 35-character SAP limit. ","")&amp;IF($J149="","Enter Town. This must never be left blank, even if there is no conventional town name. ","")&amp;IF(LEN($J149)&gt;35,"Town exceeds 35 characters. ","")&amp;IF(AND($N149="IE",$K149=""),"County is required for deliveries within the Republic of Ireland. ","")&amp;IF(LEN($AB149)&gt;35,"County exceeds 35 characters. ","")&amp;IF(AND($L149="",AND($N149&lt;&gt;"AE",$N149&lt;&gt;"QA")),"Postcode is required for the selected country. If there is genuinely no postcode, enter the first 3 characters of the area (e.g. D15). ","")&amp;IF(LEN($L149)&gt;35,"Postcode exceeds 35 characters. ","")&amp;IF($AE149&lt;&gt;"",$AE149,"")&amp;IF(LEN($O149)&gt;40,"Gift Message Line 1 exceeds 40 characters. ","")&amp;IF(LEN($P149)&gt;40,"Gift Message Line 2 exceeds 40 characters. ","")&amp;IF(LEN($Q149)&gt;40,"Gift Message Line 3 exceeds 40 characters. ","")&amp;IF(LEN($R149)&gt;40,"Gift Message Line 4 exceeds 40 characters. ","")&amp;IF(LEN($S149)&gt;40,"Gift Message Line 5 exceeds 40 characters. ","")&amp;IF(LEN($T149)&gt;40,"Gift Message Line 6 exceeds 40 characters. ","")&amp;IF(LEN($U149)&gt;40,"Gift Message Line 7 exceeds 40 characters. ",""))</f>
        <v/>
      </c>
      <c r="Y149" s="44" t="str">
        <f t="shared" si="9"/>
        <v/>
      </c>
      <c r="Z149" s="44"/>
      <c r="AA149" s="44"/>
      <c r="AB149" s="32" t="str">
        <f t="shared" si="10"/>
        <v/>
      </c>
      <c r="AC149" s="32" t="str">
        <f>IF($A149="","",IFERROR(LEFT(INDEX('PRODUCT DATA'!$NO$2:$NO$25,MATCH($A149,'PRODUCT DATA'!$NP$2:$NP$25,0)),FIND("|",INDEX('PRODUCT DATA'!$NO$2:$NO$25,MATCH($A149,'PRODUCT DATA'!$NP$2:$NP$25,0)))-1),$A149))</f>
        <v/>
      </c>
      <c r="AD149" s="45"/>
      <c r="AE149" s="45" t="str">
        <f t="shared" si="11"/>
        <v/>
      </c>
    </row>
    <row r="150" spans="1:31" ht="15" customHeight="1" x14ac:dyDescent="0.25">
      <c r="A150" s="40"/>
      <c r="B150" s="43" t="str">
        <f>IF($A150="","",IFERROR(VLOOKUP($AC150,'PRODUCT DATA'!$NR$2:$NS$374,2,FALSE()),"UNKNOWN ITEM CODE - please check"))</f>
        <v/>
      </c>
      <c r="C150" s="39">
        <v>1</v>
      </c>
      <c r="D150" s="39"/>
      <c r="E150" s="40"/>
      <c r="F150" s="41"/>
      <c r="G150" s="39"/>
      <c r="H150" s="41"/>
      <c r="I150" s="41"/>
      <c r="J150" s="39"/>
      <c r="K150" s="41"/>
      <c r="L150" s="40"/>
      <c r="M150" s="40"/>
      <c r="N150" s="42" t="str">
        <f>IF($M150="","",IFERROR(INDEX('PRODUCT DATA'!$B$2:$B$58,MATCH(IF(UPPER($M150)="UK","GB",$M150),'PRODUCT DATA'!$B$2:$B$58,0)),IFERROR(INDEX('PRODUCT DATA'!$B$2:$B$58,MATCH(IF(UPPER($M150)="UK","GB",$M150),'PRODUCT DATA'!$A$2:$A$58,0)),"UNKNOWN COUNTRY - please check")))</f>
        <v/>
      </c>
      <c r="O150" s="41"/>
      <c r="P150" s="41"/>
      <c r="Q150" s="41"/>
      <c r="R150" s="41"/>
      <c r="S150" s="41"/>
      <c r="T150" s="41"/>
      <c r="U150" s="41"/>
      <c r="V150" s="43" t="str">
        <f t="shared" si="8"/>
        <v/>
      </c>
      <c r="W150" s="44" t="str">
        <f ca="1">IF(COUNTA($A150,$D150:$M150,$O150:$U150)=0,"",IF($A150="","Item Code; ","")&amp;IF(AND($A150&lt;&gt;"",ISNA(MATCH($AC150,'PRODUCT DATA'!$D$2:$D$394,0))),"Item Code; ","")&amp;IF($M150="","Country; ","")&amp;IF(AND($M150&lt;&gt;"",NOT(OR(NOT(ISNA(MATCH(IF(UPPER($M150)="UK","GB",$M150),'PRODUCT DATA'!$A$2:$A$58,0))),NOT(ISNA(MATCH(IF(UPPER($M150)="UK","GB",$M150),'PRODUCT DATA'!$B$2:$B$58,0)))))),"Country; ","")&amp;IF(AND($A150&lt;&gt;"",$M150&lt;&gt;"",NOT(ISNA(MATCH($AC150,'PRODUCT DATA'!$D$2:$D$394,0))),OR(NOT(ISNA(MATCH(IF(UPPER($M150)="UK","GB",$M150),'PRODUCT DATA'!$A$2:$A$58,0))),NOT(ISNA(MATCH(IF(UPPER($M150)="UK","GB",$M150),'PRODUCT DATA'!$B$2:$B$58,0)))),NOT(IFERROR(COUNTIF(OFFSET('PRODUCT DATA'!$F$2,0,MATCH($AC150,'PRODUCT DATA'!$F$1:$NN$1,0)-1,114,1),$N150)&gt;0,FALSE()))),IF(UPPER(IFERROR(OFFSET('PRODUCT DATA'!$C$2,MATCH($N150,'PRODUCT DATA'!$B$2:$B$58,0)-1,0),""))="NO","Alcohol Restriction; ","Item Code / Country combination; "),"")&amp;IF($C150="","Quantity; ","")&amp;IF(AND($C150&lt;&gt;"",OR(NOT(ISNUMBER($C150)),$C150&lt;1,$C150&gt;999,MOD($C150,1)&lt;&gt;0)),"Quantity; ","")&amp;IF($D150="","Recipient Name; ","")&amp;IF(LEN($D150)&gt;35,"Recipient Name; ","")&amp;IF($E150="","Recipient Phone; ","")&amp;IF(AND($E150&lt;&gt;"",OR(LEN($E150)&lt;6,LEN($E150)&gt;20,NOT(IFERROR(ISNUMBER(1*$E150),FALSE())))),"Recipient Phone; ","")&amp;IF(LEN($F150)&gt;35,"Recipient Company Name; ","")&amp;IF($G150="","Address Line 1; ","")&amp;IF(LEN($G150)&gt;35,"Address Line 1; ","")&amp;IF(LEN($H150)&gt;35,"Address Line 2; ","")&amp;IF(LEN($I150)&gt;35,"Address Line 3; ","")&amp;IF($J150="","Town; ","")&amp;IF(LEN($J150)&gt;35,"Town; ","")&amp;IF(AND($N150="IE",$K150=""),"County; ","")&amp;IF(LEN($AB150)&gt;35,"County; ","")&amp;IF(AND($L150="",AND($N150&lt;&gt;"AE",$N150&lt;&gt;"QA")),"Postcode; ","")&amp;IF(LEN($L150)&gt;35,"Postcode; ","")&amp;IF($AE150&lt;&gt;"","Postcode; ","")&amp;IF(LEN($O150)&gt;40,"Gift Message 1; ","")&amp;IF(LEN($P150)&gt;40,"Gift Message 2; ","")&amp;IF(LEN($Q150)&gt;40,"Gift Message 3; ","")&amp;IF(LEN($R150)&gt;40,"Gift Message 4; ","")&amp;IF(LEN($S150)&gt;40,"Gift Message 5; ","")&amp;IF(LEN($T150)&gt;40,"Gift Message 6; ","")&amp;IF(LEN($U150)&gt;40,"Gift Message 7; ",""))</f>
        <v/>
      </c>
      <c r="X150" s="44" t="str">
        <f ca="1">IF(COUNTA($A150,$D150:$M150,$O150:$U150)=0,"",IF($A150="","Enter the Item Code (hamper) - type it, paste it, or choose it from the dropdown. ","")&amp;IF(AND($A150&lt;&gt;"",ISNA(MATCH($AC150,'PRODUCT DATA'!$D$2:$D$394,0))),"This Item Code is not recognised. Check the code (case does not matter, but spelling and digits must match exactly) or choose it from the dropdown. ","")&amp;IF($M150="","Enter the Country after the Item Code - type or paste the name or the 2-letter code, or choose it from the dropdown. ","")&amp;IF(AND($M150&lt;&gt;"",NOT(OR(NOT(ISNA(MATCH(IF(UPPER($M150)="UK","GB",$M150),'PRODUCT DATA'!$A$2:$A$58,0))),NOT(ISNA(MATCH(IF(UPPER($M150)="UK","GB",$M150),'PRODUCT DATA'!$B$2:$B$58,0)))))),"This Country is not recognised as either a full name or a 2-letter code. Check the spelling (case does not matter) or choose it from the dropdown. ","")&amp;IF(AND($A150&lt;&gt;"",$M150&lt;&gt;"",NOT(ISNA(MATCH($AC150,'PRODUCT DATA'!$D$2:$D$394,0))),OR(NOT(ISNA(MATCH(IF(UPPER($M150)="UK","GB",$M150),'PRODUCT DATA'!$A$2:$A$58,0))),NOT(ISNA(MATCH(IF(UPPER($M150)="UK","GB",$M150),'PRODUCT DATA'!$B$2:$B$58,0)))),NOT(IFERROR(COUNTIF(OFFSET('PRODUCT DATA'!$F$2,0,MATCH($AC150,'PRODUCT DATA'!$F$1:$NN$1,0)-1,114,1),$N150)&gt;0,FALSE()))),IF(UPPER(IFERROR(OFFSET('PRODUCT DATA'!$C$2,MATCH($N150,'PRODUCT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"),"")&amp;IF($C150="","Enter Quantity. ","")&amp;IF(AND($C150&lt;&gt;"",OR(NOT(ISNUMBER($C150)),$C150&lt;1,$C150&gt;999,MOD($C150,1)&lt;&gt;0)),"Quantity must be a whole number from 1 to 999 (use a quantity above 1 only for a genuine bulk order of identical items to ONE address — otherwise use a separate row per recipient). ","")&amp;IF($D150="","Enter Recipient Name. ","")&amp;IF(LEN($D150)&gt;35,"Recipient Name exceeds 35 characters. ","")&amp;IF($E150="","Enter Recipient Phone. ","")&amp;IF(AND($E150&lt;&gt;"",OR(LEN($E150)&lt;6,LEN($E150)&gt;20,NOT(IFERROR(ISNUMBER(1*$E150),FALSE())))),"Phone must be the LOCAL number for the destination country: digits only, no +, spaces, or country code, 6 to 20 digits. ","")&amp;IF(LEN($F150)&gt;35,"Recipient Company Name exceeds 35 characters. ","")&amp;IF($G150="","Enter Address Line 1. ","")&amp;IF(LEN($G150)&gt;35,"Address Line 1 exceeds the 35-character SAP limit. ","")&amp;IF(LEN($H150)&gt;35,"Address Line 2 exceeds the 35-character SAP limit. ","")&amp;IF(LEN($I150)&gt;35,"Address Line 3 exceeds the 35-character SAP limit. ","")&amp;IF($J150="","Enter Town. This must never be left blank, even if there is no conventional town name. ","")&amp;IF(LEN($J150)&gt;35,"Town exceeds 35 characters. ","")&amp;IF(AND($N150="IE",$K150=""),"County is required for deliveries within the Republic of Ireland. ","")&amp;IF(LEN($AB150)&gt;35,"County exceeds 35 characters. ","")&amp;IF(AND($L150="",AND($N150&lt;&gt;"AE",$N150&lt;&gt;"QA")),"Postcode is required for the selected country. If there is genuinely no postcode, enter the first 3 characters of the area (e.g. D15). ","")&amp;IF(LEN($L150)&gt;35,"Postcode exceeds 35 characters. ","")&amp;IF($AE150&lt;&gt;"",$AE150,"")&amp;IF(LEN($O150)&gt;40,"Gift Message Line 1 exceeds 40 characters. ","")&amp;IF(LEN($P150)&gt;40,"Gift Message Line 2 exceeds 40 characters. ","")&amp;IF(LEN($Q150)&gt;40,"Gift Message Line 3 exceeds 40 characters. ","")&amp;IF(LEN($R150)&gt;40,"Gift Message Line 4 exceeds 40 characters. ","")&amp;IF(LEN($S150)&gt;40,"Gift Message Line 5 exceeds 40 characters. ","")&amp;IF(LEN($T150)&gt;40,"Gift Message Line 6 exceeds 40 characters. ","")&amp;IF(LEN($U150)&gt;40,"Gift Message Line 7 exceeds 40 characters. ",""))</f>
        <v/>
      </c>
      <c r="Y150" s="44" t="str">
        <f t="shared" si="9"/>
        <v/>
      </c>
      <c r="Z150" s="44"/>
      <c r="AA150" s="44"/>
      <c r="AB150" s="32" t="str">
        <f t="shared" si="10"/>
        <v/>
      </c>
      <c r="AC150" s="32" t="str">
        <f>IF($A150="","",IFERROR(LEFT(INDEX('PRODUCT DATA'!$NO$2:$NO$25,MATCH($A150,'PRODUCT DATA'!$NP$2:$NP$25,0)),FIND("|",INDEX('PRODUCT DATA'!$NO$2:$NO$25,MATCH($A150,'PRODUCT DATA'!$NP$2:$NP$25,0)))-1),$A150))</f>
        <v/>
      </c>
      <c r="AD150" s="45"/>
      <c r="AE150" s="45" t="str">
        <f t="shared" si="11"/>
        <v/>
      </c>
    </row>
    <row r="151" spans="1:31" ht="15" customHeight="1" x14ac:dyDescent="0.25">
      <c r="A151" s="40"/>
      <c r="B151" s="43" t="str">
        <f>IF($A151="","",IFERROR(VLOOKUP($AC151,'PRODUCT DATA'!$NR$2:$NS$374,2,FALSE()),"UNKNOWN ITEM CODE - please check"))</f>
        <v/>
      </c>
      <c r="C151" s="39">
        <v>1</v>
      </c>
      <c r="D151" s="39"/>
      <c r="E151" s="40"/>
      <c r="F151" s="41"/>
      <c r="G151" s="39"/>
      <c r="H151" s="41"/>
      <c r="I151" s="41"/>
      <c r="J151" s="39"/>
      <c r="K151" s="41"/>
      <c r="L151" s="40"/>
      <c r="M151" s="40"/>
      <c r="N151" s="42" t="str">
        <f>IF($M151="","",IFERROR(INDEX('PRODUCT DATA'!$B$2:$B$58,MATCH(IF(UPPER($M151)="UK","GB",$M151),'PRODUCT DATA'!$B$2:$B$58,0)),IFERROR(INDEX('PRODUCT DATA'!$B$2:$B$58,MATCH(IF(UPPER($M151)="UK","GB",$M151),'PRODUCT DATA'!$A$2:$A$58,0)),"UNKNOWN COUNTRY - please check")))</f>
        <v/>
      </c>
      <c r="O151" s="41"/>
      <c r="P151" s="41"/>
      <c r="Q151" s="41"/>
      <c r="R151" s="41"/>
      <c r="S151" s="41"/>
      <c r="T151" s="41"/>
      <c r="U151" s="41"/>
      <c r="V151" s="43" t="str">
        <f t="shared" si="8"/>
        <v/>
      </c>
      <c r="W151" s="44" t="str">
        <f ca="1">IF(COUNTA($A151,$D151:$M151,$O151:$U151)=0,"",IF($A151="","Item Code; ","")&amp;IF(AND($A151&lt;&gt;"",ISNA(MATCH($AC151,'PRODUCT DATA'!$D$2:$D$394,0))),"Item Code; ","")&amp;IF($M151="","Country; ","")&amp;IF(AND($M151&lt;&gt;"",NOT(OR(NOT(ISNA(MATCH(IF(UPPER($M151)="UK","GB",$M151),'PRODUCT DATA'!$A$2:$A$58,0))),NOT(ISNA(MATCH(IF(UPPER($M151)="UK","GB",$M151),'PRODUCT DATA'!$B$2:$B$58,0)))))),"Country; ","")&amp;IF(AND($A151&lt;&gt;"",$M151&lt;&gt;"",NOT(ISNA(MATCH($AC151,'PRODUCT DATA'!$D$2:$D$394,0))),OR(NOT(ISNA(MATCH(IF(UPPER($M151)="UK","GB",$M151),'PRODUCT DATA'!$A$2:$A$58,0))),NOT(ISNA(MATCH(IF(UPPER($M151)="UK","GB",$M151),'PRODUCT DATA'!$B$2:$B$58,0)))),NOT(IFERROR(COUNTIF(OFFSET('PRODUCT DATA'!$F$2,0,MATCH($AC151,'PRODUCT DATA'!$F$1:$NN$1,0)-1,114,1),$N151)&gt;0,FALSE()))),IF(UPPER(IFERROR(OFFSET('PRODUCT DATA'!$C$2,MATCH($N151,'PRODUCT DATA'!$B$2:$B$58,0)-1,0),""))="NO","Alcohol Restriction; ","Item Code / Country combination; "),"")&amp;IF($C151="","Quantity; ","")&amp;IF(AND($C151&lt;&gt;"",OR(NOT(ISNUMBER($C151)),$C151&lt;1,$C151&gt;999,MOD($C151,1)&lt;&gt;0)),"Quantity; ","")&amp;IF($D151="","Recipient Name; ","")&amp;IF(LEN($D151)&gt;35,"Recipient Name; ","")&amp;IF($E151="","Recipient Phone; ","")&amp;IF(AND($E151&lt;&gt;"",OR(LEN($E151)&lt;6,LEN($E151)&gt;20,NOT(IFERROR(ISNUMBER(1*$E151),FALSE())))),"Recipient Phone; ","")&amp;IF(LEN($F151)&gt;35,"Recipient Company Name; ","")&amp;IF($G151="","Address Line 1; ","")&amp;IF(LEN($G151)&gt;35,"Address Line 1; ","")&amp;IF(LEN($H151)&gt;35,"Address Line 2; ","")&amp;IF(LEN($I151)&gt;35,"Address Line 3; ","")&amp;IF($J151="","Town; ","")&amp;IF(LEN($J151)&gt;35,"Town; ","")&amp;IF(AND($N151="IE",$K151=""),"County; ","")&amp;IF(LEN($AB151)&gt;35,"County; ","")&amp;IF(AND($L151="",AND($N151&lt;&gt;"AE",$N151&lt;&gt;"QA")),"Postcode; ","")&amp;IF(LEN($L151)&gt;35,"Postcode; ","")&amp;IF($AE151&lt;&gt;"","Postcode; ","")&amp;IF(LEN($O151)&gt;40,"Gift Message 1; ","")&amp;IF(LEN($P151)&gt;40,"Gift Message 2; ","")&amp;IF(LEN($Q151)&gt;40,"Gift Message 3; ","")&amp;IF(LEN($R151)&gt;40,"Gift Message 4; ","")&amp;IF(LEN($S151)&gt;40,"Gift Message 5; ","")&amp;IF(LEN($T151)&gt;40,"Gift Message 6; ","")&amp;IF(LEN($U151)&gt;40,"Gift Message 7; ",""))</f>
        <v/>
      </c>
      <c r="X151" s="44" t="str">
        <f ca="1">IF(COUNTA($A151,$D151:$M151,$O151:$U151)=0,"",IF($A151="","Enter the Item Code (hamper) - type it, paste it, or choose it from the dropdown. ","")&amp;IF(AND($A151&lt;&gt;"",ISNA(MATCH($AC151,'PRODUCT DATA'!$D$2:$D$394,0))),"This Item Code is not recognised. Check the code (case does not matter, but spelling and digits must match exactly) or choose it from the dropdown. ","")&amp;IF($M151="","Enter the Country after the Item Code - type or paste the name or the 2-letter code, or choose it from the dropdown. ","")&amp;IF(AND($M151&lt;&gt;"",NOT(OR(NOT(ISNA(MATCH(IF(UPPER($M151)="UK","GB",$M151),'PRODUCT DATA'!$A$2:$A$58,0))),NOT(ISNA(MATCH(IF(UPPER($M151)="UK","GB",$M151),'PRODUCT DATA'!$B$2:$B$58,0)))))),"This Country is not recognised as either a full name or a 2-letter code. Check the spelling (case does not matter) or choose it from the dropdown. ","")&amp;IF(AND($A151&lt;&gt;"",$M151&lt;&gt;"",NOT(ISNA(MATCH($AC151,'PRODUCT DATA'!$D$2:$D$394,0))),OR(NOT(ISNA(MATCH(IF(UPPER($M151)="UK","GB",$M151),'PRODUCT DATA'!$A$2:$A$58,0))),NOT(ISNA(MATCH(IF(UPPER($M151)="UK","GB",$M151),'PRODUCT DATA'!$B$2:$B$58,0)))),NOT(IFERROR(COUNTIF(OFFSET('PRODUCT DATA'!$F$2,0,MATCH($AC151,'PRODUCT DATA'!$F$1:$NN$1,0)-1,114,1),$N151)&gt;0,FALSE()))),IF(UPPER(IFERROR(OFFSET('PRODUCT DATA'!$C$2,MATCH($N151,'PRODUCT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"),"")&amp;IF($C151="","Enter Quantity. ","")&amp;IF(AND($C151&lt;&gt;"",OR(NOT(ISNUMBER($C151)),$C151&lt;1,$C151&gt;999,MOD($C151,1)&lt;&gt;0)),"Quantity must be a whole number from 1 to 999 (use a quantity above 1 only for a genuine bulk order of identical items to ONE address — otherwise use a separate row per recipient). ","")&amp;IF($D151="","Enter Recipient Name. ","")&amp;IF(LEN($D151)&gt;35,"Recipient Name exceeds 35 characters. ","")&amp;IF($E151="","Enter Recipient Phone. ","")&amp;IF(AND($E151&lt;&gt;"",OR(LEN($E151)&lt;6,LEN($E151)&gt;20,NOT(IFERROR(ISNUMBER(1*$E151),FALSE())))),"Phone must be the LOCAL number for the destination country: digits only, no +, spaces, or country code, 6 to 20 digits. ","")&amp;IF(LEN($F151)&gt;35,"Recipient Company Name exceeds 35 characters. ","")&amp;IF($G151="","Enter Address Line 1. ","")&amp;IF(LEN($G151)&gt;35,"Address Line 1 exceeds the 35-character SAP limit. ","")&amp;IF(LEN($H151)&gt;35,"Address Line 2 exceeds the 35-character SAP limit. ","")&amp;IF(LEN($I151)&gt;35,"Address Line 3 exceeds the 35-character SAP limit. ","")&amp;IF($J151="","Enter Town. This must never be left blank, even if there is no conventional town name. ","")&amp;IF(LEN($J151)&gt;35,"Town exceeds 35 characters. ","")&amp;IF(AND($N151="IE",$K151=""),"County is required for deliveries within the Republic of Ireland. ","")&amp;IF(LEN($AB151)&gt;35,"County exceeds 35 characters. ","")&amp;IF(AND($L151="",AND($N151&lt;&gt;"AE",$N151&lt;&gt;"QA")),"Postcode is required for the selected country. If there is genuinely no postcode, enter the first 3 characters of the area (e.g. D15). ","")&amp;IF(LEN($L151)&gt;35,"Postcode exceeds 35 characters. ","")&amp;IF($AE151&lt;&gt;"",$AE151,"")&amp;IF(LEN($O151)&gt;40,"Gift Message Line 1 exceeds 40 characters. ","")&amp;IF(LEN($P151)&gt;40,"Gift Message Line 2 exceeds 40 characters. ","")&amp;IF(LEN($Q151)&gt;40,"Gift Message Line 3 exceeds 40 characters. ","")&amp;IF(LEN($R151)&gt;40,"Gift Message Line 4 exceeds 40 characters. ","")&amp;IF(LEN($S151)&gt;40,"Gift Message Line 5 exceeds 40 characters. ","")&amp;IF(LEN($T151)&gt;40,"Gift Message Line 6 exceeds 40 characters. ","")&amp;IF(LEN($U151)&gt;40,"Gift Message Line 7 exceeds 40 characters. ",""))</f>
        <v/>
      </c>
      <c r="Y151" s="44" t="str">
        <f t="shared" si="9"/>
        <v/>
      </c>
      <c r="Z151" s="44"/>
      <c r="AA151" s="44"/>
      <c r="AB151" s="32" t="str">
        <f t="shared" si="10"/>
        <v/>
      </c>
      <c r="AC151" s="32" t="str">
        <f>IF($A151="","",IFERROR(LEFT(INDEX('PRODUCT DATA'!$NO$2:$NO$25,MATCH($A151,'PRODUCT DATA'!$NP$2:$NP$25,0)),FIND("|",INDEX('PRODUCT DATA'!$NO$2:$NO$25,MATCH($A151,'PRODUCT DATA'!$NP$2:$NP$25,0)))-1),$A151))</f>
        <v/>
      </c>
      <c r="AD151" s="45"/>
      <c r="AE151" s="45" t="str">
        <f t="shared" si="11"/>
        <v/>
      </c>
    </row>
    <row r="152" spans="1:31" ht="15" customHeight="1" x14ac:dyDescent="0.25">
      <c r="A152" s="40"/>
      <c r="B152" s="43" t="str">
        <f>IF($A152="","",IFERROR(VLOOKUP($AC152,'PRODUCT DATA'!$NR$2:$NS$374,2,FALSE()),"UNKNOWN ITEM CODE - please check"))</f>
        <v/>
      </c>
      <c r="C152" s="39">
        <v>1</v>
      </c>
      <c r="D152" s="39"/>
      <c r="E152" s="40"/>
      <c r="F152" s="41"/>
      <c r="G152" s="39"/>
      <c r="H152" s="41"/>
      <c r="I152" s="41"/>
      <c r="J152" s="39"/>
      <c r="K152" s="41"/>
      <c r="L152" s="40"/>
      <c r="M152" s="40"/>
      <c r="N152" s="42" t="str">
        <f>IF($M152="","",IFERROR(INDEX('PRODUCT DATA'!$B$2:$B$58,MATCH(IF(UPPER($M152)="UK","GB",$M152),'PRODUCT DATA'!$B$2:$B$58,0)),IFERROR(INDEX('PRODUCT DATA'!$B$2:$B$58,MATCH(IF(UPPER($M152)="UK","GB",$M152),'PRODUCT DATA'!$A$2:$A$58,0)),"UNKNOWN COUNTRY - please check")))</f>
        <v/>
      </c>
      <c r="O152" s="41"/>
      <c r="P152" s="41"/>
      <c r="Q152" s="41"/>
      <c r="R152" s="41"/>
      <c r="S152" s="41"/>
      <c r="T152" s="41"/>
      <c r="U152" s="41"/>
      <c r="V152" s="43" t="str">
        <f t="shared" si="8"/>
        <v/>
      </c>
      <c r="W152" s="44" t="str">
        <f ca="1">IF(COUNTA($A152,$D152:$M152,$O152:$U152)=0,"",IF($A152="","Item Code; ","")&amp;IF(AND($A152&lt;&gt;"",ISNA(MATCH($AC152,'PRODUCT DATA'!$D$2:$D$394,0))),"Item Code; ","")&amp;IF($M152="","Country; ","")&amp;IF(AND($M152&lt;&gt;"",NOT(OR(NOT(ISNA(MATCH(IF(UPPER($M152)="UK","GB",$M152),'PRODUCT DATA'!$A$2:$A$58,0))),NOT(ISNA(MATCH(IF(UPPER($M152)="UK","GB",$M152),'PRODUCT DATA'!$B$2:$B$58,0)))))),"Country; ","")&amp;IF(AND($A152&lt;&gt;"",$M152&lt;&gt;"",NOT(ISNA(MATCH($AC152,'PRODUCT DATA'!$D$2:$D$394,0))),OR(NOT(ISNA(MATCH(IF(UPPER($M152)="UK","GB",$M152),'PRODUCT DATA'!$A$2:$A$58,0))),NOT(ISNA(MATCH(IF(UPPER($M152)="UK","GB",$M152),'PRODUCT DATA'!$B$2:$B$58,0)))),NOT(IFERROR(COUNTIF(OFFSET('PRODUCT DATA'!$F$2,0,MATCH($AC152,'PRODUCT DATA'!$F$1:$NN$1,0)-1,114,1),$N152)&gt;0,FALSE()))),IF(UPPER(IFERROR(OFFSET('PRODUCT DATA'!$C$2,MATCH($N152,'PRODUCT DATA'!$B$2:$B$58,0)-1,0),""))="NO","Alcohol Restriction; ","Item Code / Country combination; "),"")&amp;IF($C152="","Quantity; ","")&amp;IF(AND($C152&lt;&gt;"",OR(NOT(ISNUMBER($C152)),$C152&lt;1,$C152&gt;999,MOD($C152,1)&lt;&gt;0)),"Quantity; ","")&amp;IF($D152="","Recipient Name; ","")&amp;IF(LEN($D152)&gt;35,"Recipient Name; ","")&amp;IF($E152="","Recipient Phone; ","")&amp;IF(AND($E152&lt;&gt;"",OR(LEN($E152)&lt;6,LEN($E152)&gt;20,NOT(IFERROR(ISNUMBER(1*$E152),FALSE())))),"Recipient Phone; ","")&amp;IF(LEN($F152)&gt;35,"Recipient Company Name; ","")&amp;IF($G152="","Address Line 1; ","")&amp;IF(LEN($G152)&gt;35,"Address Line 1; ","")&amp;IF(LEN($H152)&gt;35,"Address Line 2; ","")&amp;IF(LEN($I152)&gt;35,"Address Line 3; ","")&amp;IF($J152="","Town; ","")&amp;IF(LEN($J152)&gt;35,"Town; ","")&amp;IF(AND($N152="IE",$K152=""),"County; ","")&amp;IF(LEN($AB152)&gt;35,"County; ","")&amp;IF(AND($L152="",AND($N152&lt;&gt;"AE",$N152&lt;&gt;"QA")),"Postcode; ","")&amp;IF(LEN($L152)&gt;35,"Postcode; ","")&amp;IF($AE152&lt;&gt;"","Postcode; ","")&amp;IF(LEN($O152)&gt;40,"Gift Message 1; ","")&amp;IF(LEN($P152)&gt;40,"Gift Message 2; ","")&amp;IF(LEN($Q152)&gt;40,"Gift Message 3; ","")&amp;IF(LEN($R152)&gt;40,"Gift Message 4; ","")&amp;IF(LEN($S152)&gt;40,"Gift Message 5; ","")&amp;IF(LEN($T152)&gt;40,"Gift Message 6; ","")&amp;IF(LEN($U152)&gt;40,"Gift Message 7; ",""))</f>
        <v/>
      </c>
      <c r="X152" s="44" t="str">
        <f ca="1">IF(COUNTA($A152,$D152:$M152,$O152:$U152)=0,"",IF($A152="","Enter the Item Code (hamper) - type it, paste it, or choose it from the dropdown. ","")&amp;IF(AND($A152&lt;&gt;"",ISNA(MATCH($AC152,'PRODUCT DATA'!$D$2:$D$394,0))),"This Item Code is not recognised. Check the code (case does not matter, but spelling and digits must match exactly) or choose it from the dropdown. ","")&amp;IF($M152="","Enter the Country after the Item Code - type or paste the name or the 2-letter code, or choose it from the dropdown. ","")&amp;IF(AND($M152&lt;&gt;"",NOT(OR(NOT(ISNA(MATCH(IF(UPPER($M152)="UK","GB",$M152),'PRODUCT DATA'!$A$2:$A$58,0))),NOT(ISNA(MATCH(IF(UPPER($M152)="UK","GB",$M152),'PRODUCT DATA'!$B$2:$B$58,0)))))),"This Country is not recognised as either a full name or a 2-letter code. Check the spelling (case does not matter) or choose it from the dropdown. ","")&amp;IF(AND($A152&lt;&gt;"",$M152&lt;&gt;"",NOT(ISNA(MATCH($AC152,'PRODUCT DATA'!$D$2:$D$394,0))),OR(NOT(ISNA(MATCH(IF(UPPER($M152)="UK","GB",$M152),'PRODUCT DATA'!$A$2:$A$58,0))),NOT(ISNA(MATCH(IF(UPPER($M152)="UK","GB",$M152),'PRODUCT DATA'!$B$2:$B$58,0)))),NOT(IFERROR(COUNTIF(OFFSET('PRODUCT DATA'!$F$2,0,MATCH($AC152,'PRODUCT DATA'!$F$1:$NN$1,0)-1,114,1),$N152)&gt;0,FALSE()))),IF(UPPER(IFERROR(OFFSET('PRODUCT DATA'!$C$2,MATCH($N152,'PRODUCT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"),"")&amp;IF($C152="","Enter Quantity. ","")&amp;IF(AND($C152&lt;&gt;"",OR(NOT(ISNUMBER($C152)),$C152&lt;1,$C152&gt;999,MOD($C152,1)&lt;&gt;0)),"Quantity must be a whole number from 1 to 999 (use a quantity above 1 only for a genuine bulk order of identical items to ONE address — otherwise use a separate row per recipient). ","")&amp;IF($D152="","Enter Recipient Name. ","")&amp;IF(LEN($D152)&gt;35,"Recipient Name exceeds 35 characters. ","")&amp;IF($E152="","Enter Recipient Phone. ","")&amp;IF(AND($E152&lt;&gt;"",OR(LEN($E152)&lt;6,LEN($E152)&gt;20,NOT(IFERROR(ISNUMBER(1*$E152),FALSE())))),"Phone must be the LOCAL number for the destination country: digits only, no +, spaces, or country code, 6 to 20 digits. ","")&amp;IF(LEN($F152)&gt;35,"Recipient Company Name exceeds 35 characters. ","")&amp;IF($G152="","Enter Address Line 1. ","")&amp;IF(LEN($G152)&gt;35,"Address Line 1 exceeds the 35-character SAP limit. ","")&amp;IF(LEN($H152)&gt;35,"Address Line 2 exceeds the 35-character SAP limit. ","")&amp;IF(LEN($I152)&gt;35,"Address Line 3 exceeds the 35-character SAP limit. ","")&amp;IF($J152="","Enter Town. This must never be left blank, even if there is no conventional town name. ","")&amp;IF(LEN($J152)&gt;35,"Town exceeds 35 characters. ","")&amp;IF(AND($N152="IE",$K152=""),"County is required for deliveries within the Republic of Ireland. ","")&amp;IF(LEN($AB152)&gt;35,"County exceeds 35 characters. ","")&amp;IF(AND($L152="",AND($N152&lt;&gt;"AE",$N152&lt;&gt;"QA")),"Postcode is required for the selected country. If there is genuinely no postcode, enter the first 3 characters of the area (e.g. D15). ","")&amp;IF(LEN($L152)&gt;35,"Postcode exceeds 35 characters. ","")&amp;IF($AE152&lt;&gt;"",$AE152,"")&amp;IF(LEN($O152)&gt;40,"Gift Message Line 1 exceeds 40 characters. ","")&amp;IF(LEN($P152)&gt;40,"Gift Message Line 2 exceeds 40 characters. ","")&amp;IF(LEN($Q152)&gt;40,"Gift Message Line 3 exceeds 40 characters. ","")&amp;IF(LEN($R152)&gt;40,"Gift Message Line 4 exceeds 40 characters. ","")&amp;IF(LEN($S152)&gt;40,"Gift Message Line 5 exceeds 40 characters. ","")&amp;IF(LEN($T152)&gt;40,"Gift Message Line 6 exceeds 40 characters. ","")&amp;IF(LEN($U152)&gt;40,"Gift Message Line 7 exceeds 40 characters. ",""))</f>
        <v/>
      </c>
      <c r="Y152" s="44" t="str">
        <f t="shared" si="9"/>
        <v/>
      </c>
      <c r="Z152" s="44"/>
      <c r="AA152" s="44"/>
      <c r="AB152" s="32" t="str">
        <f t="shared" si="10"/>
        <v/>
      </c>
      <c r="AC152" s="32" t="str">
        <f>IF($A152="","",IFERROR(LEFT(INDEX('PRODUCT DATA'!$NO$2:$NO$25,MATCH($A152,'PRODUCT DATA'!$NP$2:$NP$25,0)),FIND("|",INDEX('PRODUCT DATA'!$NO$2:$NO$25,MATCH($A152,'PRODUCT DATA'!$NP$2:$NP$25,0)))-1),$A152))</f>
        <v/>
      </c>
      <c r="AD152" s="45"/>
      <c r="AE152" s="45" t="str">
        <f t="shared" si="11"/>
        <v/>
      </c>
    </row>
    <row r="153" spans="1:31" ht="15" customHeight="1" x14ac:dyDescent="0.25">
      <c r="A153" s="40"/>
      <c r="B153" s="43" t="str">
        <f>IF($A153="","",IFERROR(VLOOKUP($AC153,'PRODUCT DATA'!$NR$2:$NS$374,2,FALSE()),"UNKNOWN ITEM CODE - please check"))</f>
        <v/>
      </c>
      <c r="C153" s="39">
        <v>1</v>
      </c>
      <c r="D153" s="39"/>
      <c r="E153" s="40"/>
      <c r="F153" s="41"/>
      <c r="G153" s="39"/>
      <c r="H153" s="41"/>
      <c r="I153" s="41"/>
      <c r="J153" s="39"/>
      <c r="K153" s="41"/>
      <c r="L153" s="40"/>
      <c r="M153" s="40"/>
      <c r="N153" s="42" t="str">
        <f>IF($M153="","",IFERROR(INDEX('PRODUCT DATA'!$B$2:$B$58,MATCH(IF(UPPER($M153)="UK","GB",$M153),'PRODUCT DATA'!$B$2:$B$58,0)),IFERROR(INDEX('PRODUCT DATA'!$B$2:$B$58,MATCH(IF(UPPER($M153)="UK","GB",$M153),'PRODUCT DATA'!$A$2:$A$58,0)),"UNKNOWN COUNTRY - please check")))</f>
        <v/>
      </c>
      <c r="O153" s="41"/>
      <c r="P153" s="41"/>
      <c r="Q153" s="41"/>
      <c r="R153" s="41"/>
      <c r="S153" s="41"/>
      <c r="T153" s="41"/>
      <c r="U153" s="41"/>
      <c r="V153" s="43" t="str">
        <f t="shared" si="8"/>
        <v/>
      </c>
      <c r="W153" s="44" t="str">
        <f ca="1">IF(COUNTA($A153,$D153:$M153,$O153:$U153)=0,"",IF($A153="","Item Code; ","")&amp;IF(AND($A153&lt;&gt;"",ISNA(MATCH($AC153,'PRODUCT DATA'!$D$2:$D$394,0))),"Item Code; ","")&amp;IF($M153="","Country; ","")&amp;IF(AND($M153&lt;&gt;"",NOT(OR(NOT(ISNA(MATCH(IF(UPPER($M153)="UK","GB",$M153),'PRODUCT DATA'!$A$2:$A$58,0))),NOT(ISNA(MATCH(IF(UPPER($M153)="UK","GB",$M153),'PRODUCT DATA'!$B$2:$B$58,0)))))),"Country; ","")&amp;IF(AND($A153&lt;&gt;"",$M153&lt;&gt;"",NOT(ISNA(MATCH($AC153,'PRODUCT DATA'!$D$2:$D$394,0))),OR(NOT(ISNA(MATCH(IF(UPPER($M153)="UK","GB",$M153),'PRODUCT DATA'!$A$2:$A$58,0))),NOT(ISNA(MATCH(IF(UPPER($M153)="UK","GB",$M153),'PRODUCT DATA'!$B$2:$B$58,0)))),NOT(IFERROR(COUNTIF(OFFSET('PRODUCT DATA'!$F$2,0,MATCH($AC153,'PRODUCT DATA'!$F$1:$NN$1,0)-1,114,1),$N153)&gt;0,FALSE()))),IF(UPPER(IFERROR(OFFSET('PRODUCT DATA'!$C$2,MATCH($N153,'PRODUCT DATA'!$B$2:$B$58,0)-1,0),""))="NO","Alcohol Restriction; ","Item Code / Country combination; "),"")&amp;IF($C153="","Quantity; ","")&amp;IF(AND($C153&lt;&gt;"",OR(NOT(ISNUMBER($C153)),$C153&lt;1,$C153&gt;999,MOD($C153,1)&lt;&gt;0)),"Quantity; ","")&amp;IF($D153="","Recipient Name; ","")&amp;IF(LEN($D153)&gt;35,"Recipient Name; ","")&amp;IF($E153="","Recipient Phone; ","")&amp;IF(AND($E153&lt;&gt;"",OR(LEN($E153)&lt;6,LEN($E153)&gt;20,NOT(IFERROR(ISNUMBER(1*$E153),FALSE())))),"Recipient Phone; ","")&amp;IF(LEN($F153)&gt;35,"Recipient Company Name; ","")&amp;IF($G153="","Address Line 1; ","")&amp;IF(LEN($G153)&gt;35,"Address Line 1; ","")&amp;IF(LEN($H153)&gt;35,"Address Line 2; ","")&amp;IF(LEN($I153)&gt;35,"Address Line 3; ","")&amp;IF($J153="","Town; ","")&amp;IF(LEN($J153)&gt;35,"Town; ","")&amp;IF(AND($N153="IE",$K153=""),"County; ","")&amp;IF(LEN($AB153)&gt;35,"County; ","")&amp;IF(AND($L153="",AND($N153&lt;&gt;"AE",$N153&lt;&gt;"QA")),"Postcode; ","")&amp;IF(LEN($L153)&gt;35,"Postcode; ","")&amp;IF($AE153&lt;&gt;"","Postcode; ","")&amp;IF(LEN($O153)&gt;40,"Gift Message 1; ","")&amp;IF(LEN($P153)&gt;40,"Gift Message 2; ","")&amp;IF(LEN($Q153)&gt;40,"Gift Message 3; ","")&amp;IF(LEN($R153)&gt;40,"Gift Message 4; ","")&amp;IF(LEN($S153)&gt;40,"Gift Message 5; ","")&amp;IF(LEN($T153)&gt;40,"Gift Message 6; ","")&amp;IF(LEN($U153)&gt;40,"Gift Message 7; ",""))</f>
        <v/>
      </c>
      <c r="X153" s="44" t="str">
        <f ca="1">IF(COUNTA($A153,$D153:$M153,$O153:$U153)=0,"",IF($A153="","Enter the Item Code (hamper) - type it, paste it, or choose it from the dropdown. ","")&amp;IF(AND($A153&lt;&gt;"",ISNA(MATCH($AC153,'PRODUCT DATA'!$D$2:$D$394,0))),"This Item Code is not recognised. Check the code (case does not matter, but spelling and digits must match exactly) or choose it from the dropdown. ","")&amp;IF($M153="","Enter the Country after the Item Code - type or paste the name or the 2-letter code, or choose it from the dropdown. ","")&amp;IF(AND($M153&lt;&gt;"",NOT(OR(NOT(ISNA(MATCH(IF(UPPER($M153)="UK","GB",$M153),'PRODUCT DATA'!$A$2:$A$58,0))),NOT(ISNA(MATCH(IF(UPPER($M153)="UK","GB",$M153),'PRODUCT DATA'!$B$2:$B$58,0)))))),"This Country is not recognised as either a full name or a 2-letter code. Check the spelling (case does not matter) or choose it from the dropdown. ","")&amp;IF(AND($A153&lt;&gt;"",$M153&lt;&gt;"",NOT(ISNA(MATCH($AC153,'PRODUCT DATA'!$D$2:$D$394,0))),OR(NOT(ISNA(MATCH(IF(UPPER($M153)="UK","GB",$M153),'PRODUCT DATA'!$A$2:$A$58,0))),NOT(ISNA(MATCH(IF(UPPER($M153)="UK","GB",$M153),'PRODUCT DATA'!$B$2:$B$58,0)))),NOT(IFERROR(COUNTIF(OFFSET('PRODUCT DATA'!$F$2,0,MATCH($AC153,'PRODUCT DATA'!$F$1:$NN$1,0)-1,114,1),$N153)&gt;0,FALSE()))),IF(UPPER(IFERROR(OFFSET('PRODUCT DATA'!$C$2,MATCH($N153,'PRODUCT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"),"")&amp;IF($C153="","Enter Quantity. ","")&amp;IF(AND($C153&lt;&gt;"",OR(NOT(ISNUMBER($C153)),$C153&lt;1,$C153&gt;999,MOD($C153,1)&lt;&gt;0)),"Quantity must be a whole number from 1 to 999 (use a quantity above 1 only for a genuine bulk order of identical items to ONE address — otherwise use a separate row per recipient). ","")&amp;IF($D153="","Enter Recipient Name. ","")&amp;IF(LEN($D153)&gt;35,"Recipient Name exceeds 35 characters. ","")&amp;IF($E153="","Enter Recipient Phone. ","")&amp;IF(AND($E153&lt;&gt;"",OR(LEN($E153)&lt;6,LEN($E153)&gt;20,NOT(IFERROR(ISNUMBER(1*$E153),FALSE())))),"Phone must be the LOCAL number for the destination country: digits only, no +, spaces, or country code, 6 to 20 digits. ","")&amp;IF(LEN($F153)&gt;35,"Recipient Company Name exceeds 35 characters. ","")&amp;IF($G153="","Enter Address Line 1. ","")&amp;IF(LEN($G153)&gt;35,"Address Line 1 exceeds the 35-character SAP limit. ","")&amp;IF(LEN($H153)&gt;35,"Address Line 2 exceeds the 35-character SAP limit. ","")&amp;IF(LEN($I153)&gt;35,"Address Line 3 exceeds the 35-character SAP limit. ","")&amp;IF($J153="","Enter Town. This must never be left blank, even if there is no conventional town name. ","")&amp;IF(LEN($J153)&gt;35,"Town exceeds 35 characters. ","")&amp;IF(AND($N153="IE",$K153=""),"County is required for deliveries within the Republic of Ireland. ","")&amp;IF(LEN($AB153)&gt;35,"County exceeds 35 characters. ","")&amp;IF(AND($L153="",AND($N153&lt;&gt;"AE",$N153&lt;&gt;"QA")),"Postcode is required for the selected country. If there is genuinely no postcode, enter the first 3 characters of the area (e.g. D15). ","")&amp;IF(LEN($L153)&gt;35,"Postcode exceeds 35 characters. ","")&amp;IF($AE153&lt;&gt;"",$AE153,"")&amp;IF(LEN($O153)&gt;40,"Gift Message Line 1 exceeds 40 characters. ","")&amp;IF(LEN($P153)&gt;40,"Gift Message Line 2 exceeds 40 characters. ","")&amp;IF(LEN($Q153)&gt;40,"Gift Message Line 3 exceeds 40 characters. ","")&amp;IF(LEN($R153)&gt;40,"Gift Message Line 4 exceeds 40 characters. ","")&amp;IF(LEN($S153)&gt;40,"Gift Message Line 5 exceeds 40 characters. ","")&amp;IF(LEN($T153)&gt;40,"Gift Message Line 6 exceeds 40 characters. ","")&amp;IF(LEN($U153)&gt;40,"Gift Message Line 7 exceeds 40 characters. ",""))</f>
        <v/>
      </c>
      <c r="Y153" s="44" t="str">
        <f t="shared" si="9"/>
        <v/>
      </c>
      <c r="Z153" s="44"/>
      <c r="AA153" s="44"/>
      <c r="AB153" s="32" t="str">
        <f t="shared" si="10"/>
        <v/>
      </c>
      <c r="AC153" s="32" t="str">
        <f>IF($A153="","",IFERROR(LEFT(INDEX('PRODUCT DATA'!$NO$2:$NO$25,MATCH($A153,'PRODUCT DATA'!$NP$2:$NP$25,0)),FIND("|",INDEX('PRODUCT DATA'!$NO$2:$NO$25,MATCH($A153,'PRODUCT DATA'!$NP$2:$NP$25,0)))-1),$A153))</f>
        <v/>
      </c>
      <c r="AD153" s="45"/>
      <c r="AE153" s="45" t="str">
        <f t="shared" si="11"/>
        <v/>
      </c>
    </row>
    <row r="154" spans="1:31" ht="15" customHeight="1" x14ac:dyDescent="0.25">
      <c r="A154" s="40"/>
      <c r="B154" s="43" t="str">
        <f>IF($A154="","",IFERROR(VLOOKUP($AC154,'PRODUCT DATA'!$NR$2:$NS$374,2,FALSE()),"UNKNOWN ITEM CODE - please check"))</f>
        <v/>
      </c>
      <c r="C154" s="39">
        <v>1</v>
      </c>
      <c r="D154" s="39"/>
      <c r="E154" s="40"/>
      <c r="F154" s="41"/>
      <c r="G154" s="39"/>
      <c r="H154" s="41"/>
      <c r="I154" s="41"/>
      <c r="J154" s="39"/>
      <c r="K154" s="41"/>
      <c r="L154" s="40"/>
      <c r="M154" s="40"/>
      <c r="N154" s="42" t="str">
        <f>IF($M154="","",IFERROR(INDEX('PRODUCT DATA'!$B$2:$B$58,MATCH(IF(UPPER($M154)="UK","GB",$M154),'PRODUCT DATA'!$B$2:$B$58,0)),IFERROR(INDEX('PRODUCT DATA'!$B$2:$B$58,MATCH(IF(UPPER($M154)="UK","GB",$M154),'PRODUCT DATA'!$A$2:$A$58,0)),"UNKNOWN COUNTRY - please check")))</f>
        <v/>
      </c>
      <c r="O154" s="41"/>
      <c r="P154" s="41"/>
      <c r="Q154" s="41"/>
      <c r="R154" s="41"/>
      <c r="S154" s="41"/>
      <c r="T154" s="41"/>
      <c r="U154" s="41"/>
      <c r="V154" s="43" t="str">
        <f t="shared" si="8"/>
        <v/>
      </c>
      <c r="W154" s="44" t="str">
        <f ca="1">IF(COUNTA($A154,$D154:$M154,$O154:$U154)=0,"",IF($A154="","Item Code; ","")&amp;IF(AND($A154&lt;&gt;"",ISNA(MATCH($AC154,'PRODUCT DATA'!$D$2:$D$394,0))),"Item Code; ","")&amp;IF($M154="","Country; ","")&amp;IF(AND($M154&lt;&gt;"",NOT(OR(NOT(ISNA(MATCH(IF(UPPER($M154)="UK","GB",$M154),'PRODUCT DATA'!$A$2:$A$58,0))),NOT(ISNA(MATCH(IF(UPPER($M154)="UK","GB",$M154),'PRODUCT DATA'!$B$2:$B$58,0)))))),"Country; ","")&amp;IF(AND($A154&lt;&gt;"",$M154&lt;&gt;"",NOT(ISNA(MATCH($AC154,'PRODUCT DATA'!$D$2:$D$394,0))),OR(NOT(ISNA(MATCH(IF(UPPER($M154)="UK","GB",$M154),'PRODUCT DATA'!$A$2:$A$58,0))),NOT(ISNA(MATCH(IF(UPPER($M154)="UK","GB",$M154),'PRODUCT DATA'!$B$2:$B$58,0)))),NOT(IFERROR(COUNTIF(OFFSET('PRODUCT DATA'!$F$2,0,MATCH($AC154,'PRODUCT DATA'!$F$1:$NN$1,0)-1,114,1),$N154)&gt;0,FALSE()))),IF(UPPER(IFERROR(OFFSET('PRODUCT DATA'!$C$2,MATCH($N154,'PRODUCT DATA'!$B$2:$B$58,0)-1,0),""))="NO","Alcohol Restriction; ","Item Code / Country combination; "),"")&amp;IF($C154="","Quantity; ","")&amp;IF(AND($C154&lt;&gt;"",OR(NOT(ISNUMBER($C154)),$C154&lt;1,$C154&gt;999,MOD($C154,1)&lt;&gt;0)),"Quantity; ","")&amp;IF($D154="","Recipient Name; ","")&amp;IF(LEN($D154)&gt;35,"Recipient Name; ","")&amp;IF($E154="","Recipient Phone; ","")&amp;IF(AND($E154&lt;&gt;"",OR(LEN($E154)&lt;6,LEN($E154)&gt;20,NOT(IFERROR(ISNUMBER(1*$E154),FALSE())))),"Recipient Phone; ","")&amp;IF(LEN($F154)&gt;35,"Recipient Company Name; ","")&amp;IF($G154="","Address Line 1; ","")&amp;IF(LEN($G154)&gt;35,"Address Line 1; ","")&amp;IF(LEN($H154)&gt;35,"Address Line 2; ","")&amp;IF(LEN($I154)&gt;35,"Address Line 3; ","")&amp;IF($J154="","Town; ","")&amp;IF(LEN($J154)&gt;35,"Town; ","")&amp;IF(AND($N154="IE",$K154=""),"County; ","")&amp;IF(LEN($AB154)&gt;35,"County; ","")&amp;IF(AND($L154="",AND($N154&lt;&gt;"AE",$N154&lt;&gt;"QA")),"Postcode; ","")&amp;IF(LEN($L154)&gt;35,"Postcode; ","")&amp;IF($AE154&lt;&gt;"","Postcode; ","")&amp;IF(LEN($O154)&gt;40,"Gift Message 1; ","")&amp;IF(LEN($P154)&gt;40,"Gift Message 2; ","")&amp;IF(LEN($Q154)&gt;40,"Gift Message 3; ","")&amp;IF(LEN($R154)&gt;40,"Gift Message 4; ","")&amp;IF(LEN($S154)&gt;40,"Gift Message 5; ","")&amp;IF(LEN($T154)&gt;40,"Gift Message 6; ","")&amp;IF(LEN($U154)&gt;40,"Gift Message 7; ",""))</f>
        <v/>
      </c>
      <c r="X154" s="44" t="str">
        <f ca="1">IF(COUNTA($A154,$D154:$M154,$O154:$U154)=0,"",IF($A154="","Enter the Item Code (hamper) - type it, paste it, or choose it from the dropdown. ","")&amp;IF(AND($A154&lt;&gt;"",ISNA(MATCH($AC154,'PRODUCT DATA'!$D$2:$D$394,0))),"This Item Code is not recognised. Check the code (case does not matter, but spelling and digits must match exactly) or choose it from the dropdown. ","")&amp;IF($M154="","Enter the Country after the Item Code - type or paste the name or the 2-letter code, or choose it from the dropdown. ","")&amp;IF(AND($M154&lt;&gt;"",NOT(OR(NOT(ISNA(MATCH(IF(UPPER($M154)="UK","GB",$M154),'PRODUCT DATA'!$A$2:$A$58,0))),NOT(ISNA(MATCH(IF(UPPER($M154)="UK","GB",$M154),'PRODUCT DATA'!$B$2:$B$58,0)))))),"This Country is not recognised as either a full name or a 2-letter code. Check the spelling (case does not matter) or choose it from the dropdown. ","")&amp;IF(AND($A154&lt;&gt;"",$M154&lt;&gt;"",NOT(ISNA(MATCH($AC154,'PRODUCT DATA'!$D$2:$D$394,0))),OR(NOT(ISNA(MATCH(IF(UPPER($M154)="UK","GB",$M154),'PRODUCT DATA'!$A$2:$A$58,0))),NOT(ISNA(MATCH(IF(UPPER($M154)="UK","GB",$M154),'PRODUCT DATA'!$B$2:$B$58,0)))),NOT(IFERROR(COUNTIF(OFFSET('PRODUCT DATA'!$F$2,0,MATCH($AC154,'PRODUCT DATA'!$F$1:$NN$1,0)-1,114,1),$N154)&gt;0,FALSE()))),IF(UPPER(IFERROR(OFFSET('PRODUCT DATA'!$C$2,MATCH($N154,'PRODUCT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"),"")&amp;IF($C154="","Enter Quantity. ","")&amp;IF(AND($C154&lt;&gt;"",OR(NOT(ISNUMBER($C154)),$C154&lt;1,$C154&gt;999,MOD($C154,1)&lt;&gt;0)),"Quantity must be a whole number from 1 to 999 (use a quantity above 1 only for a genuine bulk order of identical items to ONE address — otherwise use a separate row per recipient). ","")&amp;IF($D154="","Enter Recipient Name. ","")&amp;IF(LEN($D154)&gt;35,"Recipient Name exceeds 35 characters. ","")&amp;IF($E154="","Enter Recipient Phone. ","")&amp;IF(AND($E154&lt;&gt;"",OR(LEN($E154)&lt;6,LEN($E154)&gt;20,NOT(IFERROR(ISNUMBER(1*$E154),FALSE())))),"Phone must be the LOCAL number for the destination country: digits only, no +, spaces, or country code, 6 to 20 digits. ","")&amp;IF(LEN($F154)&gt;35,"Recipient Company Name exceeds 35 characters. ","")&amp;IF($G154="","Enter Address Line 1. ","")&amp;IF(LEN($G154)&gt;35,"Address Line 1 exceeds the 35-character SAP limit. ","")&amp;IF(LEN($H154)&gt;35,"Address Line 2 exceeds the 35-character SAP limit. ","")&amp;IF(LEN($I154)&gt;35,"Address Line 3 exceeds the 35-character SAP limit. ","")&amp;IF($J154="","Enter Town. This must never be left blank, even if there is no conventional town name. ","")&amp;IF(LEN($J154)&gt;35,"Town exceeds 35 characters. ","")&amp;IF(AND($N154="IE",$K154=""),"County is required for deliveries within the Republic of Ireland. ","")&amp;IF(LEN($AB154)&gt;35,"County exceeds 35 characters. ","")&amp;IF(AND($L154="",AND($N154&lt;&gt;"AE",$N154&lt;&gt;"QA")),"Postcode is required for the selected country. If there is genuinely no postcode, enter the first 3 characters of the area (e.g. D15). ","")&amp;IF(LEN($L154)&gt;35,"Postcode exceeds 35 characters. ","")&amp;IF($AE154&lt;&gt;"",$AE154,"")&amp;IF(LEN($O154)&gt;40,"Gift Message Line 1 exceeds 40 characters. ","")&amp;IF(LEN($P154)&gt;40,"Gift Message Line 2 exceeds 40 characters. ","")&amp;IF(LEN($Q154)&gt;40,"Gift Message Line 3 exceeds 40 characters. ","")&amp;IF(LEN($R154)&gt;40,"Gift Message Line 4 exceeds 40 characters. ","")&amp;IF(LEN($S154)&gt;40,"Gift Message Line 5 exceeds 40 characters. ","")&amp;IF(LEN($T154)&gt;40,"Gift Message Line 6 exceeds 40 characters. ","")&amp;IF(LEN($U154)&gt;40,"Gift Message Line 7 exceeds 40 characters. ",""))</f>
        <v/>
      </c>
      <c r="Y154" s="44" t="str">
        <f t="shared" si="9"/>
        <v/>
      </c>
      <c r="Z154" s="44"/>
      <c r="AA154" s="44"/>
      <c r="AB154" s="32" t="str">
        <f t="shared" si="10"/>
        <v/>
      </c>
      <c r="AC154" s="32" t="str">
        <f>IF($A154="","",IFERROR(LEFT(INDEX('PRODUCT DATA'!$NO$2:$NO$25,MATCH($A154,'PRODUCT DATA'!$NP$2:$NP$25,0)),FIND("|",INDEX('PRODUCT DATA'!$NO$2:$NO$25,MATCH($A154,'PRODUCT DATA'!$NP$2:$NP$25,0)))-1),$A154))</f>
        <v/>
      </c>
      <c r="AD154" s="45"/>
      <c r="AE154" s="45" t="str">
        <f t="shared" si="11"/>
        <v/>
      </c>
    </row>
    <row r="155" spans="1:31" ht="15" customHeight="1" x14ac:dyDescent="0.25">
      <c r="A155" s="40"/>
      <c r="B155" s="43" t="str">
        <f>IF($A155="","",IFERROR(VLOOKUP($AC155,'PRODUCT DATA'!$NR$2:$NS$374,2,FALSE()),"UNKNOWN ITEM CODE - please check"))</f>
        <v/>
      </c>
      <c r="C155" s="39">
        <v>1</v>
      </c>
      <c r="D155" s="39"/>
      <c r="E155" s="40"/>
      <c r="F155" s="41"/>
      <c r="G155" s="39"/>
      <c r="H155" s="41"/>
      <c r="I155" s="41"/>
      <c r="J155" s="39"/>
      <c r="K155" s="41"/>
      <c r="L155" s="40"/>
      <c r="M155" s="40"/>
      <c r="N155" s="42" t="str">
        <f>IF($M155="","",IFERROR(INDEX('PRODUCT DATA'!$B$2:$B$58,MATCH(IF(UPPER($M155)="UK","GB",$M155),'PRODUCT DATA'!$B$2:$B$58,0)),IFERROR(INDEX('PRODUCT DATA'!$B$2:$B$58,MATCH(IF(UPPER($M155)="UK","GB",$M155),'PRODUCT DATA'!$A$2:$A$58,0)),"UNKNOWN COUNTRY - please check")))</f>
        <v/>
      </c>
      <c r="O155" s="41"/>
      <c r="P155" s="41"/>
      <c r="Q155" s="41"/>
      <c r="R155" s="41"/>
      <c r="S155" s="41"/>
      <c r="T155" s="41"/>
      <c r="U155" s="41"/>
      <c r="V155" s="43" t="str">
        <f t="shared" si="8"/>
        <v/>
      </c>
      <c r="W155" s="44" t="str">
        <f ca="1">IF(COUNTA($A155,$D155:$M155,$O155:$U155)=0,"",IF($A155="","Item Code; ","")&amp;IF(AND($A155&lt;&gt;"",ISNA(MATCH($AC155,'PRODUCT DATA'!$D$2:$D$394,0))),"Item Code; ","")&amp;IF($M155="","Country; ","")&amp;IF(AND($M155&lt;&gt;"",NOT(OR(NOT(ISNA(MATCH(IF(UPPER($M155)="UK","GB",$M155),'PRODUCT DATA'!$A$2:$A$58,0))),NOT(ISNA(MATCH(IF(UPPER($M155)="UK","GB",$M155),'PRODUCT DATA'!$B$2:$B$58,0)))))),"Country; ","")&amp;IF(AND($A155&lt;&gt;"",$M155&lt;&gt;"",NOT(ISNA(MATCH($AC155,'PRODUCT DATA'!$D$2:$D$394,0))),OR(NOT(ISNA(MATCH(IF(UPPER($M155)="UK","GB",$M155),'PRODUCT DATA'!$A$2:$A$58,0))),NOT(ISNA(MATCH(IF(UPPER($M155)="UK","GB",$M155),'PRODUCT DATA'!$B$2:$B$58,0)))),NOT(IFERROR(COUNTIF(OFFSET('PRODUCT DATA'!$F$2,0,MATCH($AC155,'PRODUCT DATA'!$F$1:$NN$1,0)-1,114,1),$N155)&gt;0,FALSE()))),IF(UPPER(IFERROR(OFFSET('PRODUCT DATA'!$C$2,MATCH($N155,'PRODUCT DATA'!$B$2:$B$58,0)-1,0),""))="NO","Alcohol Restriction; ","Item Code / Country combination; "),"")&amp;IF($C155="","Quantity; ","")&amp;IF(AND($C155&lt;&gt;"",OR(NOT(ISNUMBER($C155)),$C155&lt;1,$C155&gt;999,MOD($C155,1)&lt;&gt;0)),"Quantity; ","")&amp;IF($D155="","Recipient Name; ","")&amp;IF(LEN($D155)&gt;35,"Recipient Name; ","")&amp;IF($E155="","Recipient Phone; ","")&amp;IF(AND($E155&lt;&gt;"",OR(LEN($E155)&lt;6,LEN($E155)&gt;20,NOT(IFERROR(ISNUMBER(1*$E155),FALSE())))),"Recipient Phone; ","")&amp;IF(LEN($F155)&gt;35,"Recipient Company Name; ","")&amp;IF($G155="","Address Line 1; ","")&amp;IF(LEN($G155)&gt;35,"Address Line 1; ","")&amp;IF(LEN($H155)&gt;35,"Address Line 2; ","")&amp;IF(LEN($I155)&gt;35,"Address Line 3; ","")&amp;IF($J155="","Town; ","")&amp;IF(LEN($J155)&gt;35,"Town; ","")&amp;IF(AND($N155="IE",$K155=""),"County; ","")&amp;IF(LEN($AB155)&gt;35,"County; ","")&amp;IF(AND($L155="",AND($N155&lt;&gt;"AE",$N155&lt;&gt;"QA")),"Postcode; ","")&amp;IF(LEN($L155)&gt;35,"Postcode; ","")&amp;IF($AE155&lt;&gt;"","Postcode; ","")&amp;IF(LEN($O155)&gt;40,"Gift Message 1; ","")&amp;IF(LEN($P155)&gt;40,"Gift Message 2; ","")&amp;IF(LEN($Q155)&gt;40,"Gift Message 3; ","")&amp;IF(LEN($R155)&gt;40,"Gift Message 4; ","")&amp;IF(LEN($S155)&gt;40,"Gift Message 5; ","")&amp;IF(LEN($T155)&gt;40,"Gift Message 6; ","")&amp;IF(LEN($U155)&gt;40,"Gift Message 7; ",""))</f>
        <v/>
      </c>
      <c r="X155" s="44" t="str">
        <f ca="1">IF(COUNTA($A155,$D155:$M155,$O155:$U155)=0,"",IF($A155="","Enter the Item Code (hamper) - type it, paste it, or choose it from the dropdown. ","")&amp;IF(AND($A155&lt;&gt;"",ISNA(MATCH($AC155,'PRODUCT DATA'!$D$2:$D$394,0))),"This Item Code is not recognised. Check the code (case does not matter, but spelling and digits must match exactly) or choose it from the dropdown. ","")&amp;IF($M155="","Enter the Country after the Item Code - type or paste the name or the 2-letter code, or choose it from the dropdown. ","")&amp;IF(AND($M155&lt;&gt;"",NOT(OR(NOT(ISNA(MATCH(IF(UPPER($M155)="UK","GB",$M155),'PRODUCT DATA'!$A$2:$A$58,0))),NOT(ISNA(MATCH(IF(UPPER($M155)="UK","GB",$M155),'PRODUCT DATA'!$B$2:$B$58,0)))))),"This Country is not recognised as either a full name or a 2-letter code. Check the spelling (case does not matter) or choose it from the dropdown. ","")&amp;IF(AND($A155&lt;&gt;"",$M155&lt;&gt;"",NOT(ISNA(MATCH($AC155,'PRODUCT DATA'!$D$2:$D$394,0))),OR(NOT(ISNA(MATCH(IF(UPPER($M155)="UK","GB",$M155),'PRODUCT DATA'!$A$2:$A$58,0))),NOT(ISNA(MATCH(IF(UPPER($M155)="UK","GB",$M155),'PRODUCT DATA'!$B$2:$B$58,0)))),NOT(IFERROR(COUNTIF(OFFSET('PRODUCT DATA'!$F$2,0,MATCH($AC155,'PRODUCT DATA'!$F$1:$NN$1,0)-1,114,1),$N155)&gt;0,FALSE()))),IF(UPPER(IFERROR(OFFSET('PRODUCT DATA'!$C$2,MATCH($N155,'PRODUCT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"),"")&amp;IF($C155="","Enter Quantity. ","")&amp;IF(AND($C155&lt;&gt;"",OR(NOT(ISNUMBER($C155)),$C155&lt;1,$C155&gt;999,MOD($C155,1)&lt;&gt;0)),"Quantity must be a whole number from 1 to 999 (use a quantity above 1 only for a genuine bulk order of identical items to ONE address — otherwise use a separate row per recipient). ","")&amp;IF($D155="","Enter Recipient Name. ","")&amp;IF(LEN($D155)&gt;35,"Recipient Name exceeds 35 characters. ","")&amp;IF($E155="","Enter Recipient Phone. ","")&amp;IF(AND($E155&lt;&gt;"",OR(LEN($E155)&lt;6,LEN($E155)&gt;20,NOT(IFERROR(ISNUMBER(1*$E155),FALSE())))),"Phone must be the LOCAL number for the destination country: digits only, no +, spaces, or country code, 6 to 20 digits. ","")&amp;IF(LEN($F155)&gt;35,"Recipient Company Name exceeds 35 characters. ","")&amp;IF($G155="","Enter Address Line 1. ","")&amp;IF(LEN($G155)&gt;35,"Address Line 1 exceeds the 35-character SAP limit. ","")&amp;IF(LEN($H155)&gt;35,"Address Line 2 exceeds the 35-character SAP limit. ","")&amp;IF(LEN($I155)&gt;35,"Address Line 3 exceeds the 35-character SAP limit. ","")&amp;IF($J155="","Enter Town. This must never be left blank, even if there is no conventional town name. ","")&amp;IF(LEN($J155)&gt;35,"Town exceeds 35 characters. ","")&amp;IF(AND($N155="IE",$K155=""),"County is required for deliveries within the Republic of Ireland. ","")&amp;IF(LEN($AB155)&gt;35,"County exceeds 35 characters. ","")&amp;IF(AND($L155="",AND($N155&lt;&gt;"AE",$N155&lt;&gt;"QA")),"Postcode is required for the selected country. If there is genuinely no postcode, enter the first 3 characters of the area (e.g. D15). ","")&amp;IF(LEN($L155)&gt;35,"Postcode exceeds 35 characters. ","")&amp;IF($AE155&lt;&gt;"",$AE155,"")&amp;IF(LEN($O155)&gt;40,"Gift Message Line 1 exceeds 40 characters. ","")&amp;IF(LEN($P155)&gt;40,"Gift Message Line 2 exceeds 40 characters. ","")&amp;IF(LEN($Q155)&gt;40,"Gift Message Line 3 exceeds 40 characters. ","")&amp;IF(LEN($R155)&gt;40,"Gift Message Line 4 exceeds 40 characters. ","")&amp;IF(LEN($S155)&gt;40,"Gift Message Line 5 exceeds 40 characters. ","")&amp;IF(LEN($T155)&gt;40,"Gift Message Line 6 exceeds 40 characters. ","")&amp;IF(LEN($U155)&gt;40,"Gift Message Line 7 exceeds 40 characters. ",""))</f>
        <v/>
      </c>
      <c r="Y155" s="44" t="str">
        <f t="shared" si="9"/>
        <v/>
      </c>
      <c r="Z155" s="44"/>
      <c r="AA155" s="44"/>
      <c r="AB155" s="32" t="str">
        <f t="shared" si="10"/>
        <v/>
      </c>
      <c r="AC155" s="32" t="str">
        <f>IF($A155="","",IFERROR(LEFT(INDEX('PRODUCT DATA'!$NO$2:$NO$25,MATCH($A155,'PRODUCT DATA'!$NP$2:$NP$25,0)),FIND("|",INDEX('PRODUCT DATA'!$NO$2:$NO$25,MATCH($A155,'PRODUCT DATA'!$NP$2:$NP$25,0)))-1),$A155))</f>
        <v/>
      </c>
      <c r="AD155" s="45"/>
      <c r="AE155" s="45" t="str">
        <f t="shared" si="11"/>
        <v/>
      </c>
    </row>
    <row r="156" spans="1:31" ht="15" customHeight="1" x14ac:dyDescent="0.25">
      <c r="A156" s="40"/>
      <c r="B156" s="43" t="str">
        <f>IF($A156="","",IFERROR(VLOOKUP($AC156,'PRODUCT DATA'!$NR$2:$NS$374,2,FALSE()),"UNKNOWN ITEM CODE - please check"))</f>
        <v/>
      </c>
      <c r="C156" s="39">
        <v>1</v>
      </c>
      <c r="D156" s="39"/>
      <c r="E156" s="40"/>
      <c r="F156" s="41"/>
      <c r="G156" s="39"/>
      <c r="H156" s="41"/>
      <c r="I156" s="41"/>
      <c r="J156" s="39"/>
      <c r="K156" s="41"/>
      <c r="L156" s="40"/>
      <c r="M156" s="40"/>
      <c r="N156" s="42" t="str">
        <f>IF($M156="","",IFERROR(INDEX('PRODUCT DATA'!$B$2:$B$58,MATCH(IF(UPPER($M156)="UK","GB",$M156),'PRODUCT DATA'!$B$2:$B$58,0)),IFERROR(INDEX('PRODUCT DATA'!$B$2:$B$58,MATCH(IF(UPPER($M156)="UK","GB",$M156),'PRODUCT DATA'!$A$2:$A$58,0)),"UNKNOWN COUNTRY - please check")))</f>
        <v/>
      </c>
      <c r="O156" s="41"/>
      <c r="P156" s="41"/>
      <c r="Q156" s="41"/>
      <c r="R156" s="41"/>
      <c r="S156" s="41"/>
      <c r="T156" s="41"/>
      <c r="U156" s="41"/>
      <c r="V156" s="43" t="str">
        <f t="shared" si="8"/>
        <v/>
      </c>
      <c r="W156" s="44" t="str">
        <f ca="1">IF(COUNTA($A156,$D156:$M156,$O156:$U156)=0,"",IF($A156="","Item Code; ","")&amp;IF(AND($A156&lt;&gt;"",ISNA(MATCH($AC156,'PRODUCT DATA'!$D$2:$D$394,0))),"Item Code; ","")&amp;IF($M156="","Country; ","")&amp;IF(AND($M156&lt;&gt;"",NOT(OR(NOT(ISNA(MATCH(IF(UPPER($M156)="UK","GB",$M156),'PRODUCT DATA'!$A$2:$A$58,0))),NOT(ISNA(MATCH(IF(UPPER($M156)="UK","GB",$M156),'PRODUCT DATA'!$B$2:$B$58,0)))))),"Country; ","")&amp;IF(AND($A156&lt;&gt;"",$M156&lt;&gt;"",NOT(ISNA(MATCH($AC156,'PRODUCT DATA'!$D$2:$D$394,0))),OR(NOT(ISNA(MATCH(IF(UPPER($M156)="UK","GB",$M156),'PRODUCT DATA'!$A$2:$A$58,0))),NOT(ISNA(MATCH(IF(UPPER($M156)="UK","GB",$M156),'PRODUCT DATA'!$B$2:$B$58,0)))),NOT(IFERROR(COUNTIF(OFFSET('PRODUCT DATA'!$F$2,0,MATCH($AC156,'PRODUCT DATA'!$F$1:$NN$1,0)-1,114,1),$N156)&gt;0,FALSE()))),IF(UPPER(IFERROR(OFFSET('PRODUCT DATA'!$C$2,MATCH($N156,'PRODUCT DATA'!$B$2:$B$58,0)-1,0),""))="NO","Alcohol Restriction; ","Item Code / Country combination; "),"")&amp;IF($C156="","Quantity; ","")&amp;IF(AND($C156&lt;&gt;"",OR(NOT(ISNUMBER($C156)),$C156&lt;1,$C156&gt;999,MOD($C156,1)&lt;&gt;0)),"Quantity; ","")&amp;IF($D156="","Recipient Name; ","")&amp;IF(LEN($D156)&gt;35,"Recipient Name; ","")&amp;IF($E156="","Recipient Phone; ","")&amp;IF(AND($E156&lt;&gt;"",OR(LEN($E156)&lt;6,LEN($E156)&gt;20,NOT(IFERROR(ISNUMBER(1*$E156),FALSE())))),"Recipient Phone; ","")&amp;IF(LEN($F156)&gt;35,"Recipient Company Name; ","")&amp;IF($G156="","Address Line 1; ","")&amp;IF(LEN($G156)&gt;35,"Address Line 1; ","")&amp;IF(LEN($H156)&gt;35,"Address Line 2; ","")&amp;IF(LEN($I156)&gt;35,"Address Line 3; ","")&amp;IF($J156="","Town; ","")&amp;IF(LEN($J156)&gt;35,"Town; ","")&amp;IF(AND($N156="IE",$K156=""),"County; ","")&amp;IF(LEN($AB156)&gt;35,"County; ","")&amp;IF(AND($L156="",AND($N156&lt;&gt;"AE",$N156&lt;&gt;"QA")),"Postcode; ","")&amp;IF(LEN($L156)&gt;35,"Postcode; ","")&amp;IF($AE156&lt;&gt;"","Postcode; ","")&amp;IF(LEN($O156)&gt;40,"Gift Message 1; ","")&amp;IF(LEN($P156)&gt;40,"Gift Message 2; ","")&amp;IF(LEN($Q156)&gt;40,"Gift Message 3; ","")&amp;IF(LEN($R156)&gt;40,"Gift Message 4; ","")&amp;IF(LEN($S156)&gt;40,"Gift Message 5; ","")&amp;IF(LEN($T156)&gt;40,"Gift Message 6; ","")&amp;IF(LEN($U156)&gt;40,"Gift Message 7; ",""))</f>
        <v/>
      </c>
      <c r="X156" s="44" t="str">
        <f ca="1">IF(COUNTA($A156,$D156:$M156,$O156:$U156)=0,"",IF($A156="","Enter the Item Code (hamper) - type it, paste it, or choose it from the dropdown. ","")&amp;IF(AND($A156&lt;&gt;"",ISNA(MATCH($AC156,'PRODUCT DATA'!$D$2:$D$394,0))),"This Item Code is not recognised. Check the code (case does not matter, but spelling and digits must match exactly) or choose it from the dropdown. ","")&amp;IF($M156="","Enter the Country after the Item Code - type or paste the name or the 2-letter code, or choose it from the dropdown. ","")&amp;IF(AND($M156&lt;&gt;"",NOT(OR(NOT(ISNA(MATCH(IF(UPPER($M156)="UK","GB",$M156),'PRODUCT DATA'!$A$2:$A$58,0))),NOT(ISNA(MATCH(IF(UPPER($M156)="UK","GB",$M156),'PRODUCT DATA'!$B$2:$B$58,0)))))),"This Country is not recognised as either a full name or a 2-letter code. Check the spelling (case does not matter) or choose it from the dropdown. ","")&amp;IF(AND($A156&lt;&gt;"",$M156&lt;&gt;"",NOT(ISNA(MATCH($AC156,'PRODUCT DATA'!$D$2:$D$394,0))),OR(NOT(ISNA(MATCH(IF(UPPER($M156)="UK","GB",$M156),'PRODUCT DATA'!$A$2:$A$58,0))),NOT(ISNA(MATCH(IF(UPPER($M156)="UK","GB",$M156),'PRODUCT DATA'!$B$2:$B$58,0)))),NOT(IFERROR(COUNTIF(OFFSET('PRODUCT DATA'!$F$2,0,MATCH($AC156,'PRODUCT DATA'!$F$1:$NN$1,0)-1,114,1),$N156)&gt;0,FALSE()))),IF(UPPER(IFERROR(OFFSET('PRODUCT DATA'!$C$2,MATCH($N156,'PRODUCT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"),"")&amp;IF($C156="","Enter Quantity. ","")&amp;IF(AND($C156&lt;&gt;"",OR(NOT(ISNUMBER($C156)),$C156&lt;1,$C156&gt;999,MOD($C156,1)&lt;&gt;0)),"Quantity must be a whole number from 1 to 999 (use a quantity above 1 only for a genuine bulk order of identical items to ONE address — otherwise use a separate row per recipient). ","")&amp;IF($D156="","Enter Recipient Name. ","")&amp;IF(LEN($D156)&gt;35,"Recipient Name exceeds 35 characters. ","")&amp;IF($E156="","Enter Recipient Phone. ","")&amp;IF(AND($E156&lt;&gt;"",OR(LEN($E156)&lt;6,LEN($E156)&gt;20,NOT(IFERROR(ISNUMBER(1*$E156),FALSE())))),"Phone must be the LOCAL number for the destination country: digits only, no +, spaces, or country code, 6 to 20 digits. ","")&amp;IF(LEN($F156)&gt;35,"Recipient Company Name exceeds 35 characters. ","")&amp;IF($G156="","Enter Address Line 1. ","")&amp;IF(LEN($G156)&gt;35,"Address Line 1 exceeds the 35-character SAP limit. ","")&amp;IF(LEN($H156)&gt;35,"Address Line 2 exceeds the 35-character SAP limit. ","")&amp;IF(LEN($I156)&gt;35,"Address Line 3 exceeds the 35-character SAP limit. ","")&amp;IF($J156="","Enter Town. This must never be left blank, even if there is no conventional town name. ","")&amp;IF(LEN($J156)&gt;35,"Town exceeds 35 characters. ","")&amp;IF(AND($N156="IE",$K156=""),"County is required for deliveries within the Republic of Ireland. ","")&amp;IF(LEN($AB156)&gt;35,"County exceeds 35 characters. ","")&amp;IF(AND($L156="",AND($N156&lt;&gt;"AE",$N156&lt;&gt;"QA")),"Postcode is required for the selected country. If there is genuinely no postcode, enter the first 3 characters of the area (e.g. D15). ","")&amp;IF(LEN($L156)&gt;35,"Postcode exceeds 35 characters. ","")&amp;IF($AE156&lt;&gt;"",$AE156,"")&amp;IF(LEN($O156)&gt;40,"Gift Message Line 1 exceeds 40 characters. ","")&amp;IF(LEN($P156)&gt;40,"Gift Message Line 2 exceeds 40 characters. ","")&amp;IF(LEN($Q156)&gt;40,"Gift Message Line 3 exceeds 40 characters. ","")&amp;IF(LEN($R156)&gt;40,"Gift Message Line 4 exceeds 40 characters. ","")&amp;IF(LEN($S156)&gt;40,"Gift Message Line 5 exceeds 40 characters. ","")&amp;IF(LEN($T156)&gt;40,"Gift Message Line 6 exceeds 40 characters. ","")&amp;IF(LEN($U156)&gt;40,"Gift Message Line 7 exceeds 40 characters. ",""))</f>
        <v/>
      </c>
      <c r="Y156" s="44" t="str">
        <f t="shared" si="9"/>
        <v/>
      </c>
      <c r="Z156" s="44"/>
      <c r="AA156" s="44"/>
      <c r="AB156" s="32" t="str">
        <f t="shared" si="10"/>
        <v/>
      </c>
      <c r="AC156" s="32" t="str">
        <f>IF($A156="","",IFERROR(LEFT(INDEX('PRODUCT DATA'!$NO$2:$NO$25,MATCH($A156,'PRODUCT DATA'!$NP$2:$NP$25,0)),FIND("|",INDEX('PRODUCT DATA'!$NO$2:$NO$25,MATCH($A156,'PRODUCT DATA'!$NP$2:$NP$25,0)))-1),$A156))</f>
        <v/>
      </c>
      <c r="AD156" s="45"/>
      <c r="AE156" s="45" t="str">
        <f t="shared" si="11"/>
        <v/>
      </c>
    </row>
    <row r="157" spans="1:31" ht="15" customHeight="1" x14ac:dyDescent="0.25">
      <c r="A157" s="40"/>
      <c r="B157" s="43" t="str">
        <f>IF($A157="","",IFERROR(VLOOKUP($AC157,'PRODUCT DATA'!$NR$2:$NS$374,2,FALSE()),"UNKNOWN ITEM CODE - please check"))</f>
        <v/>
      </c>
      <c r="C157" s="39">
        <v>1</v>
      </c>
      <c r="D157" s="39"/>
      <c r="E157" s="40"/>
      <c r="F157" s="41"/>
      <c r="G157" s="39"/>
      <c r="H157" s="41"/>
      <c r="I157" s="41"/>
      <c r="J157" s="39"/>
      <c r="K157" s="41"/>
      <c r="L157" s="40"/>
      <c r="M157" s="40"/>
      <c r="N157" s="42" t="str">
        <f>IF($M157="","",IFERROR(INDEX('PRODUCT DATA'!$B$2:$B$58,MATCH(IF(UPPER($M157)="UK","GB",$M157),'PRODUCT DATA'!$B$2:$B$58,0)),IFERROR(INDEX('PRODUCT DATA'!$B$2:$B$58,MATCH(IF(UPPER($M157)="UK","GB",$M157),'PRODUCT DATA'!$A$2:$A$58,0)),"UNKNOWN COUNTRY - please check")))</f>
        <v/>
      </c>
      <c r="O157" s="41"/>
      <c r="P157" s="41"/>
      <c r="Q157" s="41"/>
      <c r="R157" s="41"/>
      <c r="S157" s="41"/>
      <c r="T157" s="41"/>
      <c r="U157" s="41"/>
      <c r="V157" s="43" t="str">
        <f t="shared" si="8"/>
        <v/>
      </c>
      <c r="W157" s="44" t="str">
        <f ca="1">IF(COUNTA($A157,$D157:$M157,$O157:$U157)=0,"",IF($A157="","Item Code; ","")&amp;IF(AND($A157&lt;&gt;"",ISNA(MATCH($AC157,'PRODUCT DATA'!$D$2:$D$394,0))),"Item Code; ","")&amp;IF($M157="","Country; ","")&amp;IF(AND($M157&lt;&gt;"",NOT(OR(NOT(ISNA(MATCH(IF(UPPER($M157)="UK","GB",$M157),'PRODUCT DATA'!$A$2:$A$58,0))),NOT(ISNA(MATCH(IF(UPPER($M157)="UK","GB",$M157),'PRODUCT DATA'!$B$2:$B$58,0)))))),"Country; ","")&amp;IF(AND($A157&lt;&gt;"",$M157&lt;&gt;"",NOT(ISNA(MATCH($AC157,'PRODUCT DATA'!$D$2:$D$394,0))),OR(NOT(ISNA(MATCH(IF(UPPER($M157)="UK","GB",$M157),'PRODUCT DATA'!$A$2:$A$58,0))),NOT(ISNA(MATCH(IF(UPPER($M157)="UK","GB",$M157),'PRODUCT DATA'!$B$2:$B$58,0)))),NOT(IFERROR(COUNTIF(OFFSET('PRODUCT DATA'!$F$2,0,MATCH($AC157,'PRODUCT DATA'!$F$1:$NN$1,0)-1,114,1),$N157)&gt;0,FALSE()))),IF(UPPER(IFERROR(OFFSET('PRODUCT DATA'!$C$2,MATCH($N157,'PRODUCT DATA'!$B$2:$B$58,0)-1,0),""))="NO","Alcohol Restriction; ","Item Code / Country combination; "),"")&amp;IF($C157="","Quantity; ","")&amp;IF(AND($C157&lt;&gt;"",OR(NOT(ISNUMBER($C157)),$C157&lt;1,$C157&gt;999,MOD($C157,1)&lt;&gt;0)),"Quantity; ","")&amp;IF($D157="","Recipient Name; ","")&amp;IF(LEN($D157)&gt;35,"Recipient Name; ","")&amp;IF($E157="","Recipient Phone; ","")&amp;IF(AND($E157&lt;&gt;"",OR(LEN($E157)&lt;6,LEN($E157)&gt;20,NOT(IFERROR(ISNUMBER(1*$E157),FALSE())))),"Recipient Phone; ","")&amp;IF(LEN($F157)&gt;35,"Recipient Company Name; ","")&amp;IF($G157="","Address Line 1; ","")&amp;IF(LEN($G157)&gt;35,"Address Line 1; ","")&amp;IF(LEN($H157)&gt;35,"Address Line 2; ","")&amp;IF(LEN($I157)&gt;35,"Address Line 3; ","")&amp;IF($J157="","Town; ","")&amp;IF(LEN($J157)&gt;35,"Town; ","")&amp;IF(AND($N157="IE",$K157=""),"County; ","")&amp;IF(LEN($AB157)&gt;35,"County; ","")&amp;IF(AND($L157="",AND($N157&lt;&gt;"AE",$N157&lt;&gt;"QA")),"Postcode; ","")&amp;IF(LEN($L157)&gt;35,"Postcode; ","")&amp;IF($AE157&lt;&gt;"","Postcode; ","")&amp;IF(LEN($O157)&gt;40,"Gift Message 1; ","")&amp;IF(LEN($P157)&gt;40,"Gift Message 2; ","")&amp;IF(LEN($Q157)&gt;40,"Gift Message 3; ","")&amp;IF(LEN($R157)&gt;40,"Gift Message 4; ","")&amp;IF(LEN($S157)&gt;40,"Gift Message 5; ","")&amp;IF(LEN($T157)&gt;40,"Gift Message 6; ","")&amp;IF(LEN($U157)&gt;40,"Gift Message 7; ",""))</f>
        <v/>
      </c>
      <c r="X157" s="44" t="str">
        <f ca="1">IF(COUNTA($A157,$D157:$M157,$O157:$U157)=0,"",IF($A157="","Enter the Item Code (hamper) - type it, paste it, or choose it from the dropdown. ","")&amp;IF(AND($A157&lt;&gt;"",ISNA(MATCH($AC157,'PRODUCT DATA'!$D$2:$D$394,0))),"This Item Code is not recognised. Check the code (case does not matter, but spelling and digits must match exactly) or choose it from the dropdown. ","")&amp;IF($M157="","Enter the Country after the Item Code - type or paste the name or the 2-letter code, or choose it from the dropdown. ","")&amp;IF(AND($M157&lt;&gt;"",NOT(OR(NOT(ISNA(MATCH(IF(UPPER($M157)="UK","GB",$M157),'PRODUCT DATA'!$A$2:$A$58,0))),NOT(ISNA(MATCH(IF(UPPER($M157)="UK","GB",$M157),'PRODUCT DATA'!$B$2:$B$58,0)))))),"This Country is not recognised as either a full name or a 2-letter code. Check the spelling (case does not matter) or choose it from the dropdown. ","")&amp;IF(AND($A157&lt;&gt;"",$M157&lt;&gt;"",NOT(ISNA(MATCH($AC157,'PRODUCT DATA'!$D$2:$D$394,0))),OR(NOT(ISNA(MATCH(IF(UPPER($M157)="UK","GB",$M157),'PRODUCT DATA'!$A$2:$A$58,0))),NOT(ISNA(MATCH(IF(UPPER($M157)="UK","GB",$M157),'PRODUCT DATA'!$B$2:$B$58,0)))),NOT(IFERROR(COUNTIF(OFFSET('PRODUCT DATA'!$F$2,0,MATCH($AC157,'PRODUCT DATA'!$F$1:$NN$1,0)-1,114,1),$N157)&gt;0,FALSE()))),IF(UPPER(IFERROR(OFFSET('PRODUCT DATA'!$C$2,MATCH($N157,'PRODUCT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"),"")&amp;IF($C157="","Enter Quantity. ","")&amp;IF(AND($C157&lt;&gt;"",OR(NOT(ISNUMBER($C157)),$C157&lt;1,$C157&gt;999,MOD($C157,1)&lt;&gt;0)),"Quantity must be a whole number from 1 to 999 (use a quantity above 1 only for a genuine bulk order of identical items to ONE address — otherwise use a separate row per recipient). ","")&amp;IF($D157="","Enter Recipient Name. ","")&amp;IF(LEN($D157)&gt;35,"Recipient Name exceeds 35 characters. ","")&amp;IF($E157="","Enter Recipient Phone. ","")&amp;IF(AND($E157&lt;&gt;"",OR(LEN($E157)&lt;6,LEN($E157)&gt;20,NOT(IFERROR(ISNUMBER(1*$E157),FALSE())))),"Phone must be the LOCAL number for the destination country: digits only, no +, spaces, or country code, 6 to 20 digits. ","")&amp;IF(LEN($F157)&gt;35,"Recipient Company Name exceeds 35 characters. ","")&amp;IF($G157="","Enter Address Line 1. ","")&amp;IF(LEN($G157)&gt;35,"Address Line 1 exceeds the 35-character SAP limit. ","")&amp;IF(LEN($H157)&gt;35,"Address Line 2 exceeds the 35-character SAP limit. ","")&amp;IF(LEN($I157)&gt;35,"Address Line 3 exceeds the 35-character SAP limit. ","")&amp;IF($J157="","Enter Town. This must never be left blank, even if there is no conventional town name. ","")&amp;IF(LEN($J157)&gt;35,"Town exceeds 35 characters. ","")&amp;IF(AND($N157="IE",$K157=""),"County is required for deliveries within the Republic of Ireland. ","")&amp;IF(LEN($AB157)&gt;35,"County exceeds 35 characters. ","")&amp;IF(AND($L157="",AND($N157&lt;&gt;"AE",$N157&lt;&gt;"QA")),"Postcode is required for the selected country. If there is genuinely no postcode, enter the first 3 characters of the area (e.g. D15). ","")&amp;IF(LEN($L157)&gt;35,"Postcode exceeds 35 characters. ","")&amp;IF($AE157&lt;&gt;"",$AE157,"")&amp;IF(LEN($O157)&gt;40,"Gift Message Line 1 exceeds 40 characters. ","")&amp;IF(LEN($P157)&gt;40,"Gift Message Line 2 exceeds 40 characters. ","")&amp;IF(LEN($Q157)&gt;40,"Gift Message Line 3 exceeds 40 characters. ","")&amp;IF(LEN($R157)&gt;40,"Gift Message Line 4 exceeds 40 characters. ","")&amp;IF(LEN($S157)&gt;40,"Gift Message Line 5 exceeds 40 characters. ","")&amp;IF(LEN($T157)&gt;40,"Gift Message Line 6 exceeds 40 characters. ","")&amp;IF(LEN($U157)&gt;40,"Gift Message Line 7 exceeds 40 characters. ",""))</f>
        <v/>
      </c>
      <c r="Y157" s="44" t="str">
        <f t="shared" si="9"/>
        <v/>
      </c>
      <c r="Z157" s="44"/>
      <c r="AA157" s="44"/>
      <c r="AB157" s="32" t="str">
        <f t="shared" si="10"/>
        <v/>
      </c>
      <c r="AC157" s="32" t="str">
        <f>IF($A157="","",IFERROR(LEFT(INDEX('PRODUCT DATA'!$NO$2:$NO$25,MATCH($A157,'PRODUCT DATA'!$NP$2:$NP$25,0)),FIND("|",INDEX('PRODUCT DATA'!$NO$2:$NO$25,MATCH($A157,'PRODUCT DATA'!$NP$2:$NP$25,0)))-1),$A157))</f>
        <v/>
      </c>
      <c r="AD157" s="45"/>
      <c r="AE157" s="45" t="str">
        <f t="shared" si="11"/>
        <v/>
      </c>
    </row>
    <row r="158" spans="1:31" ht="15" customHeight="1" x14ac:dyDescent="0.25">
      <c r="A158" s="40"/>
      <c r="B158" s="43" t="str">
        <f>IF($A158="","",IFERROR(VLOOKUP($AC158,'PRODUCT DATA'!$NR$2:$NS$374,2,FALSE()),"UNKNOWN ITEM CODE - please check"))</f>
        <v/>
      </c>
      <c r="C158" s="39">
        <v>1</v>
      </c>
      <c r="D158" s="39"/>
      <c r="E158" s="40"/>
      <c r="F158" s="41"/>
      <c r="G158" s="39"/>
      <c r="H158" s="41"/>
      <c r="I158" s="41"/>
      <c r="J158" s="39"/>
      <c r="K158" s="41"/>
      <c r="L158" s="40"/>
      <c r="M158" s="40"/>
      <c r="N158" s="42" t="str">
        <f>IF($M158="","",IFERROR(INDEX('PRODUCT DATA'!$B$2:$B$58,MATCH(IF(UPPER($M158)="UK","GB",$M158),'PRODUCT DATA'!$B$2:$B$58,0)),IFERROR(INDEX('PRODUCT DATA'!$B$2:$B$58,MATCH(IF(UPPER($M158)="UK","GB",$M158),'PRODUCT DATA'!$A$2:$A$58,0)),"UNKNOWN COUNTRY - please check")))</f>
        <v/>
      </c>
      <c r="O158" s="41"/>
      <c r="P158" s="41"/>
      <c r="Q158" s="41"/>
      <c r="R158" s="41"/>
      <c r="S158" s="41"/>
      <c r="T158" s="41"/>
      <c r="U158" s="41"/>
      <c r="V158" s="43" t="str">
        <f t="shared" si="8"/>
        <v/>
      </c>
      <c r="W158" s="44" t="str">
        <f ca="1">IF(COUNTA($A158,$D158:$M158,$O158:$U158)=0,"",IF($A158="","Item Code; ","")&amp;IF(AND($A158&lt;&gt;"",ISNA(MATCH($AC158,'PRODUCT DATA'!$D$2:$D$394,0))),"Item Code; ","")&amp;IF($M158="","Country; ","")&amp;IF(AND($M158&lt;&gt;"",NOT(OR(NOT(ISNA(MATCH(IF(UPPER($M158)="UK","GB",$M158),'PRODUCT DATA'!$A$2:$A$58,0))),NOT(ISNA(MATCH(IF(UPPER($M158)="UK","GB",$M158),'PRODUCT DATA'!$B$2:$B$58,0)))))),"Country; ","")&amp;IF(AND($A158&lt;&gt;"",$M158&lt;&gt;"",NOT(ISNA(MATCH($AC158,'PRODUCT DATA'!$D$2:$D$394,0))),OR(NOT(ISNA(MATCH(IF(UPPER($M158)="UK","GB",$M158),'PRODUCT DATA'!$A$2:$A$58,0))),NOT(ISNA(MATCH(IF(UPPER($M158)="UK","GB",$M158),'PRODUCT DATA'!$B$2:$B$58,0)))),NOT(IFERROR(COUNTIF(OFFSET('PRODUCT DATA'!$F$2,0,MATCH($AC158,'PRODUCT DATA'!$F$1:$NN$1,0)-1,114,1),$N158)&gt;0,FALSE()))),IF(UPPER(IFERROR(OFFSET('PRODUCT DATA'!$C$2,MATCH($N158,'PRODUCT DATA'!$B$2:$B$58,0)-1,0),""))="NO","Alcohol Restriction; ","Item Code / Country combination; "),"")&amp;IF($C158="","Quantity; ","")&amp;IF(AND($C158&lt;&gt;"",OR(NOT(ISNUMBER($C158)),$C158&lt;1,$C158&gt;999,MOD($C158,1)&lt;&gt;0)),"Quantity; ","")&amp;IF($D158="","Recipient Name; ","")&amp;IF(LEN($D158)&gt;35,"Recipient Name; ","")&amp;IF($E158="","Recipient Phone; ","")&amp;IF(AND($E158&lt;&gt;"",OR(LEN($E158)&lt;6,LEN($E158)&gt;20,NOT(IFERROR(ISNUMBER(1*$E158),FALSE())))),"Recipient Phone; ","")&amp;IF(LEN($F158)&gt;35,"Recipient Company Name; ","")&amp;IF($G158="","Address Line 1; ","")&amp;IF(LEN($G158)&gt;35,"Address Line 1; ","")&amp;IF(LEN($H158)&gt;35,"Address Line 2; ","")&amp;IF(LEN($I158)&gt;35,"Address Line 3; ","")&amp;IF($J158="","Town; ","")&amp;IF(LEN($J158)&gt;35,"Town; ","")&amp;IF(AND($N158="IE",$K158=""),"County; ","")&amp;IF(LEN($AB158)&gt;35,"County; ","")&amp;IF(AND($L158="",AND($N158&lt;&gt;"AE",$N158&lt;&gt;"QA")),"Postcode; ","")&amp;IF(LEN($L158)&gt;35,"Postcode; ","")&amp;IF($AE158&lt;&gt;"","Postcode; ","")&amp;IF(LEN($O158)&gt;40,"Gift Message 1; ","")&amp;IF(LEN($P158)&gt;40,"Gift Message 2; ","")&amp;IF(LEN($Q158)&gt;40,"Gift Message 3; ","")&amp;IF(LEN($R158)&gt;40,"Gift Message 4; ","")&amp;IF(LEN($S158)&gt;40,"Gift Message 5; ","")&amp;IF(LEN($T158)&gt;40,"Gift Message 6; ","")&amp;IF(LEN($U158)&gt;40,"Gift Message 7; ",""))</f>
        <v/>
      </c>
      <c r="X158" s="44" t="str">
        <f ca="1">IF(COUNTA($A158,$D158:$M158,$O158:$U158)=0,"",IF($A158="","Enter the Item Code (hamper) - type it, paste it, or choose it from the dropdown. ","")&amp;IF(AND($A158&lt;&gt;"",ISNA(MATCH($AC158,'PRODUCT DATA'!$D$2:$D$394,0))),"This Item Code is not recognised. Check the code (case does not matter, but spelling and digits must match exactly) or choose it from the dropdown. ","")&amp;IF($M158="","Enter the Country after the Item Code - type or paste the name or the 2-letter code, or choose it from the dropdown. ","")&amp;IF(AND($M158&lt;&gt;"",NOT(OR(NOT(ISNA(MATCH(IF(UPPER($M158)="UK","GB",$M158),'PRODUCT DATA'!$A$2:$A$58,0))),NOT(ISNA(MATCH(IF(UPPER($M158)="UK","GB",$M158),'PRODUCT DATA'!$B$2:$B$58,0)))))),"This Country is not recognised as either a full name or a 2-letter code. Check the spelling (case does not matter) or choose it from the dropdown. ","")&amp;IF(AND($A158&lt;&gt;"",$M158&lt;&gt;"",NOT(ISNA(MATCH($AC158,'PRODUCT DATA'!$D$2:$D$394,0))),OR(NOT(ISNA(MATCH(IF(UPPER($M158)="UK","GB",$M158),'PRODUCT DATA'!$A$2:$A$58,0))),NOT(ISNA(MATCH(IF(UPPER($M158)="UK","GB",$M158),'PRODUCT DATA'!$B$2:$B$58,0)))),NOT(IFERROR(COUNTIF(OFFSET('PRODUCT DATA'!$F$2,0,MATCH($AC158,'PRODUCT DATA'!$F$1:$NN$1,0)-1,114,1),$N158)&gt;0,FALSE()))),IF(UPPER(IFERROR(OFFSET('PRODUCT DATA'!$C$2,MATCH($N158,'PRODUCT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"),"")&amp;IF($C158="","Enter Quantity. ","")&amp;IF(AND($C158&lt;&gt;"",OR(NOT(ISNUMBER($C158)),$C158&lt;1,$C158&gt;999,MOD($C158,1)&lt;&gt;0)),"Quantity must be a whole number from 1 to 999 (use a quantity above 1 only for a genuine bulk order of identical items to ONE address — otherwise use a separate row per recipient). ","")&amp;IF($D158="","Enter Recipient Name. ","")&amp;IF(LEN($D158)&gt;35,"Recipient Name exceeds 35 characters. ","")&amp;IF($E158="","Enter Recipient Phone. ","")&amp;IF(AND($E158&lt;&gt;"",OR(LEN($E158)&lt;6,LEN($E158)&gt;20,NOT(IFERROR(ISNUMBER(1*$E158),FALSE())))),"Phone must be the LOCAL number for the destination country: digits only, no +, spaces, or country code, 6 to 20 digits. ","")&amp;IF(LEN($F158)&gt;35,"Recipient Company Name exceeds 35 characters. ","")&amp;IF($G158="","Enter Address Line 1. ","")&amp;IF(LEN($G158)&gt;35,"Address Line 1 exceeds the 35-character SAP limit. ","")&amp;IF(LEN($H158)&gt;35,"Address Line 2 exceeds the 35-character SAP limit. ","")&amp;IF(LEN($I158)&gt;35,"Address Line 3 exceeds the 35-character SAP limit. ","")&amp;IF($J158="","Enter Town. This must never be left blank, even if there is no conventional town name. ","")&amp;IF(LEN($J158)&gt;35,"Town exceeds 35 characters. ","")&amp;IF(AND($N158="IE",$K158=""),"County is required for deliveries within the Republic of Ireland. ","")&amp;IF(LEN($AB158)&gt;35,"County exceeds 35 characters. ","")&amp;IF(AND($L158="",AND($N158&lt;&gt;"AE",$N158&lt;&gt;"QA")),"Postcode is required for the selected country. If there is genuinely no postcode, enter the first 3 characters of the area (e.g. D15). ","")&amp;IF(LEN($L158)&gt;35,"Postcode exceeds 35 characters. ","")&amp;IF($AE158&lt;&gt;"",$AE158,"")&amp;IF(LEN($O158)&gt;40,"Gift Message Line 1 exceeds 40 characters. ","")&amp;IF(LEN($P158)&gt;40,"Gift Message Line 2 exceeds 40 characters. ","")&amp;IF(LEN($Q158)&gt;40,"Gift Message Line 3 exceeds 40 characters. ","")&amp;IF(LEN($R158)&gt;40,"Gift Message Line 4 exceeds 40 characters. ","")&amp;IF(LEN($S158)&gt;40,"Gift Message Line 5 exceeds 40 characters. ","")&amp;IF(LEN($T158)&gt;40,"Gift Message Line 6 exceeds 40 characters. ","")&amp;IF(LEN($U158)&gt;40,"Gift Message Line 7 exceeds 40 characters. ",""))</f>
        <v/>
      </c>
      <c r="Y158" s="44" t="str">
        <f t="shared" si="9"/>
        <v/>
      </c>
      <c r="Z158" s="44"/>
      <c r="AA158" s="44"/>
      <c r="AB158" s="32" t="str">
        <f t="shared" si="10"/>
        <v/>
      </c>
      <c r="AC158" s="32" t="str">
        <f>IF($A158="","",IFERROR(LEFT(INDEX('PRODUCT DATA'!$NO$2:$NO$25,MATCH($A158,'PRODUCT DATA'!$NP$2:$NP$25,0)),FIND("|",INDEX('PRODUCT DATA'!$NO$2:$NO$25,MATCH($A158,'PRODUCT DATA'!$NP$2:$NP$25,0)))-1),$A158))</f>
        <v/>
      </c>
      <c r="AD158" s="45"/>
      <c r="AE158" s="45" t="str">
        <f t="shared" si="11"/>
        <v/>
      </c>
    </row>
    <row r="159" spans="1:31" ht="15" customHeight="1" x14ac:dyDescent="0.25">
      <c r="A159" s="40"/>
      <c r="B159" s="43" t="str">
        <f>IF($A159="","",IFERROR(VLOOKUP($AC159,'PRODUCT DATA'!$NR$2:$NS$374,2,FALSE()),"UNKNOWN ITEM CODE - please check"))</f>
        <v/>
      </c>
      <c r="C159" s="39">
        <v>1</v>
      </c>
      <c r="D159" s="39"/>
      <c r="E159" s="40"/>
      <c r="F159" s="41"/>
      <c r="G159" s="39"/>
      <c r="H159" s="41"/>
      <c r="I159" s="41"/>
      <c r="J159" s="39"/>
      <c r="K159" s="41"/>
      <c r="L159" s="40"/>
      <c r="M159" s="40"/>
      <c r="N159" s="42" t="str">
        <f>IF($M159="","",IFERROR(INDEX('PRODUCT DATA'!$B$2:$B$58,MATCH(IF(UPPER($M159)="UK","GB",$M159),'PRODUCT DATA'!$B$2:$B$58,0)),IFERROR(INDEX('PRODUCT DATA'!$B$2:$B$58,MATCH(IF(UPPER($M159)="UK","GB",$M159),'PRODUCT DATA'!$A$2:$A$58,0)),"UNKNOWN COUNTRY - please check")))</f>
        <v/>
      </c>
      <c r="O159" s="41"/>
      <c r="P159" s="41"/>
      <c r="Q159" s="41"/>
      <c r="R159" s="41"/>
      <c r="S159" s="41"/>
      <c r="T159" s="41"/>
      <c r="U159" s="41"/>
      <c r="V159" s="43" t="str">
        <f t="shared" si="8"/>
        <v/>
      </c>
      <c r="W159" s="44" t="str">
        <f ca="1">IF(COUNTA($A159,$D159:$M159,$O159:$U159)=0,"",IF($A159="","Item Code; ","")&amp;IF(AND($A159&lt;&gt;"",ISNA(MATCH($AC159,'PRODUCT DATA'!$D$2:$D$394,0))),"Item Code; ","")&amp;IF($M159="","Country; ","")&amp;IF(AND($M159&lt;&gt;"",NOT(OR(NOT(ISNA(MATCH(IF(UPPER($M159)="UK","GB",$M159),'PRODUCT DATA'!$A$2:$A$58,0))),NOT(ISNA(MATCH(IF(UPPER($M159)="UK","GB",$M159),'PRODUCT DATA'!$B$2:$B$58,0)))))),"Country; ","")&amp;IF(AND($A159&lt;&gt;"",$M159&lt;&gt;"",NOT(ISNA(MATCH($AC159,'PRODUCT DATA'!$D$2:$D$394,0))),OR(NOT(ISNA(MATCH(IF(UPPER($M159)="UK","GB",$M159),'PRODUCT DATA'!$A$2:$A$58,0))),NOT(ISNA(MATCH(IF(UPPER($M159)="UK","GB",$M159),'PRODUCT DATA'!$B$2:$B$58,0)))),NOT(IFERROR(COUNTIF(OFFSET('PRODUCT DATA'!$F$2,0,MATCH($AC159,'PRODUCT DATA'!$F$1:$NN$1,0)-1,114,1),$N159)&gt;0,FALSE()))),IF(UPPER(IFERROR(OFFSET('PRODUCT DATA'!$C$2,MATCH($N159,'PRODUCT DATA'!$B$2:$B$58,0)-1,0),""))="NO","Alcohol Restriction; ","Item Code / Country combination; "),"")&amp;IF($C159="","Quantity; ","")&amp;IF(AND($C159&lt;&gt;"",OR(NOT(ISNUMBER($C159)),$C159&lt;1,$C159&gt;999,MOD($C159,1)&lt;&gt;0)),"Quantity; ","")&amp;IF($D159="","Recipient Name; ","")&amp;IF(LEN($D159)&gt;35,"Recipient Name; ","")&amp;IF($E159="","Recipient Phone; ","")&amp;IF(AND($E159&lt;&gt;"",OR(LEN($E159)&lt;6,LEN($E159)&gt;20,NOT(IFERROR(ISNUMBER(1*$E159),FALSE())))),"Recipient Phone; ","")&amp;IF(LEN($F159)&gt;35,"Recipient Company Name; ","")&amp;IF($G159="","Address Line 1; ","")&amp;IF(LEN($G159)&gt;35,"Address Line 1; ","")&amp;IF(LEN($H159)&gt;35,"Address Line 2; ","")&amp;IF(LEN($I159)&gt;35,"Address Line 3; ","")&amp;IF($J159="","Town; ","")&amp;IF(LEN($J159)&gt;35,"Town; ","")&amp;IF(AND($N159="IE",$K159=""),"County; ","")&amp;IF(LEN($AB159)&gt;35,"County; ","")&amp;IF(AND($L159="",AND($N159&lt;&gt;"AE",$N159&lt;&gt;"QA")),"Postcode; ","")&amp;IF(LEN($L159)&gt;35,"Postcode; ","")&amp;IF($AE159&lt;&gt;"","Postcode; ","")&amp;IF(LEN($O159)&gt;40,"Gift Message 1; ","")&amp;IF(LEN($P159)&gt;40,"Gift Message 2; ","")&amp;IF(LEN($Q159)&gt;40,"Gift Message 3; ","")&amp;IF(LEN($R159)&gt;40,"Gift Message 4; ","")&amp;IF(LEN($S159)&gt;40,"Gift Message 5; ","")&amp;IF(LEN($T159)&gt;40,"Gift Message 6; ","")&amp;IF(LEN($U159)&gt;40,"Gift Message 7; ",""))</f>
        <v/>
      </c>
      <c r="X159" s="44" t="str">
        <f ca="1">IF(COUNTA($A159,$D159:$M159,$O159:$U159)=0,"",IF($A159="","Enter the Item Code (hamper) - type it, paste it, or choose it from the dropdown. ","")&amp;IF(AND($A159&lt;&gt;"",ISNA(MATCH($AC159,'PRODUCT DATA'!$D$2:$D$394,0))),"This Item Code is not recognised. Check the code (case does not matter, but spelling and digits must match exactly) or choose it from the dropdown. ","")&amp;IF($M159="","Enter the Country after the Item Code - type or paste the name or the 2-letter code, or choose it from the dropdown. ","")&amp;IF(AND($M159&lt;&gt;"",NOT(OR(NOT(ISNA(MATCH(IF(UPPER($M159)="UK","GB",$M159),'PRODUCT DATA'!$A$2:$A$58,0))),NOT(ISNA(MATCH(IF(UPPER($M159)="UK","GB",$M159),'PRODUCT DATA'!$B$2:$B$58,0)))))),"This Country is not recognised as either a full name or a 2-letter code. Check the spelling (case does not matter) or choose it from the dropdown. ","")&amp;IF(AND($A159&lt;&gt;"",$M159&lt;&gt;"",NOT(ISNA(MATCH($AC159,'PRODUCT DATA'!$D$2:$D$394,0))),OR(NOT(ISNA(MATCH(IF(UPPER($M159)="UK","GB",$M159),'PRODUCT DATA'!$A$2:$A$58,0))),NOT(ISNA(MATCH(IF(UPPER($M159)="UK","GB",$M159),'PRODUCT DATA'!$B$2:$B$58,0)))),NOT(IFERROR(COUNTIF(OFFSET('PRODUCT DATA'!$F$2,0,MATCH($AC159,'PRODUCT DATA'!$F$1:$NN$1,0)-1,114,1),$N159)&gt;0,FALSE()))),IF(UPPER(IFERROR(OFFSET('PRODUCT DATA'!$C$2,MATCH($N159,'PRODUCT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"),"")&amp;IF($C159="","Enter Quantity. ","")&amp;IF(AND($C159&lt;&gt;"",OR(NOT(ISNUMBER($C159)),$C159&lt;1,$C159&gt;999,MOD($C159,1)&lt;&gt;0)),"Quantity must be a whole number from 1 to 999 (use a quantity above 1 only for a genuine bulk order of identical items to ONE address — otherwise use a separate row per recipient). ","")&amp;IF($D159="","Enter Recipient Name. ","")&amp;IF(LEN($D159)&gt;35,"Recipient Name exceeds 35 characters. ","")&amp;IF($E159="","Enter Recipient Phone. ","")&amp;IF(AND($E159&lt;&gt;"",OR(LEN($E159)&lt;6,LEN($E159)&gt;20,NOT(IFERROR(ISNUMBER(1*$E159),FALSE())))),"Phone must be the LOCAL number for the destination country: digits only, no +, spaces, or country code, 6 to 20 digits. ","")&amp;IF(LEN($F159)&gt;35,"Recipient Company Name exceeds 35 characters. ","")&amp;IF($G159="","Enter Address Line 1. ","")&amp;IF(LEN($G159)&gt;35,"Address Line 1 exceeds the 35-character SAP limit. ","")&amp;IF(LEN($H159)&gt;35,"Address Line 2 exceeds the 35-character SAP limit. ","")&amp;IF(LEN($I159)&gt;35,"Address Line 3 exceeds the 35-character SAP limit. ","")&amp;IF($J159="","Enter Town. This must never be left blank, even if there is no conventional town name. ","")&amp;IF(LEN($J159)&gt;35,"Town exceeds 35 characters. ","")&amp;IF(AND($N159="IE",$K159=""),"County is required for deliveries within the Republic of Ireland. ","")&amp;IF(LEN($AB159)&gt;35,"County exceeds 35 characters. ","")&amp;IF(AND($L159="",AND($N159&lt;&gt;"AE",$N159&lt;&gt;"QA")),"Postcode is required for the selected country. If there is genuinely no postcode, enter the first 3 characters of the area (e.g. D15). ","")&amp;IF(LEN($L159)&gt;35,"Postcode exceeds 35 characters. ","")&amp;IF($AE159&lt;&gt;"",$AE159,"")&amp;IF(LEN($O159)&gt;40,"Gift Message Line 1 exceeds 40 characters. ","")&amp;IF(LEN($P159)&gt;40,"Gift Message Line 2 exceeds 40 characters. ","")&amp;IF(LEN($Q159)&gt;40,"Gift Message Line 3 exceeds 40 characters. ","")&amp;IF(LEN($R159)&gt;40,"Gift Message Line 4 exceeds 40 characters. ","")&amp;IF(LEN($S159)&gt;40,"Gift Message Line 5 exceeds 40 characters. ","")&amp;IF(LEN($T159)&gt;40,"Gift Message Line 6 exceeds 40 characters. ","")&amp;IF(LEN($U159)&gt;40,"Gift Message Line 7 exceeds 40 characters. ",""))</f>
        <v/>
      </c>
      <c r="Y159" s="44" t="str">
        <f t="shared" si="9"/>
        <v/>
      </c>
      <c r="Z159" s="44"/>
      <c r="AA159" s="44"/>
      <c r="AB159" s="32" t="str">
        <f t="shared" si="10"/>
        <v/>
      </c>
      <c r="AC159" s="32" t="str">
        <f>IF($A159="","",IFERROR(LEFT(INDEX('PRODUCT DATA'!$NO$2:$NO$25,MATCH($A159,'PRODUCT DATA'!$NP$2:$NP$25,0)),FIND("|",INDEX('PRODUCT DATA'!$NO$2:$NO$25,MATCH($A159,'PRODUCT DATA'!$NP$2:$NP$25,0)))-1),$A159))</f>
        <v/>
      </c>
      <c r="AD159" s="45"/>
      <c r="AE159" s="45" t="str">
        <f t="shared" si="11"/>
        <v/>
      </c>
    </row>
    <row r="160" spans="1:31" ht="15" customHeight="1" x14ac:dyDescent="0.25">
      <c r="A160" s="40"/>
      <c r="B160" s="43" t="str">
        <f>IF($A160="","",IFERROR(VLOOKUP($AC160,'PRODUCT DATA'!$NR$2:$NS$374,2,FALSE()),"UNKNOWN ITEM CODE - please check"))</f>
        <v/>
      </c>
      <c r="C160" s="39">
        <v>1</v>
      </c>
      <c r="D160" s="39"/>
      <c r="E160" s="40"/>
      <c r="F160" s="41"/>
      <c r="G160" s="39"/>
      <c r="H160" s="41"/>
      <c r="I160" s="41"/>
      <c r="J160" s="39"/>
      <c r="K160" s="41"/>
      <c r="L160" s="40"/>
      <c r="M160" s="40"/>
      <c r="N160" s="42" t="str">
        <f>IF($M160="","",IFERROR(INDEX('PRODUCT DATA'!$B$2:$B$58,MATCH(IF(UPPER($M160)="UK","GB",$M160),'PRODUCT DATA'!$B$2:$B$58,0)),IFERROR(INDEX('PRODUCT DATA'!$B$2:$B$58,MATCH(IF(UPPER($M160)="UK","GB",$M160),'PRODUCT DATA'!$A$2:$A$58,0)),"UNKNOWN COUNTRY - please check")))</f>
        <v/>
      </c>
      <c r="O160" s="41"/>
      <c r="P160" s="41"/>
      <c r="Q160" s="41"/>
      <c r="R160" s="41"/>
      <c r="S160" s="41"/>
      <c r="T160" s="41"/>
      <c r="U160" s="41"/>
      <c r="V160" s="43" t="str">
        <f t="shared" si="8"/>
        <v/>
      </c>
      <c r="W160" s="44" t="str">
        <f ca="1">IF(COUNTA($A160,$D160:$M160,$O160:$U160)=0,"",IF($A160="","Item Code; ","")&amp;IF(AND($A160&lt;&gt;"",ISNA(MATCH($AC160,'PRODUCT DATA'!$D$2:$D$394,0))),"Item Code; ","")&amp;IF($M160="","Country; ","")&amp;IF(AND($M160&lt;&gt;"",NOT(OR(NOT(ISNA(MATCH(IF(UPPER($M160)="UK","GB",$M160),'PRODUCT DATA'!$A$2:$A$58,0))),NOT(ISNA(MATCH(IF(UPPER($M160)="UK","GB",$M160),'PRODUCT DATA'!$B$2:$B$58,0)))))),"Country; ","")&amp;IF(AND($A160&lt;&gt;"",$M160&lt;&gt;"",NOT(ISNA(MATCH($AC160,'PRODUCT DATA'!$D$2:$D$394,0))),OR(NOT(ISNA(MATCH(IF(UPPER($M160)="UK","GB",$M160),'PRODUCT DATA'!$A$2:$A$58,0))),NOT(ISNA(MATCH(IF(UPPER($M160)="UK","GB",$M160),'PRODUCT DATA'!$B$2:$B$58,0)))),NOT(IFERROR(COUNTIF(OFFSET('PRODUCT DATA'!$F$2,0,MATCH($AC160,'PRODUCT DATA'!$F$1:$NN$1,0)-1,114,1),$N160)&gt;0,FALSE()))),IF(UPPER(IFERROR(OFFSET('PRODUCT DATA'!$C$2,MATCH($N160,'PRODUCT DATA'!$B$2:$B$58,0)-1,0),""))="NO","Alcohol Restriction; ","Item Code / Country combination; "),"")&amp;IF($C160="","Quantity; ","")&amp;IF(AND($C160&lt;&gt;"",OR(NOT(ISNUMBER($C160)),$C160&lt;1,$C160&gt;999,MOD($C160,1)&lt;&gt;0)),"Quantity; ","")&amp;IF($D160="","Recipient Name; ","")&amp;IF(LEN($D160)&gt;35,"Recipient Name; ","")&amp;IF($E160="","Recipient Phone; ","")&amp;IF(AND($E160&lt;&gt;"",OR(LEN($E160)&lt;6,LEN($E160)&gt;20,NOT(IFERROR(ISNUMBER(1*$E160),FALSE())))),"Recipient Phone; ","")&amp;IF(LEN($F160)&gt;35,"Recipient Company Name; ","")&amp;IF($G160="","Address Line 1; ","")&amp;IF(LEN($G160)&gt;35,"Address Line 1; ","")&amp;IF(LEN($H160)&gt;35,"Address Line 2; ","")&amp;IF(LEN($I160)&gt;35,"Address Line 3; ","")&amp;IF($J160="","Town; ","")&amp;IF(LEN($J160)&gt;35,"Town; ","")&amp;IF(AND($N160="IE",$K160=""),"County; ","")&amp;IF(LEN($AB160)&gt;35,"County; ","")&amp;IF(AND($L160="",AND($N160&lt;&gt;"AE",$N160&lt;&gt;"QA")),"Postcode; ","")&amp;IF(LEN($L160)&gt;35,"Postcode; ","")&amp;IF($AE160&lt;&gt;"","Postcode; ","")&amp;IF(LEN($O160)&gt;40,"Gift Message 1; ","")&amp;IF(LEN($P160)&gt;40,"Gift Message 2; ","")&amp;IF(LEN($Q160)&gt;40,"Gift Message 3; ","")&amp;IF(LEN($R160)&gt;40,"Gift Message 4; ","")&amp;IF(LEN($S160)&gt;40,"Gift Message 5; ","")&amp;IF(LEN($T160)&gt;40,"Gift Message 6; ","")&amp;IF(LEN($U160)&gt;40,"Gift Message 7; ",""))</f>
        <v/>
      </c>
      <c r="X160" s="44" t="str">
        <f ca="1">IF(COUNTA($A160,$D160:$M160,$O160:$U160)=0,"",IF($A160="","Enter the Item Code (hamper) - type it, paste it, or choose it from the dropdown. ","")&amp;IF(AND($A160&lt;&gt;"",ISNA(MATCH($AC160,'PRODUCT DATA'!$D$2:$D$394,0))),"This Item Code is not recognised. Check the code (case does not matter, but spelling and digits must match exactly) or choose it from the dropdown. ","")&amp;IF($M160="","Enter the Country after the Item Code - type or paste the name or the 2-letter code, or choose it from the dropdown. ","")&amp;IF(AND($M160&lt;&gt;"",NOT(OR(NOT(ISNA(MATCH(IF(UPPER($M160)="UK","GB",$M160),'PRODUCT DATA'!$A$2:$A$58,0))),NOT(ISNA(MATCH(IF(UPPER($M160)="UK","GB",$M160),'PRODUCT DATA'!$B$2:$B$58,0)))))),"This Country is not recognised as either a full name or a 2-letter code. Check the spelling (case does not matter) or choose it from the dropdown. ","")&amp;IF(AND($A160&lt;&gt;"",$M160&lt;&gt;"",NOT(ISNA(MATCH($AC160,'PRODUCT DATA'!$D$2:$D$394,0))),OR(NOT(ISNA(MATCH(IF(UPPER($M160)="UK","GB",$M160),'PRODUCT DATA'!$A$2:$A$58,0))),NOT(ISNA(MATCH(IF(UPPER($M160)="UK","GB",$M160),'PRODUCT DATA'!$B$2:$B$58,0)))),NOT(IFERROR(COUNTIF(OFFSET('PRODUCT DATA'!$F$2,0,MATCH($AC160,'PRODUCT DATA'!$F$1:$NN$1,0)-1,114,1),$N160)&gt;0,FALSE()))),IF(UPPER(IFERROR(OFFSET('PRODUCT DATA'!$C$2,MATCH($N160,'PRODUCT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"),"")&amp;IF($C160="","Enter Quantity. ","")&amp;IF(AND($C160&lt;&gt;"",OR(NOT(ISNUMBER($C160)),$C160&lt;1,$C160&gt;999,MOD($C160,1)&lt;&gt;0)),"Quantity must be a whole number from 1 to 999 (use a quantity above 1 only for a genuine bulk order of identical items to ONE address — otherwise use a separate row per recipient). ","")&amp;IF($D160="","Enter Recipient Name. ","")&amp;IF(LEN($D160)&gt;35,"Recipient Name exceeds 35 characters. ","")&amp;IF($E160="","Enter Recipient Phone. ","")&amp;IF(AND($E160&lt;&gt;"",OR(LEN($E160)&lt;6,LEN($E160)&gt;20,NOT(IFERROR(ISNUMBER(1*$E160),FALSE())))),"Phone must be the LOCAL number for the destination country: digits only, no +, spaces, or country code, 6 to 20 digits. ","")&amp;IF(LEN($F160)&gt;35,"Recipient Company Name exceeds 35 characters. ","")&amp;IF($G160="","Enter Address Line 1. ","")&amp;IF(LEN($G160)&gt;35,"Address Line 1 exceeds the 35-character SAP limit. ","")&amp;IF(LEN($H160)&gt;35,"Address Line 2 exceeds the 35-character SAP limit. ","")&amp;IF(LEN($I160)&gt;35,"Address Line 3 exceeds the 35-character SAP limit. ","")&amp;IF($J160="","Enter Town. This must never be left blank, even if there is no conventional town name. ","")&amp;IF(LEN($J160)&gt;35,"Town exceeds 35 characters. ","")&amp;IF(AND($N160="IE",$K160=""),"County is required for deliveries within the Republic of Ireland. ","")&amp;IF(LEN($AB160)&gt;35,"County exceeds 35 characters. ","")&amp;IF(AND($L160="",AND($N160&lt;&gt;"AE",$N160&lt;&gt;"QA")),"Postcode is required for the selected country. If there is genuinely no postcode, enter the first 3 characters of the area (e.g. D15). ","")&amp;IF(LEN($L160)&gt;35,"Postcode exceeds 35 characters. ","")&amp;IF($AE160&lt;&gt;"",$AE160,"")&amp;IF(LEN($O160)&gt;40,"Gift Message Line 1 exceeds 40 characters. ","")&amp;IF(LEN($P160)&gt;40,"Gift Message Line 2 exceeds 40 characters. ","")&amp;IF(LEN($Q160)&gt;40,"Gift Message Line 3 exceeds 40 characters. ","")&amp;IF(LEN($R160)&gt;40,"Gift Message Line 4 exceeds 40 characters. ","")&amp;IF(LEN($S160)&gt;40,"Gift Message Line 5 exceeds 40 characters. ","")&amp;IF(LEN($T160)&gt;40,"Gift Message Line 6 exceeds 40 characters. ","")&amp;IF(LEN($U160)&gt;40,"Gift Message Line 7 exceeds 40 characters. ",""))</f>
        <v/>
      </c>
      <c r="Y160" s="44" t="str">
        <f t="shared" si="9"/>
        <v/>
      </c>
      <c r="Z160" s="44"/>
      <c r="AA160" s="44"/>
      <c r="AB160" s="32" t="str">
        <f t="shared" si="10"/>
        <v/>
      </c>
      <c r="AC160" s="32" t="str">
        <f>IF($A160="","",IFERROR(LEFT(INDEX('PRODUCT DATA'!$NO$2:$NO$25,MATCH($A160,'PRODUCT DATA'!$NP$2:$NP$25,0)),FIND("|",INDEX('PRODUCT DATA'!$NO$2:$NO$25,MATCH($A160,'PRODUCT DATA'!$NP$2:$NP$25,0)))-1),$A160))</f>
        <v/>
      </c>
      <c r="AD160" s="45"/>
      <c r="AE160" s="45" t="str">
        <f t="shared" si="11"/>
        <v/>
      </c>
    </row>
    <row r="161" spans="1:31" ht="15" customHeight="1" x14ac:dyDescent="0.25">
      <c r="A161" s="40"/>
      <c r="B161" s="43" t="str">
        <f>IF($A161="","",IFERROR(VLOOKUP($AC161,'PRODUCT DATA'!$NR$2:$NS$374,2,FALSE()),"UNKNOWN ITEM CODE - please check"))</f>
        <v/>
      </c>
      <c r="C161" s="39">
        <v>1</v>
      </c>
      <c r="D161" s="39"/>
      <c r="E161" s="40"/>
      <c r="F161" s="41"/>
      <c r="G161" s="39"/>
      <c r="H161" s="41"/>
      <c r="I161" s="41"/>
      <c r="J161" s="39"/>
      <c r="K161" s="41"/>
      <c r="L161" s="40"/>
      <c r="M161" s="40"/>
      <c r="N161" s="42" t="str">
        <f>IF($M161="","",IFERROR(INDEX('PRODUCT DATA'!$B$2:$B$58,MATCH(IF(UPPER($M161)="UK","GB",$M161),'PRODUCT DATA'!$B$2:$B$58,0)),IFERROR(INDEX('PRODUCT DATA'!$B$2:$B$58,MATCH(IF(UPPER($M161)="UK","GB",$M161),'PRODUCT DATA'!$A$2:$A$58,0)),"UNKNOWN COUNTRY - please check")))</f>
        <v/>
      </c>
      <c r="O161" s="41"/>
      <c r="P161" s="41"/>
      <c r="Q161" s="41"/>
      <c r="R161" s="41"/>
      <c r="S161" s="41"/>
      <c r="T161" s="41"/>
      <c r="U161" s="41"/>
      <c r="V161" s="43" t="str">
        <f t="shared" si="8"/>
        <v/>
      </c>
      <c r="W161" s="44" t="str">
        <f ca="1">IF(COUNTA($A161,$D161:$M161,$O161:$U161)=0,"",IF($A161="","Item Code; ","")&amp;IF(AND($A161&lt;&gt;"",ISNA(MATCH($AC161,'PRODUCT DATA'!$D$2:$D$394,0))),"Item Code; ","")&amp;IF($M161="","Country; ","")&amp;IF(AND($M161&lt;&gt;"",NOT(OR(NOT(ISNA(MATCH(IF(UPPER($M161)="UK","GB",$M161),'PRODUCT DATA'!$A$2:$A$58,0))),NOT(ISNA(MATCH(IF(UPPER($M161)="UK","GB",$M161),'PRODUCT DATA'!$B$2:$B$58,0)))))),"Country; ","")&amp;IF(AND($A161&lt;&gt;"",$M161&lt;&gt;"",NOT(ISNA(MATCH($AC161,'PRODUCT DATA'!$D$2:$D$394,0))),OR(NOT(ISNA(MATCH(IF(UPPER($M161)="UK","GB",$M161),'PRODUCT DATA'!$A$2:$A$58,0))),NOT(ISNA(MATCH(IF(UPPER($M161)="UK","GB",$M161),'PRODUCT DATA'!$B$2:$B$58,0)))),NOT(IFERROR(COUNTIF(OFFSET('PRODUCT DATA'!$F$2,0,MATCH($AC161,'PRODUCT DATA'!$F$1:$NN$1,0)-1,114,1),$N161)&gt;0,FALSE()))),IF(UPPER(IFERROR(OFFSET('PRODUCT DATA'!$C$2,MATCH($N161,'PRODUCT DATA'!$B$2:$B$58,0)-1,0),""))="NO","Alcohol Restriction; ","Item Code / Country combination; "),"")&amp;IF($C161="","Quantity; ","")&amp;IF(AND($C161&lt;&gt;"",OR(NOT(ISNUMBER($C161)),$C161&lt;1,$C161&gt;999,MOD($C161,1)&lt;&gt;0)),"Quantity; ","")&amp;IF($D161="","Recipient Name; ","")&amp;IF(LEN($D161)&gt;35,"Recipient Name; ","")&amp;IF($E161="","Recipient Phone; ","")&amp;IF(AND($E161&lt;&gt;"",OR(LEN($E161)&lt;6,LEN($E161)&gt;20,NOT(IFERROR(ISNUMBER(1*$E161),FALSE())))),"Recipient Phone; ","")&amp;IF(LEN($F161)&gt;35,"Recipient Company Name; ","")&amp;IF($G161="","Address Line 1; ","")&amp;IF(LEN($G161)&gt;35,"Address Line 1; ","")&amp;IF(LEN($H161)&gt;35,"Address Line 2; ","")&amp;IF(LEN($I161)&gt;35,"Address Line 3; ","")&amp;IF($J161="","Town; ","")&amp;IF(LEN($J161)&gt;35,"Town; ","")&amp;IF(AND($N161="IE",$K161=""),"County; ","")&amp;IF(LEN($AB161)&gt;35,"County; ","")&amp;IF(AND($L161="",AND($N161&lt;&gt;"AE",$N161&lt;&gt;"QA")),"Postcode; ","")&amp;IF(LEN($L161)&gt;35,"Postcode; ","")&amp;IF($AE161&lt;&gt;"","Postcode; ","")&amp;IF(LEN($O161)&gt;40,"Gift Message 1; ","")&amp;IF(LEN($P161)&gt;40,"Gift Message 2; ","")&amp;IF(LEN($Q161)&gt;40,"Gift Message 3; ","")&amp;IF(LEN($R161)&gt;40,"Gift Message 4; ","")&amp;IF(LEN($S161)&gt;40,"Gift Message 5; ","")&amp;IF(LEN($T161)&gt;40,"Gift Message 6; ","")&amp;IF(LEN($U161)&gt;40,"Gift Message 7; ",""))</f>
        <v/>
      </c>
      <c r="X161" s="44" t="str">
        <f ca="1">IF(COUNTA($A161,$D161:$M161,$O161:$U161)=0,"",IF($A161="","Enter the Item Code (hamper) - type it, paste it, or choose it from the dropdown. ","")&amp;IF(AND($A161&lt;&gt;"",ISNA(MATCH($AC161,'PRODUCT DATA'!$D$2:$D$394,0))),"This Item Code is not recognised. Check the code (case does not matter, but spelling and digits must match exactly) or choose it from the dropdown. ","")&amp;IF($M161="","Enter the Country after the Item Code - type or paste the name or the 2-letter code, or choose it from the dropdown. ","")&amp;IF(AND($M161&lt;&gt;"",NOT(OR(NOT(ISNA(MATCH(IF(UPPER($M161)="UK","GB",$M161),'PRODUCT DATA'!$A$2:$A$58,0))),NOT(ISNA(MATCH(IF(UPPER($M161)="UK","GB",$M161),'PRODUCT DATA'!$B$2:$B$58,0)))))),"This Country is not recognised as either a full name or a 2-letter code. Check the spelling (case does not matter) or choose it from the dropdown. ","")&amp;IF(AND($A161&lt;&gt;"",$M161&lt;&gt;"",NOT(ISNA(MATCH($AC161,'PRODUCT DATA'!$D$2:$D$394,0))),OR(NOT(ISNA(MATCH(IF(UPPER($M161)="UK","GB",$M161),'PRODUCT DATA'!$A$2:$A$58,0))),NOT(ISNA(MATCH(IF(UPPER($M161)="UK","GB",$M161),'PRODUCT DATA'!$B$2:$B$58,0)))),NOT(IFERROR(COUNTIF(OFFSET('PRODUCT DATA'!$F$2,0,MATCH($AC161,'PRODUCT DATA'!$F$1:$NN$1,0)-1,114,1),$N161)&gt;0,FALSE()))),IF(UPPER(IFERROR(OFFSET('PRODUCT DATA'!$C$2,MATCH($N161,'PRODUCT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"),"")&amp;IF($C161="","Enter Quantity. ","")&amp;IF(AND($C161&lt;&gt;"",OR(NOT(ISNUMBER($C161)),$C161&lt;1,$C161&gt;999,MOD($C161,1)&lt;&gt;0)),"Quantity must be a whole number from 1 to 999 (use a quantity above 1 only for a genuine bulk order of identical items to ONE address — otherwise use a separate row per recipient). ","")&amp;IF($D161="","Enter Recipient Name. ","")&amp;IF(LEN($D161)&gt;35,"Recipient Name exceeds 35 characters. ","")&amp;IF($E161="","Enter Recipient Phone. ","")&amp;IF(AND($E161&lt;&gt;"",OR(LEN($E161)&lt;6,LEN($E161)&gt;20,NOT(IFERROR(ISNUMBER(1*$E161),FALSE())))),"Phone must be the LOCAL number for the destination country: digits only, no +, spaces, or country code, 6 to 20 digits. ","")&amp;IF(LEN($F161)&gt;35,"Recipient Company Name exceeds 35 characters. ","")&amp;IF($G161="","Enter Address Line 1. ","")&amp;IF(LEN($G161)&gt;35,"Address Line 1 exceeds the 35-character SAP limit. ","")&amp;IF(LEN($H161)&gt;35,"Address Line 2 exceeds the 35-character SAP limit. ","")&amp;IF(LEN($I161)&gt;35,"Address Line 3 exceeds the 35-character SAP limit. ","")&amp;IF($J161="","Enter Town. This must never be left blank, even if there is no conventional town name. ","")&amp;IF(LEN($J161)&gt;35,"Town exceeds 35 characters. ","")&amp;IF(AND($N161="IE",$K161=""),"County is required for deliveries within the Republic of Ireland. ","")&amp;IF(LEN($AB161)&gt;35,"County exceeds 35 characters. ","")&amp;IF(AND($L161="",AND($N161&lt;&gt;"AE",$N161&lt;&gt;"QA")),"Postcode is required for the selected country. If there is genuinely no postcode, enter the first 3 characters of the area (e.g. D15). ","")&amp;IF(LEN($L161)&gt;35,"Postcode exceeds 35 characters. ","")&amp;IF($AE161&lt;&gt;"",$AE161,"")&amp;IF(LEN($O161)&gt;40,"Gift Message Line 1 exceeds 40 characters. ","")&amp;IF(LEN($P161)&gt;40,"Gift Message Line 2 exceeds 40 characters. ","")&amp;IF(LEN($Q161)&gt;40,"Gift Message Line 3 exceeds 40 characters. ","")&amp;IF(LEN($R161)&gt;40,"Gift Message Line 4 exceeds 40 characters. ","")&amp;IF(LEN($S161)&gt;40,"Gift Message Line 5 exceeds 40 characters. ","")&amp;IF(LEN($T161)&gt;40,"Gift Message Line 6 exceeds 40 characters. ","")&amp;IF(LEN($U161)&gt;40,"Gift Message Line 7 exceeds 40 characters. ",""))</f>
        <v/>
      </c>
      <c r="Y161" s="44" t="str">
        <f t="shared" si="9"/>
        <v/>
      </c>
      <c r="Z161" s="44"/>
      <c r="AA161" s="44"/>
      <c r="AB161" s="32" t="str">
        <f t="shared" si="10"/>
        <v/>
      </c>
      <c r="AC161" s="32" t="str">
        <f>IF($A161="","",IFERROR(LEFT(INDEX('PRODUCT DATA'!$NO$2:$NO$25,MATCH($A161,'PRODUCT DATA'!$NP$2:$NP$25,0)),FIND("|",INDEX('PRODUCT DATA'!$NO$2:$NO$25,MATCH($A161,'PRODUCT DATA'!$NP$2:$NP$25,0)))-1),$A161))</f>
        <v/>
      </c>
      <c r="AD161" s="45"/>
      <c r="AE161" s="45" t="str">
        <f t="shared" si="11"/>
        <v/>
      </c>
    </row>
    <row r="162" spans="1:31" ht="15" customHeight="1" x14ac:dyDescent="0.25">
      <c r="A162" s="40"/>
      <c r="B162" s="43" t="str">
        <f>IF($A162="","",IFERROR(VLOOKUP($AC162,'PRODUCT DATA'!$NR$2:$NS$374,2,FALSE()),"UNKNOWN ITEM CODE - please check"))</f>
        <v/>
      </c>
      <c r="C162" s="39">
        <v>1</v>
      </c>
      <c r="D162" s="39"/>
      <c r="E162" s="40"/>
      <c r="F162" s="41"/>
      <c r="G162" s="39"/>
      <c r="H162" s="41"/>
      <c r="I162" s="41"/>
      <c r="J162" s="39"/>
      <c r="K162" s="41"/>
      <c r="L162" s="40"/>
      <c r="M162" s="40"/>
      <c r="N162" s="42" t="str">
        <f>IF($M162="","",IFERROR(INDEX('PRODUCT DATA'!$B$2:$B$58,MATCH(IF(UPPER($M162)="UK","GB",$M162),'PRODUCT DATA'!$B$2:$B$58,0)),IFERROR(INDEX('PRODUCT DATA'!$B$2:$B$58,MATCH(IF(UPPER($M162)="UK","GB",$M162),'PRODUCT DATA'!$A$2:$A$58,0)),"UNKNOWN COUNTRY - please check")))</f>
        <v/>
      </c>
      <c r="O162" s="41"/>
      <c r="P162" s="41"/>
      <c r="Q162" s="41"/>
      <c r="R162" s="41"/>
      <c r="S162" s="41"/>
      <c r="T162" s="41"/>
      <c r="U162" s="41"/>
      <c r="V162" s="43" t="str">
        <f t="shared" si="8"/>
        <v/>
      </c>
      <c r="W162" s="44" t="str">
        <f ca="1">IF(COUNTA($A162,$D162:$M162,$O162:$U162)=0,"",IF($A162="","Item Code; ","")&amp;IF(AND($A162&lt;&gt;"",ISNA(MATCH($AC162,'PRODUCT DATA'!$D$2:$D$394,0))),"Item Code; ","")&amp;IF($M162="","Country; ","")&amp;IF(AND($M162&lt;&gt;"",NOT(OR(NOT(ISNA(MATCH(IF(UPPER($M162)="UK","GB",$M162),'PRODUCT DATA'!$A$2:$A$58,0))),NOT(ISNA(MATCH(IF(UPPER($M162)="UK","GB",$M162),'PRODUCT DATA'!$B$2:$B$58,0)))))),"Country; ","")&amp;IF(AND($A162&lt;&gt;"",$M162&lt;&gt;"",NOT(ISNA(MATCH($AC162,'PRODUCT DATA'!$D$2:$D$394,0))),OR(NOT(ISNA(MATCH(IF(UPPER($M162)="UK","GB",$M162),'PRODUCT DATA'!$A$2:$A$58,0))),NOT(ISNA(MATCH(IF(UPPER($M162)="UK","GB",$M162),'PRODUCT DATA'!$B$2:$B$58,0)))),NOT(IFERROR(COUNTIF(OFFSET('PRODUCT DATA'!$F$2,0,MATCH($AC162,'PRODUCT DATA'!$F$1:$NN$1,0)-1,114,1),$N162)&gt;0,FALSE()))),IF(UPPER(IFERROR(OFFSET('PRODUCT DATA'!$C$2,MATCH($N162,'PRODUCT DATA'!$B$2:$B$58,0)-1,0),""))="NO","Alcohol Restriction; ","Item Code / Country combination; "),"")&amp;IF($C162="","Quantity; ","")&amp;IF(AND($C162&lt;&gt;"",OR(NOT(ISNUMBER($C162)),$C162&lt;1,$C162&gt;999,MOD($C162,1)&lt;&gt;0)),"Quantity; ","")&amp;IF($D162="","Recipient Name; ","")&amp;IF(LEN($D162)&gt;35,"Recipient Name; ","")&amp;IF($E162="","Recipient Phone; ","")&amp;IF(AND($E162&lt;&gt;"",OR(LEN($E162)&lt;6,LEN($E162)&gt;20,NOT(IFERROR(ISNUMBER(1*$E162),FALSE())))),"Recipient Phone; ","")&amp;IF(LEN($F162)&gt;35,"Recipient Company Name; ","")&amp;IF($G162="","Address Line 1; ","")&amp;IF(LEN($G162)&gt;35,"Address Line 1; ","")&amp;IF(LEN($H162)&gt;35,"Address Line 2; ","")&amp;IF(LEN($I162)&gt;35,"Address Line 3; ","")&amp;IF($J162="","Town; ","")&amp;IF(LEN($J162)&gt;35,"Town; ","")&amp;IF(AND($N162="IE",$K162=""),"County; ","")&amp;IF(LEN($AB162)&gt;35,"County; ","")&amp;IF(AND($L162="",AND($N162&lt;&gt;"AE",$N162&lt;&gt;"QA")),"Postcode; ","")&amp;IF(LEN($L162)&gt;35,"Postcode; ","")&amp;IF($AE162&lt;&gt;"","Postcode; ","")&amp;IF(LEN($O162)&gt;40,"Gift Message 1; ","")&amp;IF(LEN($P162)&gt;40,"Gift Message 2; ","")&amp;IF(LEN($Q162)&gt;40,"Gift Message 3; ","")&amp;IF(LEN($R162)&gt;40,"Gift Message 4; ","")&amp;IF(LEN($S162)&gt;40,"Gift Message 5; ","")&amp;IF(LEN($T162)&gt;40,"Gift Message 6; ","")&amp;IF(LEN($U162)&gt;40,"Gift Message 7; ",""))</f>
        <v/>
      </c>
      <c r="X162" s="44" t="str">
        <f ca="1">IF(COUNTA($A162,$D162:$M162,$O162:$U162)=0,"",IF($A162="","Enter the Item Code (hamper) - type it, paste it, or choose it from the dropdown. ","")&amp;IF(AND($A162&lt;&gt;"",ISNA(MATCH($AC162,'PRODUCT DATA'!$D$2:$D$394,0))),"This Item Code is not recognised. Check the code (case does not matter, but spelling and digits must match exactly) or choose it from the dropdown. ","")&amp;IF($M162="","Enter the Country after the Item Code - type or paste the name or the 2-letter code, or choose it from the dropdown. ","")&amp;IF(AND($M162&lt;&gt;"",NOT(OR(NOT(ISNA(MATCH(IF(UPPER($M162)="UK","GB",$M162),'PRODUCT DATA'!$A$2:$A$58,0))),NOT(ISNA(MATCH(IF(UPPER($M162)="UK","GB",$M162),'PRODUCT DATA'!$B$2:$B$58,0)))))),"This Country is not recognised as either a full name or a 2-letter code. Check the spelling (case does not matter) or choose it from the dropdown. ","")&amp;IF(AND($A162&lt;&gt;"",$M162&lt;&gt;"",NOT(ISNA(MATCH($AC162,'PRODUCT DATA'!$D$2:$D$394,0))),OR(NOT(ISNA(MATCH(IF(UPPER($M162)="UK","GB",$M162),'PRODUCT DATA'!$A$2:$A$58,0))),NOT(ISNA(MATCH(IF(UPPER($M162)="UK","GB",$M162),'PRODUCT DATA'!$B$2:$B$58,0)))),NOT(IFERROR(COUNTIF(OFFSET('PRODUCT DATA'!$F$2,0,MATCH($AC162,'PRODUCT DATA'!$F$1:$NN$1,0)-1,114,1),$N162)&gt;0,FALSE()))),IF(UPPER(IFERROR(OFFSET('PRODUCT DATA'!$C$2,MATCH($N162,'PRODUCT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"),"")&amp;IF($C162="","Enter Quantity. ","")&amp;IF(AND($C162&lt;&gt;"",OR(NOT(ISNUMBER($C162)),$C162&lt;1,$C162&gt;999,MOD($C162,1)&lt;&gt;0)),"Quantity must be a whole number from 1 to 999 (use a quantity above 1 only for a genuine bulk order of identical items to ONE address — otherwise use a separate row per recipient). ","")&amp;IF($D162="","Enter Recipient Name. ","")&amp;IF(LEN($D162)&gt;35,"Recipient Name exceeds 35 characters. ","")&amp;IF($E162="","Enter Recipient Phone. ","")&amp;IF(AND($E162&lt;&gt;"",OR(LEN($E162)&lt;6,LEN($E162)&gt;20,NOT(IFERROR(ISNUMBER(1*$E162),FALSE())))),"Phone must be the LOCAL number for the destination country: digits only, no +, spaces, or country code, 6 to 20 digits. ","")&amp;IF(LEN($F162)&gt;35,"Recipient Company Name exceeds 35 characters. ","")&amp;IF($G162="","Enter Address Line 1. ","")&amp;IF(LEN($G162)&gt;35,"Address Line 1 exceeds the 35-character SAP limit. ","")&amp;IF(LEN($H162)&gt;35,"Address Line 2 exceeds the 35-character SAP limit. ","")&amp;IF(LEN($I162)&gt;35,"Address Line 3 exceeds the 35-character SAP limit. ","")&amp;IF($J162="","Enter Town. This must never be left blank, even if there is no conventional town name. ","")&amp;IF(LEN($J162)&gt;35,"Town exceeds 35 characters. ","")&amp;IF(AND($N162="IE",$K162=""),"County is required for deliveries within the Republic of Ireland. ","")&amp;IF(LEN($AB162)&gt;35,"County exceeds 35 characters. ","")&amp;IF(AND($L162="",AND($N162&lt;&gt;"AE",$N162&lt;&gt;"QA")),"Postcode is required for the selected country. If there is genuinely no postcode, enter the first 3 characters of the area (e.g. D15). ","")&amp;IF(LEN($L162)&gt;35,"Postcode exceeds 35 characters. ","")&amp;IF($AE162&lt;&gt;"",$AE162,"")&amp;IF(LEN($O162)&gt;40,"Gift Message Line 1 exceeds 40 characters. ","")&amp;IF(LEN($P162)&gt;40,"Gift Message Line 2 exceeds 40 characters. ","")&amp;IF(LEN($Q162)&gt;40,"Gift Message Line 3 exceeds 40 characters. ","")&amp;IF(LEN($R162)&gt;40,"Gift Message Line 4 exceeds 40 characters. ","")&amp;IF(LEN($S162)&gt;40,"Gift Message Line 5 exceeds 40 characters. ","")&amp;IF(LEN($T162)&gt;40,"Gift Message Line 6 exceeds 40 characters. ","")&amp;IF(LEN($U162)&gt;40,"Gift Message Line 7 exceeds 40 characters. ",""))</f>
        <v/>
      </c>
      <c r="Y162" s="44" t="str">
        <f t="shared" si="9"/>
        <v/>
      </c>
      <c r="Z162" s="44"/>
      <c r="AA162" s="44"/>
      <c r="AB162" s="32" t="str">
        <f t="shared" si="10"/>
        <v/>
      </c>
      <c r="AC162" s="32" t="str">
        <f>IF($A162="","",IFERROR(LEFT(INDEX('PRODUCT DATA'!$NO$2:$NO$25,MATCH($A162,'PRODUCT DATA'!$NP$2:$NP$25,0)),FIND("|",INDEX('PRODUCT DATA'!$NO$2:$NO$25,MATCH($A162,'PRODUCT DATA'!$NP$2:$NP$25,0)))-1),$A162))</f>
        <v/>
      </c>
      <c r="AD162" s="45"/>
      <c r="AE162" s="45" t="str">
        <f t="shared" si="11"/>
        <v/>
      </c>
    </row>
    <row r="163" spans="1:31" ht="15" customHeight="1" x14ac:dyDescent="0.25">
      <c r="A163" s="40"/>
      <c r="B163" s="43" t="str">
        <f>IF($A163="","",IFERROR(VLOOKUP($AC163,'PRODUCT DATA'!$NR$2:$NS$374,2,FALSE()),"UNKNOWN ITEM CODE - please check"))</f>
        <v/>
      </c>
      <c r="C163" s="39">
        <v>1</v>
      </c>
      <c r="D163" s="39"/>
      <c r="E163" s="40"/>
      <c r="F163" s="41"/>
      <c r="G163" s="39"/>
      <c r="H163" s="41"/>
      <c r="I163" s="41"/>
      <c r="J163" s="39"/>
      <c r="K163" s="41"/>
      <c r="L163" s="40"/>
      <c r="M163" s="40"/>
      <c r="N163" s="42" t="str">
        <f>IF($M163="","",IFERROR(INDEX('PRODUCT DATA'!$B$2:$B$58,MATCH(IF(UPPER($M163)="UK","GB",$M163),'PRODUCT DATA'!$B$2:$B$58,0)),IFERROR(INDEX('PRODUCT DATA'!$B$2:$B$58,MATCH(IF(UPPER($M163)="UK","GB",$M163),'PRODUCT DATA'!$A$2:$A$58,0)),"UNKNOWN COUNTRY - please check")))</f>
        <v/>
      </c>
      <c r="O163" s="41"/>
      <c r="P163" s="41"/>
      <c r="Q163" s="41"/>
      <c r="R163" s="41"/>
      <c r="S163" s="41"/>
      <c r="T163" s="41"/>
      <c r="U163" s="41"/>
      <c r="V163" s="43" t="str">
        <f t="shared" si="8"/>
        <v/>
      </c>
      <c r="W163" s="44" t="str">
        <f ca="1">IF(COUNTA($A163,$D163:$M163,$O163:$U163)=0,"",IF($A163="","Item Code; ","")&amp;IF(AND($A163&lt;&gt;"",ISNA(MATCH($AC163,'PRODUCT DATA'!$D$2:$D$394,0))),"Item Code; ","")&amp;IF($M163="","Country; ","")&amp;IF(AND($M163&lt;&gt;"",NOT(OR(NOT(ISNA(MATCH(IF(UPPER($M163)="UK","GB",$M163),'PRODUCT DATA'!$A$2:$A$58,0))),NOT(ISNA(MATCH(IF(UPPER($M163)="UK","GB",$M163),'PRODUCT DATA'!$B$2:$B$58,0)))))),"Country; ","")&amp;IF(AND($A163&lt;&gt;"",$M163&lt;&gt;"",NOT(ISNA(MATCH($AC163,'PRODUCT DATA'!$D$2:$D$394,0))),OR(NOT(ISNA(MATCH(IF(UPPER($M163)="UK","GB",$M163),'PRODUCT DATA'!$A$2:$A$58,0))),NOT(ISNA(MATCH(IF(UPPER($M163)="UK","GB",$M163),'PRODUCT DATA'!$B$2:$B$58,0)))),NOT(IFERROR(COUNTIF(OFFSET('PRODUCT DATA'!$F$2,0,MATCH($AC163,'PRODUCT DATA'!$F$1:$NN$1,0)-1,114,1),$N163)&gt;0,FALSE()))),IF(UPPER(IFERROR(OFFSET('PRODUCT DATA'!$C$2,MATCH($N163,'PRODUCT DATA'!$B$2:$B$58,0)-1,0),""))="NO","Alcohol Restriction; ","Item Code / Country combination; "),"")&amp;IF($C163="","Quantity; ","")&amp;IF(AND($C163&lt;&gt;"",OR(NOT(ISNUMBER($C163)),$C163&lt;1,$C163&gt;999,MOD($C163,1)&lt;&gt;0)),"Quantity; ","")&amp;IF($D163="","Recipient Name; ","")&amp;IF(LEN($D163)&gt;35,"Recipient Name; ","")&amp;IF($E163="","Recipient Phone; ","")&amp;IF(AND($E163&lt;&gt;"",OR(LEN($E163)&lt;6,LEN($E163)&gt;20,NOT(IFERROR(ISNUMBER(1*$E163),FALSE())))),"Recipient Phone; ","")&amp;IF(LEN($F163)&gt;35,"Recipient Company Name; ","")&amp;IF($G163="","Address Line 1; ","")&amp;IF(LEN($G163)&gt;35,"Address Line 1; ","")&amp;IF(LEN($H163)&gt;35,"Address Line 2; ","")&amp;IF(LEN($I163)&gt;35,"Address Line 3; ","")&amp;IF($J163="","Town; ","")&amp;IF(LEN($J163)&gt;35,"Town; ","")&amp;IF(AND($N163="IE",$K163=""),"County; ","")&amp;IF(LEN($AB163)&gt;35,"County; ","")&amp;IF(AND($L163="",AND($N163&lt;&gt;"AE",$N163&lt;&gt;"QA")),"Postcode; ","")&amp;IF(LEN($L163)&gt;35,"Postcode; ","")&amp;IF($AE163&lt;&gt;"","Postcode; ","")&amp;IF(LEN($O163)&gt;40,"Gift Message 1; ","")&amp;IF(LEN($P163)&gt;40,"Gift Message 2; ","")&amp;IF(LEN($Q163)&gt;40,"Gift Message 3; ","")&amp;IF(LEN($R163)&gt;40,"Gift Message 4; ","")&amp;IF(LEN($S163)&gt;40,"Gift Message 5; ","")&amp;IF(LEN($T163)&gt;40,"Gift Message 6; ","")&amp;IF(LEN($U163)&gt;40,"Gift Message 7; ",""))</f>
        <v/>
      </c>
      <c r="X163" s="44" t="str">
        <f ca="1">IF(COUNTA($A163,$D163:$M163,$O163:$U163)=0,"",IF($A163="","Enter the Item Code (hamper) - type it, paste it, or choose it from the dropdown. ","")&amp;IF(AND($A163&lt;&gt;"",ISNA(MATCH($AC163,'PRODUCT DATA'!$D$2:$D$394,0))),"This Item Code is not recognised. Check the code (case does not matter, but spelling and digits must match exactly) or choose it from the dropdown. ","")&amp;IF($M163="","Enter the Country after the Item Code - type or paste the name or the 2-letter code, or choose it from the dropdown. ","")&amp;IF(AND($M163&lt;&gt;"",NOT(OR(NOT(ISNA(MATCH(IF(UPPER($M163)="UK","GB",$M163),'PRODUCT DATA'!$A$2:$A$58,0))),NOT(ISNA(MATCH(IF(UPPER($M163)="UK","GB",$M163),'PRODUCT DATA'!$B$2:$B$58,0)))))),"This Country is not recognised as either a full name or a 2-letter code. Check the spelling (case does not matter) or choose it from the dropdown. ","")&amp;IF(AND($A163&lt;&gt;"",$M163&lt;&gt;"",NOT(ISNA(MATCH($AC163,'PRODUCT DATA'!$D$2:$D$394,0))),OR(NOT(ISNA(MATCH(IF(UPPER($M163)="UK","GB",$M163),'PRODUCT DATA'!$A$2:$A$58,0))),NOT(ISNA(MATCH(IF(UPPER($M163)="UK","GB",$M163),'PRODUCT DATA'!$B$2:$B$58,0)))),NOT(IFERROR(COUNTIF(OFFSET('PRODUCT DATA'!$F$2,0,MATCH($AC163,'PRODUCT DATA'!$F$1:$NN$1,0)-1,114,1),$N163)&gt;0,FALSE()))),IF(UPPER(IFERROR(OFFSET('PRODUCT DATA'!$C$2,MATCH($N163,'PRODUCT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"),"")&amp;IF($C163="","Enter Quantity. ","")&amp;IF(AND($C163&lt;&gt;"",OR(NOT(ISNUMBER($C163)),$C163&lt;1,$C163&gt;999,MOD($C163,1)&lt;&gt;0)),"Quantity must be a whole number from 1 to 999 (use a quantity above 1 only for a genuine bulk order of identical items to ONE address — otherwise use a separate row per recipient). ","")&amp;IF($D163="","Enter Recipient Name. ","")&amp;IF(LEN($D163)&gt;35,"Recipient Name exceeds 35 characters. ","")&amp;IF($E163="","Enter Recipient Phone. ","")&amp;IF(AND($E163&lt;&gt;"",OR(LEN($E163)&lt;6,LEN($E163)&gt;20,NOT(IFERROR(ISNUMBER(1*$E163),FALSE())))),"Phone must be the LOCAL number for the destination country: digits only, no +, spaces, or country code, 6 to 20 digits. ","")&amp;IF(LEN($F163)&gt;35,"Recipient Company Name exceeds 35 characters. ","")&amp;IF($G163="","Enter Address Line 1. ","")&amp;IF(LEN($G163)&gt;35,"Address Line 1 exceeds the 35-character SAP limit. ","")&amp;IF(LEN($H163)&gt;35,"Address Line 2 exceeds the 35-character SAP limit. ","")&amp;IF(LEN($I163)&gt;35,"Address Line 3 exceeds the 35-character SAP limit. ","")&amp;IF($J163="","Enter Town. This must never be left blank, even if there is no conventional town name. ","")&amp;IF(LEN($J163)&gt;35,"Town exceeds 35 characters. ","")&amp;IF(AND($N163="IE",$K163=""),"County is required for deliveries within the Republic of Ireland. ","")&amp;IF(LEN($AB163)&gt;35,"County exceeds 35 characters. ","")&amp;IF(AND($L163="",AND($N163&lt;&gt;"AE",$N163&lt;&gt;"QA")),"Postcode is required for the selected country. If there is genuinely no postcode, enter the first 3 characters of the area (e.g. D15). ","")&amp;IF(LEN($L163)&gt;35,"Postcode exceeds 35 characters. ","")&amp;IF($AE163&lt;&gt;"",$AE163,"")&amp;IF(LEN($O163)&gt;40,"Gift Message Line 1 exceeds 40 characters. ","")&amp;IF(LEN($P163)&gt;40,"Gift Message Line 2 exceeds 40 characters. ","")&amp;IF(LEN($Q163)&gt;40,"Gift Message Line 3 exceeds 40 characters. ","")&amp;IF(LEN($R163)&gt;40,"Gift Message Line 4 exceeds 40 characters. ","")&amp;IF(LEN($S163)&gt;40,"Gift Message Line 5 exceeds 40 characters. ","")&amp;IF(LEN($T163)&gt;40,"Gift Message Line 6 exceeds 40 characters. ","")&amp;IF(LEN($U163)&gt;40,"Gift Message Line 7 exceeds 40 characters. ",""))</f>
        <v/>
      </c>
      <c r="Y163" s="44" t="str">
        <f t="shared" si="9"/>
        <v/>
      </c>
      <c r="Z163" s="44"/>
      <c r="AA163" s="44"/>
      <c r="AB163" s="32" t="str">
        <f t="shared" si="10"/>
        <v/>
      </c>
      <c r="AC163" s="32" t="str">
        <f>IF($A163="","",IFERROR(LEFT(INDEX('PRODUCT DATA'!$NO$2:$NO$25,MATCH($A163,'PRODUCT DATA'!$NP$2:$NP$25,0)),FIND("|",INDEX('PRODUCT DATA'!$NO$2:$NO$25,MATCH($A163,'PRODUCT DATA'!$NP$2:$NP$25,0)))-1),$A163))</f>
        <v/>
      </c>
      <c r="AD163" s="45"/>
      <c r="AE163" s="45" t="str">
        <f t="shared" si="11"/>
        <v/>
      </c>
    </row>
    <row r="164" spans="1:31" ht="15" customHeight="1" x14ac:dyDescent="0.25">
      <c r="A164" s="40"/>
      <c r="B164" s="43" t="str">
        <f>IF($A164="","",IFERROR(VLOOKUP($AC164,'PRODUCT DATA'!$NR$2:$NS$374,2,FALSE()),"UNKNOWN ITEM CODE - please check"))</f>
        <v/>
      </c>
      <c r="C164" s="39">
        <v>1</v>
      </c>
      <c r="D164" s="39"/>
      <c r="E164" s="40"/>
      <c r="F164" s="41"/>
      <c r="G164" s="39"/>
      <c r="H164" s="41"/>
      <c r="I164" s="41"/>
      <c r="J164" s="39"/>
      <c r="K164" s="41"/>
      <c r="L164" s="40"/>
      <c r="M164" s="40"/>
      <c r="N164" s="42" t="str">
        <f>IF($M164="","",IFERROR(INDEX('PRODUCT DATA'!$B$2:$B$58,MATCH(IF(UPPER($M164)="UK","GB",$M164),'PRODUCT DATA'!$B$2:$B$58,0)),IFERROR(INDEX('PRODUCT DATA'!$B$2:$B$58,MATCH(IF(UPPER($M164)="UK","GB",$M164),'PRODUCT DATA'!$A$2:$A$58,0)),"UNKNOWN COUNTRY - please check")))</f>
        <v/>
      </c>
      <c r="O164" s="41"/>
      <c r="P164" s="41"/>
      <c r="Q164" s="41"/>
      <c r="R164" s="41"/>
      <c r="S164" s="41"/>
      <c r="T164" s="41"/>
      <c r="U164" s="41"/>
      <c r="V164" s="43" t="str">
        <f t="shared" si="8"/>
        <v/>
      </c>
      <c r="W164" s="44" t="str">
        <f ca="1">IF(COUNTA($A164,$D164:$M164,$O164:$U164)=0,"",IF($A164="","Item Code; ","")&amp;IF(AND($A164&lt;&gt;"",ISNA(MATCH($AC164,'PRODUCT DATA'!$D$2:$D$394,0))),"Item Code; ","")&amp;IF($M164="","Country; ","")&amp;IF(AND($M164&lt;&gt;"",NOT(OR(NOT(ISNA(MATCH(IF(UPPER($M164)="UK","GB",$M164),'PRODUCT DATA'!$A$2:$A$58,0))),NOT(ISNA(MATCH(IF(UPPER($M164)="UK","GB",$M164),'PRODUCT DATA'!$B$2:$B$58,0)))))),"Country; ","")&amp;IF(AND($A164&lt;&gt;"",$M164&lt;&gt;"",NOT(ISNA(MATCH($AC164,'PRODUCT DATA'!$D$2:$D$394,0))),OR(NOT(ISNA(MATCH(IF(UPPER($M164)="UK","GB",$M164),'PRODUCT DATA'!$A$2:$A$58,0))),NOT(ISNA(MATCH(IF(UPPER($M164)="UK","GB",$M164),'PRODUCT DATA'!$B$2:$B$58,0)))),NOT(IFERROR(COUNTIF(OFFSET('PRODUCT DATA'!$F$2,0,MATCH($AC164,'PRODUCT DATA'!$F$1:$NN$1,0)-1,114,1),$N164)&gt;0,FALSE()))),IF(UPPER(IFERROR(OFFSET('PRODUCT DATA'!$C$2,MATCH($N164,'PRODUCT DATA'!$B$2:$B$58,0)-1,0),""))="NO","Alcohol Restriction; ","Item Code / Country combination; "),"")&amp;IF($C164="","Quantity; ","")&amp;IF(AND($C164&lt;&gt;"",OR(NOT(ISNUMBER($C164)),$C164&lt;1,$C164&gt;999,MOD($C164,1)&lt;&gt;0)),"Quantity; ","")&amp;IF($D164="","Recipient Name; ","")&amp;IF(LEN($D164)&gt;35,"Recipient Name; ","")&amp;IF($E164="","Recipient Phone; ","")&amp;IF(AND($E164&lt;&gt;"",OR(LEN($E164)&lt;6,LEN($E164)&gt;20,NOT(IFERROR(ISNUMBER(1*$E164),FALSE())))),"Recipient Phone; ","")&amp;IF(LEN($F164)&gt;35,"Recipient Company Name; ","")&amp;IF($G164="","Address Line 1; ","")&amp;IF(LEN($G164)&gt;35,"Address Line 1; ","")&amp;IF(LEN($H164)&gt;35,"Address Line 2; ","")&amp;IF(LEN($I164)&gt;35,"Address Line 3; ","")&amp;IF($J164="","Town; ","")&amp;IF(LEN($J164)&gt;35,"Town; ","")&amp;IF(AND($N164="IE",$K164=""),"County; ","")&amp;IF(LEN($AB164)&gt;35,"County; ","")&amp;IF(AND($L164="",AND($N164&lt;&gt;"AE",$N164&lt;&gt;"QA")),"Postcode; ","")&amp;IF(LEN($L164)&gt;35,"Postcode; ","")&amp;IF($AE164&lt;&gt;"","Postcode; ","")&amp;IF(LEN($O164)&gt;40,"Gift Message 1; ","")&amp;IF(LEN($P164)&gt;40,"Gift Message 2; ","")&amp;IF(LEN($Q164)&gt;40,"Gift Message 3; ","")&amp;IF(LEN($R164)&gt;40,"Gift Message 4; ","")&amp;IF(LEN($S164)&gt;40,"Gift Message 5; ","")&amp;IF(LEN($T164)&gt;40,"Gift Message 6; ","")&amp;IF(LEN($U164)&gt;40,"Gift Message 7; ",""))</f>
        <v/>
      </c>
      <c r="X164" s="44" t="str">
        <f ca="1">IF(COUNTA($A164,$D164:$M164,$O164:$U164)=0,"",IF($A164="","Enter the Item Code (hamper) - type it, paste it, or choose it from the dropdown. ","")&amp;IF(AND($A164&lt;&gt;"",ISNA(MATCH($AC164,'PRODUCT DATA'!$D$2:$D$394,0))),"This Item Code is not recognised. Check the code (case does not matter, but spelling and digits must match exactly) or choose it from the dropdown. ","")&amp;IF($M164="","Enter the Country after the Item Code - type or paste the name or the 2-letter code, or choose it from the dropdown. ","")&amp;IF(AND($M164&lt;&gt;"",NOT(OR(NOT(ISNA(MATCH(IF(UPPER($M164)="UK","GB",$M164),'PRODUCT DATA'!$A$2:$A$58,0))),NOT(ISNA(MATCH(IF(UPPER($M164)="UK","GB",$M164),'PRODUCT DATA'!$B$2:$B$58,0)))))),"This Country is not recognised as either a full name or a 2-letter code. Check the spelling (case does not matter) or choose it from the dropdown. ","")&amp;IF(AND($A164&lt;&gt;"",$M164&lt;&gt;"",NOT(ISNA(MATCH($AC164,'PRODUCT DATA'!$D$2:$D$394,0))),OR(NOT(ISNA(MATCH(IF(UPPER($M164)="UK","GB",$M164),'PRODUCT DATA'!$A$2:$A$58,0))),NOT(ISNA(MATCH(IF(UPPER($M164)="UK","GB",$M164),'PRODUCT DATA'!$B$2:$B$58,0)))),NOT(IFERROR(COUNTIF(OFFSET('PRODUCT DATA'!$F$2,0,MATCH($AC164,'PRODUCT DATA'!$F$1:$NN$1,0)-1,114,1),$N164)&gt;0,FALSE()))),IF(UPPER(IFERROR(OFFSET('PRODUCT DATA'!$C$2,MATCH($N164,'PRODUCT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"),"")&amp;IF($C164="","Enter Quantity. ","")&amp;IF(AND($C164&lt;&gt;"",OR(NOT(ISNUMBER($C164)),$C164&lt;1,$C164&gt;999,MOD($C164,1)&lt;&gt;0)),"Quantity must be a whole number from 1 to 999 (use a quantity above 1 only for a genuine bulk order of identical items to ONE address — otherwise use a separate row per recipient). ","")&amp;IF($D164="","Enter Recipient Name. ","")&amp;IF(LEN($D164)&gt;35,"Recipient Name exceeds 35 characters. ","")&amp;IF($E164="","Enter Recipient Phone. ","")&amp;IF(AND($E164&lt;&gt;"",OR(LEN($E164)&lt;6,LEN($E164)&gt;20,NOT(IFERROR(ISNUMBER(1*$E164),FALSE())))),"Phone must be the LOCAL number for the destination country: digits only, no +, spaces, or country code, 6 to 20 digits. ","")&amp;IF(LEN($F164)&gt;35,"Recipient Company Name exceeds 35 characters. ","")&amp;IF($G164="","Enter Address Line 1. ","")&amp;IF(LEN($G164)&gt;35,"Address Line 1 exceeds the 35-character SAP limit. ","")&amp;IF(LEN($H164)&gt;35,"Address Line 2 exceeds the 35-character SAP limit. ","")&amp;IF(LEN($I164)&gt;35,"Address Line 3 exceeds the 35-character SAP limit. ","")&amp;IF($J164="","Enter Town. This must never be left blank, even if there is no conventional town name. ","")&amp;IF(LEN($J164)&gt;35,"Town exceeds 35 characters. ","")&amp;IF(AND($N164="IE",$K164=""),"County is required for deliveries within the Republic of Ireland. ","")&amp;IF(LEN($AB164)&gt;35,"County exceeds 35 characters. ","")&amp;IF(AND($L164="",AND($N164&lt;&gt;"AE",$N164&lt;&gt;"QA")),"Postcode is required for the selected country. If there is genuinely no postcode, enter the first 3 characters of the area (e.g. D15). ","")&amp;IF(LEN($L164)&gt;35,"Postcode exceeds 35 characters. ","")&amp;IF($AE164&lt;&gt;"",$AE164,"")&amp;IF(LEN($O164)&gt;40,"Gift Message Line 1 exceeds 40 characters. ","")&amp;IF(LEN($P164)&gt;40,"Gift Message Line 2 exceeds 40 characters. ","")&amp;IF(LEN($Q164)&gt;40,"Gift Message Line 3 exceeds 40 characters. ","")&amp;IF(LEN($R164)&gt;40,"Gift Message Line 4 exceeds 40 characters. ","")&amp;IF(LEN($S164)&gt;40,"Gift Message Line 5 exceeds 40 characters. ","")&amp;IF(LEN($T164)&gt;40,"Gift Message Line 6 exceeds 40 characters. ","")&amp;IF(LEN($U164)&gt;40,"Gift Message Line 7 exceeds 40 characters. ",""))</f>
        <v/>
      </c>
      <c r="Y164" s="44" t="str">
        <f t="shared" si="9"/>
        <v/>
      </c>
      <c r="Z164" s="44"/>
      <c r="AA164" s="44"/>
      <c r="AB164" s="32" t="str">
        <f t="shared" si="10"/>
        <v/>
      </c>
      <c r="AC164" s="32" t="str">
        <f>IF($A164="","",IFERROR(LEFT(INDEX('PRODUCT DATA'!$NO$2:$NO$25,MATCH($A164,'PRODUCT DATA'!$NP$2:$NP$25,0)),FIND("|",INDEX('PRODUCT DATA'!$NO$2:$NO$25,MATCH($A164,'PRODUCT DATA'!$NP$2:$NP$25,0)))-1),$A164))</f>
        <v/>
      </c>
      <c r="AD164" s="45"/>
      <c r="AE164" s="45" t="str">
        <f t="shared" si="11"/>
        <v/>
      </c>
    </row>
    <row r="165" spans="1:31" ht="15" customHeight="1" x14ac:dyDescent="0.25">
      <c r="A165" s="40"/>
      <c r="B165" s="43" t="str">
        <f>IF($A165="","",IFERROR(VLOOKUP($AC165,'PRODUCT DATA'!$NR$2:$NS$374,2,FALSE()),"UNKNOWN ITEM CODE - please check"))</f>
        <v/>
      </c>
      <c r="C165" s="39">
        <v>1</v>
      </c>
      <c r="D165" s="39"/>
      <c r="E165" s="40"/>
      <c r="F165" s="41"/>
      <c r="G165" s="39"/>
      <c r="H165" s="41"/>
      <c r="I165" s="41"/>
      <c r="J165" s="39"/>
      <c r="K165" s="41"/>
      <c r="L165" s="40"/>
      <c r="M165" s="40"/>
      <c r="N165" s="42" t="str">
        <f>IF($M165="","",IFERROR(INDEX('PRODUCT DATA'!$B$2:$B$58,MATCH(IF(UPPER($M165)="UK","GB",$M165),'PRODUCT DATA'!$B$2:$B$58,0)),IFERROR(INDEX('PRODUCT DATA'!$B$2:$B$58,MATCH(IF(UPPER($M165)="UK","GB",$M165),'PRODUCT DATA'!$A$2:$A$58,0)),"UNKNOWN COUNTRY - please check")))</f>
        <v/>
      </c>
      <c r="O165" s="41"/>
      <c r="P165" s="41"/>
      <c r="Q165" s="41"/>
      <c r="R165" s="41"/>
      <c r="S165" s="41"/>
      <c r="T165" s="41"/>
      <c r="U165" s="41"/>
      <c r="V165" s="43" t="str">
        <f t="shared" si="8"/>
        <v/>
      </c>
      <c r="W165" s="44" t="str">
        <f ca="1">IF(COUNTA($A165,$D165:$M165,$O165:$U165)=0,"",IF($A165="","Item Code; ","")&amp;IF(AND($A165&lt;&gt;"",ISNA(MATCH($AC165,'PRODUCT DATA'!$D$2:$D$394,0))),"Item Code; ","")&amp;IF($M165="","Country; ","")&amp;IF(AND($M165&lt;&gt;"",NOT(OR(NOT(ISNA(MATCH(IF(UPPER($M165)="UK","GB",$M165),'PRODUCT DATA'!$A$2:$A$58,0))),NOT(ISNA(MATCH(IF(UPPER($M165)="UK","GB",$M165),'PRODUCT DATA'!$B$2:$B$58,0)))))),"Country; ","")&amp;IF(AND($A165&lt;&gt;"",$M165&lt;&gt;"",NOT(ISNA(MATCH($AC165,'PRODUCT DATA'!$D$2:$D$394,0))),OR(NOT(ISNA(MATCH(IF(UPPER($M165)="UK","GB",$M165),'PRODUCT DATA'!$A$2:$A$58,0))),NOT(ISNA(MATCH(IF(UPPER($M165)="UK","GB",$M165),'PRODUCT DATA'!$B$2:$B$58,0)))),NOT(IFERROR(COUNTIF(OFFSET('PRODUCT DATA'!$F$2,0,MATCH($AC165,'PRODUCT DATA'!$F$1:$NN$1,0)-1,114,1),$N165)&gt;0,FALSE()))),IF(UPPER(IFERROR(OFFSET('PRODUCT DATA'!$C$2,MATCH($N165,'PRODUCT DATA'!$B$2:$B$58,0)-1,0),""))="NO","Alcohol Restriction; ","Item Code / Country combination; "),"")&amp;IF($C165="","Quantity; ","")&amp;IF(AND($C165&lt;&gt;"",OR(NOT(ISNUMBER($C165)),$C165&lt;1,$C165&gt;999,MOD($C165,1)&lt;&gt;0)),"Quantity; ","")&amp;IF($D165="","Recipient Name; ","")&amp;IF(LEN($D165)&gt;35,"Recipient Name; ","")&amp;IF($E165="","Recipient Phone; ","")&amp;IF(AND($E165&lt;&gt;"",OR(LEN($E165)&lt;6,LEN($E165)&gt;20,NOT(IFERROR(ISNUMBER(1*$E165),FALSE())))),"Recipient Phone; ","")&amp;IF(LEN($F165)&gt;35,"Recipient Company Name; ","")&amp;IF($G165="","Address Line 1; ","")&amp;IF(LEN($G165)&gt;35,"Address Line 1; ","")&amp;IF(LEN($H165)&gt;35,"Address Line 2; ","")&amp;IF(LEN($I165)&gt;35,"Address Line 3; ","")&amp;IF($J165="","Town; ","")&amp;IF(LEN($J165)&gt;35,"Town; ","")&amp;IF(AND($N165="IE",$K165=""),"County; ","")&amp;IF(LEN($AB165)&gt;35,"County; ","")&amp;IF(AND($L165="",AND($N165&lt;&gt;"AE",$N165&lt;&gt;"QA")),"Postcode; ","")&amp;IF(LEN($L165)&gt;35,"Postcode; ","")&amp;IF($AE165&lt;&gt;"","Postcode; ","")&amp;IF(LEN($O165)&gt;40,"Gift Message 1; ","")&amp;IF(LEN($P165)&gt;40,"Gift Message 2; ","")&amp;IF(LEN($Q165)&gt;40,"Gift Message 3; ","")&amp;IF(LEN($R165)&gt;40,"Gift Message 4; ","")&amp;IF(LEN($S165)&gt;40,"Gift Message 5; ","")&amp;IF(LEN($T165)&gt;40,"Gift Message 6; ","")&amp;IF(LEN($U165)&gt;40,"Gift Message 7; ",""))</f>
        <v/>
      </c>
      <c r="X165" s="44" t="str">
        <f ca="1">IF(COUNTA($A165,$D165:$M165,$O165:$U165)=0,"",IF($A165="","Enter the Item Code (hamper) - type it, paste it, or choose it from the dropdown. ","")&amp;IF(AND($A165&lt;&gt;"",ISNA(MATCH($AC165,'PRODUCT DATA'!$D$2:$D$394,0))),"This Item Code is not recognised. Check the code (case does not matter, but spelling and digits must match exactly) or choose it from the dropdown. ","")&amp;IF($M165="","Enter the Country after the Item Code - type or paste the name or the 2-letter code, or choose it from the dropdown. ","")&amp;IF(AND($M165&lt;&gt;"",NOT(OR(NOT(ISNA(MATCH(IF(UPPER($M165)="UK","GB",$M165),'PRODUCT DATA'!$A$2:$A$58,0))),NOT(ISNA(MATCH(IF(UPPER($M165)="UK","GB",$M165),'PRODUCT DATA'!$B$2:$B$58,0)))))),"This Country is not recognised as either a full name or a 2-letter code. Check the spelling (case does not matter) or choose it from the dropdown. ","")&amp;IF(AND($A165&lt;&gt;"",$M165&lt;&gt;"",NOT(ISNA(MATCH($AC165,'PRODUCT DATA'!$D$2:$D$394,0))),OR(NOT(ISNA(MATCH(IF(UPPER($M165)="UK","GB",$M165),'PRODUCT DATA'!$A$2:$A$58,0))),NOT(ISNA(MATCH(IF(UPPER($M165)="UK","GB",$M165),'PRODUCT DATA'!$B$2:$B$58,0)))),NOT(IFERROR(COUNTIF(OFFSET('PRODUCT DATA'!$F$2,0,MATCH($AC165,'PRODUCT DATA'!$F$1:$NN$1,0)-1,114,1),$N165)&gt;0,FALSE()))),IF(UPPER(IFERROR(OFFSET('PRODUCT DATA'!$C$2,MATCH($N165,'PRODUCT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"),"")&amp;IF($C165="","Enter Quantity. ","")&amp;IF(AND($C165&lt;&gt;"",OR(NOT(ISNUMBER($C165)),$C165&lt;1,$C165&gt;999,MOD($C165,1)&lt;&gt;0)),"Quantity must be a whole number from 1 to 999 (use a quantity above 1 only for a genuine bulk order of identical items to ONE address — otherwise use a separate row per recipient). ","")&amp;IF($D165="","Enter Recipient Name. ","")&amp;IF(LEN($D165)&gt;35,"Recipient Name exceeds 35 characters. ","")&amp;IF($E165="","Enter Recipient Phone. ","")&amp;IF(AND($E165&lt;&gt;"",OR(LEN($E165)&lt;6,LEN($E165)&gt;20,NOT(IFERROR(ISNUMBER(1*$E165),FALSE())))),"Phone must be the LOCAL number for the destination country: digits only, no +, spaces, or country code, 6 to 20 digits. ","")&amp;IF(LEN($F165)&gt;35,"Recipient Company Name exceeds 35 characters. ","")&amp;IF($G165="","Enter Address Line 1. ","")&amp;IF(LEN($G165)&gt;35,"Address Line 1 exceeds the 35-character SAP limit. ","")&amp;IF(LEN($H165)&gt;35,"Address Line 2 exceeds the 35-character SAP limit. ","")&amp;IF(LEN($I165)&gt;35,"Address Line 3 exceeds the 35-character SAP limit. ","")&amp;IF($J165="","Enter Town. This must never be left blank, even if there is no conventional town name. ","")&amp;IF(LEN($J165)&gt;35,"Town exceeds 35 characters. ","")&amp;IF(AND($N165="IE",$K165=""),"County is required for deliveries within the Republic of Ireland. ","")&amp;IF(LEN($AB165)&gt;35,"County exceeds 35 characters. ","")&amp;IF(AND($L165="",AND($N165&lt;&gt;"AE",$N165&lt;&gt;"QA")),"Postcode is required for the selected country. If there is genuinely no postcode, enter the first 3 characters of the area (e.g. D15). ","")&amp;IF(LEN($L165)&gt;35,"Postcode exceeds 35 characters. ","")&amp;IF($AE165&lt;&gt;"",$AE165,"")&amp;IF(LEN($O165)&gt;40,"Gift Message Line 1 exceeds 40 characters. ","")&amp;IF(LEN($P165)&gt;40,"Gift Message Line 2 exceeds 40 characters. ","")&amp;IF(LEN($Q165)&gt;40,"Gift Message Line 3 exceeds 40 characters. ","")&amp;IF(LEN($R165)&gt;40,"Gift Message Line 4 exceeds 40 characters. ","")&amp;IF(LEN($S165)&gt;40,"Gift Message Line 5 exceeds 40 characters. ","")&amp;IF(LEN($T165)&gt;40,"Gift Message Line 6 exceeds 40 characters. ","")&amp;IF(LEN($U165)&gt;40,"Gift Message Line 7 exceeds 40 characters. ",""))</f>
        <v/>
      </c>
      <c r="Y165" s="44" t="str">
        <f t="shared" si="9"/>
        <v/>
      </c>
      <c r="Z165" s="44"/>
      <c r="AA165" s="44"/>
      <c r="AB165" s="32" t="str">
        <f t="shared" si="10"/>
        <v/>
      </c>
      <c r="AC165" s="32" t="str">
        <f>IF($A165="","",IFERROR(LEFT(INDEX('PRODUCT DATA'!$NO$2:$NO$25,MATCH($A165,'PRODUCT DATA'!$NP$2:$NP$25,0)),FIND("|",INDEX('PRODUCT DATA'!$NO$2:$NO$25,MATCH($A165,'PRODUCT DATA'!$NP$2:$NP$25,0)))-1),$A165))</f>
        <v/>
      </c>
      <c r="AD165" s="45"/>
      <c r="AE165" s="45" t="str">
        <f t="shared" si="11"/>
        <v/>
      </c>
    </row>
    <row r="166" spans="1:31" ht="15" customHeight="1" x14ac:dyDescent="0.25">
      <c r="A166" s="40"/>
      <c r="B166" s="43" t="str">
        <f>IF($A166="","",IFERROR(VLOOKUP($AC166,'PRODUCT DATA'!$NR$2:$NS$374,2,FALSE()),"UNKNOWN ITEM CODE - please check"))</f>
        <v/>
      </c>
      <c r="C166" s="39">
        <v>1</v>
      </c>
      <c r="D166" s="39"/>
      <c r="E166" s="40"/>
      <c r="F166" s="41"/>
      <c r="G166" s="39"/>
      <c r="H166" s="41"/>
      <c r="I166" s="41"/>
      <c r="J166" s="39"/>
      <c r="K166" s="41"/>
      <c r="L166" s="40"/>
      <c r="M166" s="40"/>
      <c r="N166" s="42" t="str">
        <f>IF($M166="","",IFERROR(INDEX('PRODUCT DATA'!$B$2:$B$58,MATCH(IF(UPPER($M166)="UK","GB",$M166),'PRODUCT DATA'!$B$2:$B$58,0)),IFERROR(INDEX('PRODUCT DATA'!$B$2:$B$58,MATCH(IF(UPPER($M166)="UK","GB",$M166),'PRODUCT DATA'!$A$2:$A$58,0)),"UNKNOWN COUNTRY - please check")))</f>
        <v/>
      </c>
      <c r="O166" s="41"/>
      <c r="P166" s="41"/>
      <c r="Q166" s="41"/>
      <c r="R166" s="41"/>
      <c r="S166" s="41"/>
      <c r="T166" s="41"/>
      <c r="U166" s="41"/>
      <c r="V166" s="43" t="str">
        <f t="shared" si="8"/>
        <v/>
      </c>
      <c r="W166" s="44" t="str">
        <f ca="1">IF(COUNTA($A166,$D166:$M166,$O166:$U166)=0,"",IF($A166="","Item Code; ","")&amp;IF(AND($A166&lt;&gt;"",ISNA(MATCH($AC166,'PRODUCT DATA'!$D$2:$D$394,0))),"Item Code; ","")&amp;IF($M166="","Country; ","")&amp;IF(AND($M166&lt;&gt;"",NOT(OR(NOT(ISNA(MATCH(IF(UPPER($M166)="UK","GB",$M166),'PRODUCT DATA'!$A$2:$A$58,0))),NOT(ISNA(MATCH(IF(UPPER($M166)="UK","GB",$M166),'PRODUCT DATA'!$B$2:$B$58,0)))))),"Country; ","")&amp;IF(AND($A166&lt;&gt;"",$M166&lt;&gt;"",NOT(ISNA(MATCH($AC166,'PRODUCT DATA'!$D$2:$D$394,0))),OR(NOT(ISNA(MATCH(IF(UPPER($M166)="UK","GB",$M166),'PRODUCT DATA'!$A$2:$A$58,0))),NOT(ISNA(MATCH(IF(UPPER($M166)="UK","GB",$M166),'PRODUCT DATA'!$B$2:$B$58,0)))),NOT(IFERROR(COUNTIF(OFFSET('PRODUCT DATA'!$F$2,0,MATCH($AC166,'PRODUCT DATA'!$F$1:$NN$1,0)-1,114,1),$N166)&gt;0,FALSE()))),IF(UPPER(IFERROR(OFFSET('PRODUCT DATA'!$C$2,MATCH($N166,'PRODUCT DATA'!$B$2:$B$58,0)-1,0),""))="NO","Alcohol Restriction; ","Item Code / Country combination; "),"")&amp;IF($C166="","Quantity; ","")&amp;IF(AND($C166&lt;&gt;"",OR(NOT(ISNUMBER($C166)),$C166&lt;1,$C166&gt;999,MOD($C166,1)&lt;&gt;0)),"Quantity; ","")&amp;IF($D166="","Recipient Name; ","")&amp;IF(LEN($D166)&gt;35,"Recipient Name; ","")&amp;IF($E166="","Recipient Phone; ","")&amp;IF(AND($E166&lt;&gt;"",OR(LEN($E166)&lt;6,LEN($E166)&gt;20,NOT(IFERROR(ISNUMBER(1*$E166),FALSE())))),"Recipient Phone; ","")&amp;IF(LEN($F166)&gt;35,"Recipient Company Name; ","")&amp;IF($G166="","Address Line 1; ","")&amp;IF(LEN($G166)&gt;35,"Address Line 1; ","")&amp;IF(LEN($H166)&gt;35,"Address Line 2; ","")&amp;IF(LEN($I166)&gt;35,"Address Line 3; ","")&amp;IF($J166="","Town; ","")&amp;IF(LEN($J166)&gt;35,"Town; ","")&amp;IF(AND($N166="IE",$K166=""),"County; ","")&amp;IF(LEN($AB166)&gt;35,"County; ","")&amp;IF(AND($L166="",AND($N166&lt;&gt;"AE",$N166&lt;&gt;"QA")),"Postcode; ","")&amp;IF(LEN($L166)&gt;35,"Postcode; ","")&amp;IF($AE166&lt;&gt;"","Postcode; ","")&amp;IF(LEN($O166)&gt;40,"Gift Message 1; ","")&amp;IF(LEN($P166)&gt;40,"Gift Message 2; ","")&amp;IF(LEN($Q166)&gt;40,"Gift Message 3; ","")&amp;IF(LEN($R166)&gt;40,"Gift Message 4; ","")&amp;IF(LEN($S166)&gt;40,"Gift Message 5; ","")&amp;IF(LEN($T166)&gt;40,"Gift Message 6; ","")&amp;IF(LEN($U166)&gt;40,"Gift Message 7; ",""))</f>
        <v/>
      </c>
      <c r="X166" s="44" t="str">
        <f ca="1">IF(COUNTA($A166,$D166:$M166,$O166:$U166)=0,"",IF($A166="","Enter the Item Code (hamper) - type it, paste it, or choose it from the dropdown. ","")&amp;IF(AND($A166&lt;&gt;"",ISNA(MATCH($AC166,'PRODUCT DATA'!$D$2:$D$394,0))),"This Item Code is not recognised. Check the code (case does not matter, but spelling and digits must match exactly) or choose it from the dropdown. ","")&amp;IF($M166="","Enter the Country after the Item Code - type or paste the name or the 2-letter code, or choose it from the dropdown. ","")&amp;IF(AND($M166&lt;&gt;"",NOT(OR(NOT(ISNA(MATCH(IF(UPPER($M166)="UK","GB",$M166),'PRODUCT DATA'!$A$2:$A$58,0))),NOT(ISNA(MATCH(IF(UPPER($M166)="UK","GB",$M166),'PRODUCT DATA'!$B$2:$B$58,0)))))),"This Country is not recognised as either a full name or a 2-letter code. Check the spelling (case does not matter) or choose it from the dropdown. ","")&amp;IF(AND($A166&lt;&gt;"",$M166&lt;&gt;"",NOT(ISNA(MATCH($AC166,'PRODUCT DATA'!$D$2:$D$394,0))),OR(NOT(ISNA(MATCH(IF(UPPER($M166)="UK","GB",$M166),'PRODUCT DATA'!$A$2:$A$58,0))),NOT(ISNA(MATCH(IF(UPPER($M166)="UK","GB",$M166),'PRODUCT DATA'!$B$2:$B$58,0)))),NOT(IFERROR(COUNTIF(OFFSET('PRODUCT DATA'!$F$2,0,MATCH($AC166,'PRODUCT DATA'!$F$1:$NN$1,0)-1,114,1),$N166)&gt;0,FALSE()))),IF(UPPER(IFERROR(OFFSET('PRODUCT DATA'!$C$2,MATCH($N166,'PRODUCT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"),"")&amp;IF($C166="","Enter Quantity. ","")&amp;IF(AND($C166&lt;&gt;"",OR(NOT(ISNUMBER($C166)),$C166&lt;1,$C166&gt;999,MOD($C166,1)&lt;&gt;0)),"Quantity must be a whole number from 1 to 999 (use a quantity above 1 only for a genuine bulk order of identical items to ONE address — otherwise use a separate row per recipient). ","")&amp;IF($D166="","Enter Recipient Name. ","")&amp;IF(LEN($D166)&gt;35,"Recipient Name exceeds 35 characters. ","")&amp;IF($E166="","Enter Recipient Phone. ","")&amp;IF(AND($E166&lt;&gt;"",OR(LEN($E166)&lt;6,LEN($E166)&gt;20,NOT(IFERROR(ISNUMBER(1*$E166),FALSE())))),"Phone must be the LOCAL number for the destination country: digits only, no +, spaces, or country code, 6 to 20 digits. ","")&amp;IF(LEN($F166)&gt;35,"Recipient Company Name exceeds 35 characters. ","")&amp;IF($G166="","Enter Address Line 1. ","")&amp;IF(LEN($G166)&gt;35,"Address Line 1 exceeds the 35-character SAP limit. ","")&amp;IF(LEN($H166)&gt;35,"Address Line 2 exceeds the 35-character SAP limit. ","")&amp;IF(LEN($I166)&gt;35,"Address Line 3 exceeds the 35-character SAP limit. ","")&amp;IF($J166="","Enter Town. This must never be left blank, even if there is no conventional town name. ","")&amp;IF(LEN($J166)&gt;35,"Town exceeds 35 characters. ","")&amp;IF(AND($N166="IE",$K166=""),"County is required for deliveries within the Republic of Ireland. ","")&amp;IF(LEN($AB166)&gt;35,"County exceeds 35 characters. ","")&amp;IF(AND($L166="",AND($N166&lt;&gt;"AE",$N166&lt;&gt;"QA")),"Postcode is required for the selected country. If there is genuinely no postcode, enter the first 3 characters of the area (e.g. D15). ","")&amp;IF(LEN($L166)&gt;35,"Postcode exceeds 35 characters. ","")&amp;IF($AE166&lt;&gt;"",$AE166,"")&amp;IF(LEN($O166)&gt;40,"Gift Message Line 1 exceeds 40 characters. ","")&amp;IF(LEN($P166)&gt;40,"Gift Message Line 2 exceeds 40 characters. ","")&amp;IF(LEN($Q166)&gt;40,"Gift Message Line 3 exceeds 40 characters. ","")&amp;IF(LEN($R166)&gt;40,"Gift Message Line 4 exceeds 40 characters. ","")&amp;IF(LEN($S166)&gt;40,"Gift Message Line 5 exceeds 40 characters. ","")&amp;IF(LEN($T166)&gt;40,"Gift Message Line 6 exceeds 40 characters. ","")&amp;IF(LEN($U166)&gt;40,"Gift Message Line 7 exceeds 40 characters. ",""))</f>
        <v/>
      </c>
      <c r="Y166" s="44" t="str">
        <f t="shared" si="9"/>
        <v/>
      </c>
      <c r="Z166" s="44"/>
      <c r="AA166" s="44"/>
      <c r="AB166" s="32" t="str">
        <f t="shared" si="10"/>
        <v/>
      </c>
      <c r="AC166" s="32" t="str">
        <f>IF($A166="","",IFERROR(LEFT(INDEX('PRODUCT DATA'!$NO$2:$NO$25,MATCH($A166,'PRODUCT DATA'!$NP$2:$NP$25,0)),FIND("|",INDEX('PRODUCT DATA'!$NO$2:$NO$25,MATCH($A166,'PRODUCT DATA'!$NP$2:$NP$25,0)))-1),$A166))</f>
        <v/>
      </c>
      <c r="AD166" s="45"/>
      <c r="AE166" s="45" t="str">
        <f t="shared" si="11"/>
        <v/>
      </c>
    </row>
    <row r="167" spans="1:31" ht="15" customHeight="1" x14ac:dyDescent="0.25">
      <c r="A167" s="40"/>
      <c r="B167" s="43" t="str">
        <f>IF($A167="","",IFERROR(VLOOKUP($AC167,'PRODUCT DATA'!$NR$2:$NS$374,2,FALSE()),"UNKNOWN ITEM CODE - please check"))</f>
        <v/>
      </c>
      <c r="C167" s="39">
        <v>1</v>
      </c>
      <c r="D167" s="39"/>
      <c r="E167" s="40"/>
      <c r="F167" s="41"/>
      <c r="G167" s="39"/>
      <c r="H167" s="41"/>
      <c r="I167" s="41"/>
      <c r="J167" s="39"/>
      <c r="K167" s="41"/>
      <c r="L167" s="40"/>
      <c r="M167" s="40"/>
      <c r="N167" s="42" t="str">
        <f>IF($M167="","",IFERROR(INDEX('PRODUCT DATA'!$B$2:$B$58,MATCH(IF(UPPER($M167)="UK","GB",$M167),'PRODUCT DATA'!$B$2:$B$58,0)),IFERROR(INDEX('PRODUCT DATA'!$B$2:$B$58,MATCH(IF(UPPER($M167)="UK","GB",$M167),'PRODUCT DATA'!$A$2:$A$58,0)),"UNKNOWN COUNTRY - please check")))</f>
        <v/>
      </c>
      <c r="O167" s="41"/>
      <c r="P167" s="41"/>
      <c r="Q167" s="41"/>
      <c r="R167" s="41"/>
      <c r="S167" s="41"/>
      <c r="T167" s="41"/>
      <c r="U167" s="41"/>
      <c r="V167" s="43" t="str">
        <f t="shared" si="8"/>
        <v/>
      </c>
      <c r="W167" s="44" t="str">
        <f ca="1">IF(COUNTA($A167,$D167:$M167,$O167:$U167)=0,"",IF($A167="","Item Code; ","")&amp;IF(AND($A167&lt;&gt;"",ISNA(MATCH($AC167,'PRODUCT DATA'!$D$2:$D$394,0))),"Item Code; ","")&amp;IF($M167="","Country; ","")&amp;IF(AND($M167&lt;&gt;"",NOT(OR(NOT(ISNA(MATCH(IF(UPPER($M167)="UK","GB",$M167),'PRODUCT DATA'!$A$2:$A$58,0))),NOT(ISNA(MATCH(IF(UPPER($M167)="UK","GB",$M167),'PRODUCT DATA'!$B$2:$B$58,0)))))),"Country; ","")&amp;IF(AND($A167&lt;&gt;"",$M167&lt;&gt;"",NOT(ISNA(MATCH($AC167,'PRODUCT DATA'!$D$2:$D$394,0))),OR(NOT(ISNA(MATCH(IF(UPPER($M167)="UK","GB",$M167),'PRODUCT DATA'!$A$2:$A$58,0))),NOT(ISNA(MATCH(IF(UPPER($M167)="UK","GB",$M167),'PRODUCT DATA'!$B$2:$B$58,0)))),NOT(IFERROR(COUNTIF(OFFSET('PRODUCT DATA'!$F$2,0,MATCH($AC167,'PRODUCT DATA'!$F$1:$NN$1,0)-1,114,1),$N167)&gt;0,FALSE()))),IF(UPPER(IFERROR(OFFSET('PRODUCT DATA'!$C$2,MATCH($N167,'PRODUCT DATA'!$B$2:$B$58,0)-1,0),""))="NO","Alcohol Restriction; ","Item Code / Country combination; "),"")&amp;IF($C167="","Quantity; ","")&amp;IF(AND($C167&lt;&gt;"",OR(NOT(ISNUMBER($C167)),$C167&lt;1,$C167&gt;999,MOD($C167,1)&lt;&gt;0)),"Quantity; ","")&amp;IF($D167="","Recipient Name; ","")&amp;IF(LEN($D167)&gt;35,"Recipient Name; ","")&amp;IF($E167="","Recipient Phone; ","")&amp;IF(AND($E167&lt;&gt;"",OR(LEN($E167)&lt;6,LEN($E167)&gt;20,NOT(IFERROR(ISNUMBER(1*$E167),FALSE())))),"Recipient Phone; ","")&amp;IF(LEN($F167)&gt;35,"Recipient Company Name; ","")&amp;IF($G167="","Address Line 1; ","")&amp;IF(LEN($G167)&gt;35,"Address Line 1; ","")&amp;IF(LEN($H167)&gt;35,"Address Line 2; ","")&amp;IF(LEN($I167)&gt;35,"Address Line 3; ","")&amp;IF($J167="","Town; ","")&amp;IF(LEN($J167)&gt;35,"Town; ","")&amp;IF(AND($N167="IE",$K167=""),"County; ","")&amp;IF(LEN($AB167)&gt;35,"County; ","")&amp;IF(AND($L167="",AND($N167&lt;&gt;"AE",$N167&lt;&gt;"QA")),"Postcode; ","")&amp;IF(LEN($L167)&gt;35,"Postcode; ","")&amp;IF($AE167&lt;&gt;"","Postcode; ","")&amp;IF(LEN($O167)&gt;40,"Gift Message 1; ","")&amp;IF(LEN($P167)&gt;40,"Gift Message 2; ","")&amp;IF(LEN($Q167)&gt;40,"Gift Message 3; ","")&amp;IF(LEN($R167)&gt;40,"Gift Message 4; ","")&amp;IF(LEN($S167)&gt;40,"Gift Message 5; ","")&amp;IF(LEN($T167)&gt;40,"Gift Message 6; ","")&amp;IF(LEN($U167)&gt;40,"Gift Message 7; ",""))</f>
        <v/>
      </c>
      <c r="X167" s="44" t="str">
        <f ca="1">IF(COUNTA($A167,$D167:$M167,$O167:$U167)=0,"",IF($A167="","Enter the Item Code (hamper) - type it, paste it, or choose it from the dropdown. ","")&amp;IF(AND($A167&lt;&gt;"",ISNA(MATCH($AC167,'PRODUCT DATA'!$D$2:$D$394,0))),"This Item Code is not recognised. Check the code (case does not matter, but spelling and digits must match exactly) or choose it from the dropdown. ","")&amp;IF($M167="","Enter the Country after the Item Code - type or paste the name or the 2-letter code, or choose it from the dropdown. ","")&amp;IF(AND($M167&lt;&gt;"",NOT(OR(NOT(ISNA(MATCH(IF(UPPER($M167)="UK","GB",$M167),'PRODUCT DATA'!$A$2:$A$58,0))),NOT(ISNA(MATCH(IF(UPPER($M167)="UK","GB",$M167),'PRODUCT DATA'!$B$2:$B$58,0)))))),"This Country is not recognised as either a full name or a 2-letter code. Check the spelling (case does not matter) or choose it from the dropdown. ","")&amp;IF(AND($A167&lt;&gt;"",$M167&lt;&gt;"",NOT(ISNA(MATCH($AC167,'PRODUCT DATA'!$D$2:$D$394,0))),OR(NOT(ISNA(MATCH(IF(UPPER($M167)="UK","GB",$M167),'PRODUCT DATA'!$A$2:$A$58,0))),NOT(ISNA(MATCH(IF(UPPER($M167)="UK","GB",$M167),'PRODUCT DATA'!$B$2:$B$58,0)))),NOT(IFERROR(COUNTIF(OFFSET('PRODUCT DATA'!$F$2,0,MATCH($AC167,'PRODUCT DATA'!$F$1:$NN$1,0)-1,114,1),$N167)&gt;0,FALSE()))),IF(UPPER(IFERROR(OFFSET('PRODUCT DATA'!$C$2,MATCH($N167,'PRODUCT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"),"")&amp;IF($C167="","Enter Quantity. ","")&amp;IF(AND($C167&lt;&gt;"",OR(NOT(ISNUMBER($C167)),$C167&lt;1,$C167&gt;999,MOD($C167,1)&lt;&gt;0)),"Quantity must be a whole number from 1 to 999 (use a quantity above 1 only for a genuine bulk order of identical items to ONE address — otherwise use a separate row per recipient). ","")&amp;IF($D167="","Enter Recipient Name. ","")&amp;IF(LEN($D167)&gt;35,"Recipient Name exceeds 35 characters. ","")&amp;IF($E167="","Enter Recipient Phone. ","")&amp;IF(AND($E167&lt;&gt;"",OR(LEN($E167)&lt;6,LEN($E167)&gt;20,NOT(IFERROR(ISNUMBER(1*$E167),FALSE())))),"Phone must be the LOCAL number for the destination country: digits only, no +, spaces, or country code, 6 to 20 digits. ","")&amp;IF(LEN($F167)&gt;35,"Recipient Company Name exceeds 35 characters. ","")&amp;IF($G167="","Enter Address Line 1. ","")&amp;IF(LEN($G167)&gt;35,"Address Line 1 exceeds the 35-character SAP limit. ","")&amp;IF(LEN($H167)&gt;35,"Address Line 2 exceeds the 35-character SAP limit. ","")&amp;IF(LEN($I167)&gt;35,"Address Line 3 exceeds the 35-character SAP limit. ","")&amp;IF($J167="","Enter Town. This must never be left blank, even if there is no conventional town name. ","")&amp;IF(LEN($J167)&gt;35,"Town exceeds 35 characters. ","")&amp;IF(AND($N167="IE",$K167=""),"County is required for deliveries within the Republic of Ireland. ","")&amp;IF(LEN($AB167)&gt;35,"County exceeds 35 characters. ","")&amp;IF(AND($L167="",AND($N167&lt;&gt;"AE",$N167&lt;&gt;"QA")),"Postcode is required for the selected country. If there is genuinely no postcode, enter the first 3 characters of the area (e.g. D15). ","")&amp;IF(LEN($L167)&gt;35,"Postcode exceeds 35 characters. ","")&amp;IF($AE167&lt;&gt;"",$AE167,"")&amp;IF(LEN($O167)&gt;40,"Gift Message Line 1 exceeds 40 characters. ","")&amp;IF(LEN($P167)&gt;40,"Gift Message Line 2 exceeds 40 characters. ","")&amp;IF(LEN($Q167)&gt;40,"Gift Message Line 3 exceeds 40 characters. ","")&amp;IF(LEN($R167)&gt;40,"Gift Message Line 4 exceeds 40 characters. ","")&amp;IF(LEN($S167)&gt;40,"Gift Message Line 5 exceeds 40 characters. ","")&amp;IF(LEN($T167)&gt;40,"Gift Message Line 6 exceeds 40 characters. ","")&amp;IF(LEN($U167)&gt;40,"Gift Message Line 7 exceeds 40 characters. ",""))</f>
        <v/>
      </c>
      <c r="Y167" s="44" t="str">
        <f t="shared" si="9"/>
        <v/>
      </c>
      <c r="Z167" s="44"/>
      <c r="AA167" s="44"/>
      <c r="AB167" s="32" t="str">
        <f t="shared" si="10"/>
        <v/>
      </c>
      <c r="AC167" s="32" t="str">
        <f>IF($A167="","",IFERROR(LEFT(INDEX('PRODUCT DATA'!$NO$2:$NO$25,MATCH($A167,'PRODUCT DATA'!$NP$2:$NP$25,0)),FIND("|",INDEX('PRODUCT DATA'!$NO$2:$NO$25,MATCH($A167,'PRODUCT DATA'!$NP$2:$NP$25,0)))-1),$A167))</f>
        <v/>
      </c>
      <c r="AD167" s="45"/>
      <c r="AE167" s="45" t="str">
        <f t="shared" si="11"/>
        <v/>
      </c>
    </row>
    <row r="168" spans="1:31" ht="15" customHeight="1" x14ac:dyDescent="0.25">
      <c r="A168" s="40"/>
      <c r="B168" s="43" t="str">
        <f>IF($A168="","",IFERROR(VLOOKUP($AC168,'PRODUCT DATA'!$NR$2:$NS$374,2,FALSE()),"UNKNOWN ITEM CODE - please check"))</f>
        <v/>
      </c>
      <c r="C168" s="39">
        <v>1</v>
      </c>
      <c r="D168" s="39"/>
      <c r="E168" s="40"/>
      <c r="F168" s="41"/>
      <c r="G168" s="39"/>
      <c r="H168" s="41"/>
      <c r="I168" s="41"/>
      <c r="J168" s="39"/>
      <c r="K168" s="41"/>
      <c r="L168" s="40"/>
      <c r="M168" s="40"/>
      <c r="N168" s="42" t="str">
        <f>IF($M168="","",IFERROR(INDEX('PRODUCT DATA'!$B$2:$B$58,MATCH(IF(UPPER($M168)="UK","GB",$M168),'PRODUCT DATA'!$B$2:$B$58,0)),IFERROR(INDEX('PRODUCT DATA'!$B$2:$B$58,MATCH(IF(UPPER($M168)="UK","GB",$M168),'PRODUCT DATA'!$A$2:$A$58,0)),"UNKNOWN COUNTRY - please check")))</f>
        <v/>
      </c>
      <c r="O168" s="41"/>
      <c r="P168" s="41"/>
      <c r="Q168" s="41"/>
      <c r="R168" s="41"/>
      <c r="S168" s="41"/>
      <c r="T168" s="41"/>
      <c r="U168" s="41"/>
      <c r="V168" s="43" t="str">
        <f t="shared" si="8"/>
        <v/>
      </c>
      <c r="W168" s="44" t="str">
        <f ca="1">IF(COUNTA($A168,$D168:$M168,$O168:$U168)=0,"",IF($A168="","Item Code; ","")&amp;IF(AND($A168&lt;&gt;"",ISNA(MATCH($AC168,'PRODUCT DATA'!$D$2:$D$394,0))),"Item Code; ","")&amp;IF($M168="","Country; ","")&amp;IF(AND($M168&lt;&gt;"",NOT(OR(NOT(ISNA(MATCH(IF(UPPER($M168)="UK","GB",$M168),'PRODUCT DATA'!$A$2:$A$58,0))),NOT(ISNA(MATCH(IF(UPPER($M168)="UK","GB",$M168),'PRODUCT DATA'!$B$2:$B$58,0)))))),"Country; ","")&amp;IF(AND($A168&lt;&gt;"",$M168&lt;&gt;"",NOT(ISNA(MATCH($AC168,'PRODUCT DATA'!$D$2:$D$394,0))),OR(NOT(ISNA(MATCH(IF(UPPER($M168)="UK","GB",$M168),'PRODUCT DATA'!$A$2:$A$58,0))),NOT(ISNA(MATCH(IF(UPPER($M168)="UK","GB",$M168),'PRODUCT DATA'!$B$2:$B$58,0)))),NOT(IFERROR(COUNTIF(OFFSET('PRODUCT DATA'!$F$2,0,MATCH($AC168,'PRODUCT DATA'!$F$1:$NN$1,0)-1,114,1),$N168)&gt;0,FALSE()))),IF(UPPER(IFERROR(OFFSET('PRODUCT DATA'!$C$2,MATCH($N168,'PRODUCT DATA'!$B$2:$B$58,0)-1,0),""))="NO","Alcohol Restriction; ","Item Code / Country combination; "),"")&amp;IF($C168="","Quantity; ","")&amp;IF(AND($C168&lt;&gt;"",OR(NOT(ISNUMBER($C168)),$C168&lt;1,$C168&gt;999,MOD($C168,1)&lt;&gt;0)),"Quantity; ","")&amp;IF($D168="","Recipient Name; ","")&amp;IF(LEN($D168)&gt;35,"Recipient Name; ","")&amp;IF($E168="","Recipient Phone; ","")&amp;IF(AND($E168&lt;&gt;"",OR(LEN($E168)&lt;6,LEN($E168)&gt;20,NOT(IFERROR(ISNUMBER(1*$E168),FALSE())))),"Recipient Phone; ","")&amp;IF(LEN($F168)&gt;35,"Recipient Company Name; ","")&amp;IF($G168="","Address Line 1; ","")&amp;IF(LEN($G168)&gt;35,"Address Line 1; ","")&amp;IF(LEN($H168)&gt;35,"Address Line 2; ","")&amp;IF(LEN($I168)&gt;35,"Address Line 3; ","")&amp;IF($J168="","Town; ","")&amp;IF(LEN($J168)&gt;35,"Town; ","")&amp;IF(AND($N168="IE",$K168=""),"County; ","")&amp;IF(LEN($AB168)&gt;35,"County; ","")&amp;IF(AND($L168="",AND($N168&lt;&gt;"AE",$N168&lt;&gt;"QA")),"Postcode; ","")&amp;IF(LEN($L168)&gt;35,"Postcode; ","")&amp;IF($AE168&lt;&gt;"","Postcode; ","")&amp;IF(LEN($O168)&gt;40,"Gift Message 1; ","")&amp;IF(LEN($P168)&gt;40,"Gift Message 2; ","")&amp;IF(LEN($Q168)&gt;40,"Gift Message 3; ","")&amp;IF(LEN($R168)&gt;40,"Gift Message 4; ","")&amp;IF(LEN($S168)&gt;40,"Gift Message 5; ","")&amp;IF(LEN($T168)&gt;40,"Gift Message 6; ","")&amp;IF(LEN($U168)&gt;40,"Gift Message 7; ",""))</f>
        <v/>
      </c>
      <c r="X168" s="44" t="str">
        <f ca="1">IF(COUNTA($A168,$D168:$M168,$O168:$U168)=0,"",IF($A168="","Enter the Item Code (hamper) - type it, paste it, or choose it from the dropdown. ","")&amp;IF(AND($A168&lt;&gt;"",ISNA(MATCH($AC168,'PRODUCT DATA'!$D$2:$D$394,0))),"This Item Code is not recognised. Check the code (case does not matter, but spelling and digits must match exactly) or choose it from the dropdown. ","")&amp;IF($M168="","Enter the Country after the Item Code - type or paste the name or the 2-letter code, or choose it from the dropdown. ","")&amp;IF(AND($M168&lt;&gt;"",NOT(OR(NOT(ISNA(MATCH(IF(UPPER($M168)="UK","GB",$M168),'PRODUCT DATA'!$A$2:$A$58,0))),NOT(ISNA(MATCH(IF(UPPER($M168)="UK","GB",$M168),'PRODUCT DATA'!$B$2:$B$58,0)))))),"This Country is not recognised as either a full name or a 2-letter code. Check the spelling (case does not matter) or choose it from the dropdown. ","")&amp;IF(AND($A168&lt;&gt;"",$M168&lt;&gt;"",NOT(ISNA(MATCH($AC168,'PRODUCT DATA'!$D$2:$D$394,0))),OR(NOT(ISNA(MATCH(IF(UPPER($M168)="UK","GB",$M168),'PRODUCT DATA'!$A$2:$A$58,0))),NOT(ISNA(MATCH(IF(UPPER($M168)="UK","GB",$M168),'PRODUCT DATA'!$B$2:$B$58,0)))),NOT(IFERROR(COUNTIF(OFFSET('PRODUCT DATA'!$F$2,0,MATCH($AC168,'PRODUCT DATA'!$F$1:$NN$1,0)-1,114,1),$N168)&gt;0,FALSE()))),IF(UPPER(IFERROR(OFFSET('PRODUCT DATA'!$C$2,MATCH($N168,'PRODUCT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"),"")&amp;IF($C168="","Enter Quantity. ","")&amp;IF(AND($C168&lt;&gt;"",OR(NOT(ISNUMBER($C168)),$C168&lt;1,$C168&gt;999,MOD($C168,1)&lt;&gt;0)),"Quantity must be a whole number from 1 to 999 (use a quantity above 1 only for a genuine bulk order of identical items to ONE address — otherwise use a separate row per recipient). ","")&amp;IF($D168="","Enter Recipient Name. ","")&amp;IF(LEN($D168)&gt;35,"Recipient Name exceeds 35 characters. ","")&amp;IF($E168="","Enter Recipient Phone. ","")&amp;IF(AND($E168&lt;&gt;"",OR(LEN($E168)&lt;6,LEN($E168)&gt;20,NOT(IFERROR(ISNUMBER(1*$E168),FALSE())))),"Phone must be the LOCAL number for the destination country: digits only, no +, spaces, or country code, 6 to 20 digits. ","")&amp;IF(LEN($F168)&gt;35,"Recipient Company Name exceeds 35 characters. ","")&amp;IF($G168="","Enter Address Line 1. ","")&amp;IF(LEN($G168)&gt;35,"Address Line 1 exceeds the 35-character SAP limit. ","")&amp;IF(LEN($H168)&gt;35,"Address Line 2 exceeds the 35-character SAP limit. ","")&amp;IF(LEN($I168)&gt;35,"Address Line 3 exceeds the 35-character SAP limit. ","")&amp;IF($J168="","Enter Town. This must never be left blank, even if there is no conventional town name. ","")&amp;IF(LEN($J168)&gt;35,"Town exceeds 35 characters. ","")&amp;IF(AND($N168="IE",$K168=""),"County is required for deliveries within the Republic of Ireland. ","")&amp;IF(LEN($AB168)&gt;35,"County exceeds 35 characters. ","")&amp;IF(AND($L168="",AND($N168&lt;&gt;"AE",$N168&lt;&gt;"QA")),"Postcode is required for the selected country. If there is genuinely no postcode, enter the first 3 characters of the area (e.g. D15). ","")&amp;IF(LEN($L168)&gt;35,"Postcode exceeds 35 characters. ","")&amp;IF($AE168&lt;&gt;"",$AE168,"")&amp;IF(LEN($O168)&gt;40,"Gift Message Line 1 exceeds 40 characters. ","")&amp;IF(LEN($P168)&gt;40,"Gift Message Line 2 exceeds 40 characters. ","")&amp;IF(LEN($Q168)&gt;40,"Gift Message Line 3 exceeds 40 characters. ","")&amp;IF(LEN($R168)&gt;40,"Gift Message Line 4 exceeds 40 characters. ","")&amp;IF(LEN($S168)&gt;40,"Gift Message Line 5 exceeds 40 characters. ","")&amp;IF(LEN($T168)&gt;40,"Gift Message Line 6 exceeds 40 characters. ","")&amp;IF(LEN($U168)&gt;40,"Gift Message Line 7 exceeds 40 characters. ",""))</f>
        <v/>
      </c>
      <c r="Y168" s="44" t="str">
        <f t="shared" si="9"/>
        <v/>
      </c>
      <c r="Z168" s="44"/>
      <c r="AA168" s="44"/>
      <c r="AB168" s="32" t="str">
        <f t="shared" si="10"/>
        <v/>
      </c>
      <c r="AC168" s="32" t="str">
        <f>IF($A168="","",IFERROR(LEFT(INDEX('PRODUCT DATA'!$NO$2:$NO$25,MATCH($A168,'PRODUCT DATA'!$NP$2:$NP$25,0)),FIND("|",INDEX('PRODUCT DATA'!$NO$2:$NO$25,MATCH($A168,'PRODUCT DATA'!$NP$2:$NP$25,0)))-1),$A168))</f>
        <v/>
      </c>
      <c r="AD168" s="45"/>
      <c r="AE168" s="45" t="str">
        <f t="shared" si="11"/>
        <v/>
      </c>
    </row>
    <row r="169" spans="1:31" ht="15" customHeight="1" x14ac:dyDescent="0.25">
      <c r="A169" s="40"/>
      <c r="B169" s="43" t="str">
        <f>IF($A169="","",IFERROR(VLOOKUP($AC169,'PRODUCT DATA'!$NR$2:$NS$374,2,FALSE()),"UNKNOWN ITEM CODE - please check"))</f>
        <v/>
      </c>
      <c r="C169" s="39">
        <v>1</v>
      </c>
      <c r="D169" s="39"/>
      <c r="E169" s="40"/>
      <c r="F169" s="41"/>
      <c r="G169" s="39"/>
      <c r="H169" s="41"/>
      <c r="I169" s="41"/>
      <c r="J169" s="39"/>
      <c r="K169" s="41"/>
      <c r="L169" s="40"/>
      <c r="M169" s="40"/>
      <c r="N169" s="42" t="str">
        <f>IF($M169="","",IFERROR(INDEX('PRODUCT DATA'!$B$2:$B$58,MATCH(IF(UPPER($M169)="UK","GB",$M169),'PRODUCT DATA'!$B$2:$B$58,0)),IFERROR(INDEX('PRODUCT DATA'!$B$2:$B$58,MATCH(IF(UPPER($M169)="UK","GB",$M169),'PRODUCT DATA'!$A$2:$A$58,0)),"UNKNOWN COUNTRY - please check")))</f>
        <v/>
      </c>
      <c r="O169" s="41"/>
      <c r="P169" s="41"/>
      <c r="Q169" s="41"/>
      <c r="R169" s="41"/>
      <c r="S169" s="41"/>
      <c r="T169" s="41"/>
      <c r="U169" s="41"/>
      <c r="V169" s="43" t="str">
        <f t="shared" si="8"/>
        <v/>
      </c>
      <c r="W169" s="44" t="str">
        <f ca="1">IF(COUNTA($A169,$D169:$M169,$O169:$U169)=0,"",IF($A169="","Item Code; ","")&amp;IF(AND($A169&lt;&gt;"",ISNA(MATCH($AC169,'PRODUCT DATA'!$D$2:$D$394,0))),"Item Code; ","")&amp;IF($M169="","Country; ","")&amp;IF(AND($M169&lt;&gt;"",NOT(OR(NOT(ISNA(MATCH(IF(UPPER($M169)="UK","GB",$M169),'PRODUCT DATA'!$A$2:$A$58,0))),NOT(ISNA(MATCH(IF(UPPER($M169)="UK","GB",$M169),'PRODUCT DATA'!$B$2:$B$58,0)))))),"Country; ","")&amp;IF(AND($A169&lt;&gt;"",$M169&lt;&gt;"",NOT(ISNA(MATCH($AC169,'PRODUCT DATA'!$D$2:$D$394,0))),OR(NOT(ISNA(MATCH(IF(UPPER($M169)="UK","GB",$M169),'PRODUCT DATA'!$A$2:$A$58,0))),NOT(ISNA(MATCH(IF(UPPER($M169)="UK","GB",$M169),'PRODUCT DATA'!$B$2:$B$58,0)))),NOT(IFERROR(COUNTIF(OFFSET('PRODUCT DATA'!$F$2,0,MATCH($AC169,'PRODUCT DATA'!$F$1:$NN$1,0)-1,114,1),$N169)&gt;0,FALSE()))),IF(UPPER(IFERROR(OFFSET('PRODUCT DATA'!$C$2,MATCH($N169,'PRODUCT DATA'!$B$2:$B$58,0)-1,0),""))="NO","Alcohol Restriction; ","Item Code / Country combination; "),"")&amp;IF($C169="","Quantity; ","")&amp;IF(AND($C169&lt;&gt;"",OR(NOT(ISNUMBER($C169)),$C169&lt;1,$C169&gt;999,MOD($C169,1)&lt;&gt;0)),"Quantity; ","")&amp;IF($D169="","Recipient Name; ","")&amp;IF(LEN($D169)&gt;35,"Recipient Name; ","")&amp;IF($E169="","Recipient Phone; ","")&amp;IF(AND($E169&lt;&gt;"",OR(LEN($E169)&lt;6,LEN($E169)&gt;20,NOT(IFERROR(ISNUMBER(1*$E169),FALSE())))),"Recipient Phone; ","")&amp;IF(LEN($F169)&gt;35,"Recipient Company Name; ","")&amp;IF($G169="","Address Line 1; ","")&amp;IF(LEN($G169)&gt;35,"Address Line 1; ","")&amp;IF(LEN($H169)&gt;35,"Address Line 2; ","")&amp;IF(LEN($I169)&gt;35,"Address Line 3; ","")&amp;IF($J169="","Town; ","")&amp;IF(LEN($J169)&gt;35,"Town; ","")&amp;IF(AND($N169="IE",$K169=""),"County; ","")&amp;IF(LEN($AB169)&gt;35,"County; ","")&amp;IF(AND($L169="",AND($N169&lt;&gt;"AE",$N169&lt;&gt;"QA")),"Postcode; ","")&amp;IF(LEN($L169)&gt;35,"Postcode; ","")&amp;IF($AE169&lt;&gt;"","Postcode; ","")&amp;IF(LEN($O169)&gt;40,"Gift Message 1; ","")&amp;IF(LEN($P169)&gt;40,"Gift Message 2; ","")&amp;IF(LEN($Q169)&gt;40,"Gift Message 3; ","")&amp;IF(LEN($R169)&gt;40,"Gift Message 4; ","")&amp;IF(LEN($S169)&gt;40,"Gift Message 5; ","")&amp;IF(LEN($T169)&gt;40,"Gift Message 6; ","")&amp;IF(LEN($U169)&gt;40,"Gift Message 7; ",""))</f>
        <v/>
      </c>
      <c r="X169" s="44" t="str">
        <f ca="1">IF(COUNTA($A169,$D169:$M169,$O169:$U169)=0,"",IF($A169="","Enter the Item Code (hamper) - type it, paste it, or choose it from the dropdown. ","")&amp;IF(AND($A169&lt;&gt;"",ISNA(MATCH($AC169,'PRODUCT DATA'!$D$2:$D$394,0))),"This Item Code is not recognised. Check the code (case does not matter, but spelling and digits must match exactly) or choose it from the dropdown. ","")&amp;IF($M169="","Enter the Country after the Item Code - type or paste the name or the 2-letter code, or choose it from the dropdown. ","")&amp;IF(AND($M169&lt;&gt;"",NOT(OR(NOT(ISNA(MATCH(IF(UPPER($M169)="UK","GB",$M169),'PRODUCT DATA'!$A$2:$A$58,0))),NOT(ISNA(MATCH(IF(UPPER($M169)="UK","GB",$M169),'PRODUCT DATA'!$B$2:$B$58,0)))))),"This Country is not recognised as either a full name or a 2-letter code. Check the spelling (case does not matter) or choose it from the dropdown. ","")&amp;IF(AND($A169&lt;&gt;"",$M169&lt;&gt;"",NOT(ISNA(MATCH($AC169,'PRODUCT DATA'!$D$2:$D$394,0))),OR(NOT(ISNA(MATCH(IF(UPPER($M169)="UK","GB",$M169),'PRODUCT DATA'!$A$2:$A$58,0))),NOT(ISNA(MATCH(IF(UPPER($M169)="UK","GB",$M169),'PRODUCT DATA'!$B$2:$B$58,0)))),NOT(IFERROR(COUNTIF(OFFSET('PRODUCT DATA'!$F$2,0,MATCH($AC169,'PRODUCT DATA'!$F$1:$NN$1,0)-1,114,1),$N169)&gt;0,FALSE()))),IF(UPPER(IFERROR(OFFSET('PRODUCT DATA'!$C$2,MATCH($N169,'PRODUCT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"),"")&amp;IF($C169="","Enter Quantity. ","")&amp;IF(AND($C169&lt;&gt;"",OR(NOT(ISNUMBER($C169)),$C169&lt;1,$C169&gt;999,MOD($C169,1)&lt;&gt;0)),"Quantity must be a whole number from 1 to 999 (use a quantity above 1 only for a genuine bulk order of identical items to ONE address — otherwise use a separate row per recipient). ","")&amp;IF($D169="","Enter Recipient Name. ","")&amp;IF(LEN($D169)&gt;35,"Recipient Name exceeds 35 characters. ","")&amp;IF($E169="","Enter Recipient Phone. ","")&amp;IF(AND($E169&lt;&gt;"",OR(LEN($E169)&lt;6,LEN($E169)&gt;20,NOT(IFERROR(ISNUMBER(1*$E169),FALSE())))),"Phone must be the LOCAL number for the destination country: digits only, no +, spaces, or country code, 6 to 20 digits. ","")&amp;IF(LEN($F169)&gt;35,"Recipient Company Name exceeds 35 characters. ","")&amp;IF($G169="","Enter Address Line 1. ","")&amp;IF(LEN($G169)&gt;35,"Address Line 1 exceeds the 35-character SAP limit. ","")&amp;IF(LEN($H169)&gt;35,"Address Line 2 exceeds the 35-character SAP limit. ","")&amp;IF(LEN($I169)&gt;35,"Address Line 3 exceeds the 35-character SAP limit. ","")&amp;IF($J169="","Enter Town. This must never be left blank, even if there is no conventional town name. ","")&amp;IF(LEN($J169)&gt;35,"Town exceeds 35 characters. ","")&amp;IF(AND($N169="IE",$K169=""),"County is required for deliveries within the Republic of Ireland. ","")&amp;IF(LEN($AB169)&gt;35,"County exceeds 35 characters. ","")&amp;IF(AND($L169="",AND($N169&lt;&gt;"AE",$N169&lt;&gt;"QA")),"Postcode is required for the selected country. If there is genuinely no postcode, enter the first 3 characters of the area (e.g. D15). ","")&amp;IF(LEN($L169)&gt;35,"Postcode exceeds 35 characters. ","")&amp;IF($AE169&lt;&gt;"",$AE169,"")&amp;IF(LEN($O169)&gt;40,"Gift Message Line 1 exceeds 40 characters. ","")&amp;IF(LEN($P169)&gt;40,"Gift Message Line 2 exceeds 40 characters. ","")&amp;IF(LEN($Q169)&gt;40,"Gift Message Line 3 exceeds 40 characters. ","")&amp;IF(LEN($R169)&gt;40,"Gift Message Line 4 exceeds 40 characters. ","")&amp;IF(LEN($S169)&gt;40,"Gift Message Line 5 exceeds 40 characters. ","")&amp;IF(LEN($T169)&gt;40,"Gift Message Line 6 exceeds 40 characters. ","")&amp;IF(LEN($U169)&gt;40,"Gift Message Line 7 exceeds 40 characters. ",""))</f>
        <v/>
      </c>
      <c r="Y169" s="44" t="str">
        <f t="shared" si="9"/>
        <v/>
      </c>
      <c r="Z169" s="44"/>
      <c r="AA169" s="44"/>
      <c r="AB169" s="32" t="str">
        <f t="shared" si="10"/>
        <v/>
      </c>
      <c r="AC169" s="32" t="str">
        <f>IF($A169="","",IFERROR(LEFT(INDEX('PRODUCT DATA'!$NO$2:$NO$25,MATCH($A169,'PRODUCT DATA'!$NP$2:$NP$25,0)),FIND("|",INDEX('PRODUCT DATA'!$NO$2:$NO$25,MATCH($A169,'PRODUCT DATA'!$NP$2:$NP$25,0)))-1),$A169))</f>
        <v/>
      </c>
      <c r="AD169" s="45"/>
      <c r="AE169" s="45" t="str">
        <f t="shared" si="11"/>
        <v/>
      </c>
    </row>
    <row r="170" spans="1:31" ht="15" customHeight="1" x14ac:dyDescent="0.25">
      <c r="A170" s="40"/>
      <c r="B170" s="43" t="str">
        <f>IF($A170="","",IFERROR(VLOOKUP($AC170,'PRODUCT DATA'!$NR$2:$NS$374,2,FALSE()),"UNKNOWN ITEM CODE - please check"))</f>
        <v/>
      </c>
      <c r="C170" s="39">
        <v>1</v>
      </c>
      <c r="D170" s="39"/>
      <c r="E170" s="40"/>
      <c r="F170" s="41"/>
      <c r="G170" s="39"/>
      <c r="H170" s="41"/>
      <c r="I170" s="41"/>
      <c r="J170" s="39"/>
      <c r="K170" s="41"/>
      <c r="L170" s="40"/>
      <c r="M170" s="40"/>
      <c r="N170" s="42" t="str">
        <f>IF($M170="","",IFERROR(INDEX('PRODUCT DATA'!$B$2:$B$58,MATCH(IF(UPPER($M170)="UK","GB",$M170),'PRODUCT DATA'!$B$2:$B$58,0)),IFERROR(INDEX('PRODUCT DATA'!$B$2:$B$58,MATCH(IF(UPPER($M170)="UK","GB",$M170),'PRODUCT DATA'!$A$2:$A$58,0)),"UNKNOWN COUNTRY - please check")))</f>
        <v/>
      </c>
      <c r="O170" s="41"/>
      <c r="P170" s="41"/>
      <c r="Q170" s="41"/>
      <c r="R170" s="41"/>
      <c r="S170" s="41"/>
      <c r="T170" s="41"/>
      <c r="U170" s="41"/>
      <c r="V170" s="43" t="str">
        <f t="shared" si="8"/>
        <v/>
      </c>
      <c r="W170" s="44" t="str">
        <f ca="1">IF(COUNTA($A170,$D170:$M170,$O170:$U170)=0,"",IF($A170="","Item Code; ","")&amp;IF(AND($A170&lt;&gt;"",ISNA(MATCH($AC170,'PRODUCT DATA'!$D$2:$D$394,0))),"Item Code; ","")&amp;IF($M170="","Country; ","")&amp;IF(AND($M170&lt;&gt;"",NOT(OR(NOT(ISNA(MATCH(IF(UPPER($M170)="UK","GB",$M170),'PRODUCT DATA'!$A$2:$A$58,0))),NOT(ISNA(MATCH(IF(UPPER($M170)="UK","GB",$M170),'PRODUCT DATA'!$B$2:$B$58,0)))))),"Country; ","")&amp;IF(AND($A170&lt;&gt;"",$M170&lt;&gt;"",NOT(ISNA(MATCH($AC170,'PRODUCT DATA'!$D$2:$D$394,0))),OR(NOT(ISNA(MATCH(IF(UPPER($M170)="UK","GB",$M170),'PRODUCT DATA'!$A$2:$A$58,0))),NOT(ISNA(MATCH(IF(UPPER($M170)="UK","GB",$M170),'PRODUCT DATA'!$B$2:$B$58,0)))),NOT(IFERROR(COUNTIF(OFFSET('PRODUCT DATA'!$F$2,0,MATCH($AC170,'PRODUCT DATA'!$F$1:$NN$1,0)-1,114,1),$N170)&gt;0,FALSE()))),IF(UPPER(IFERROR(OFFSET('PRODUCT DATA'!$C$2,MATCH($N170,'PRODUCT DATA'!$B$2:$B$58,0)-1,0),""))="NO","Alcohol Restriction; ","Item Code / Country combination; "),"")&amp;IF($C170="","Quantity; ","")&amp;IF(AND($C170&lt;&gt;"",OR(NOT(ISNUMBER($C170)),$C170&lt;1,$C170&gt;999,MOD($C170,1)&lt;&gt;0)),"Quantity; ","")&amp;IF($D170="","Recipient Name; ","")&amp;IF(LEN($D170)&gt;35,"Recipient Name; ","")&amp;IF($E170="","Recipient Phone; ","")&amp;IF(AND($E170&lt;&gt;"",OR(LEN($E170)&lt;6,LEN($E170)&gt;20,NOT(IFERROR(ISNUMBER(1*$E170),FALSE())))),"Recipient Phone; ","")&amp;IF(LEN($F170)&gt;35,"Recipient Company Name; ","")&amp;IF($G170="","Address Line 1; ","")&amp;IF(LEN($G170)&gt;35,"Address Line 1; ","")&amp;IF(LEN($H170)&gt;35,"Address Line 2; ","")&amp;IF(LEN($I170)&gt;35,"Address Line 3; ","")&amp;IF($J170="","Town; ","")&amp;IF(LEN($J170)&gt;35,"Town; ","")&amp;IF(AND($N170="IE",$K170=""),"County; ","")&amp;IF(LEN($AB170)&gt;35,"County; ","")&amp;IF(AND($L170="",AND($N170&lt;&gt;"AE",$N170&lt;&gt;"QA")),"Postcode; ","")&amp;IF(LEN($L170)&gt;35,"Postcode; ","")&amp;IF($AE170&lt;&gt;"","Postcode; ","")&amp;IF(LEN($O170)&gt;40,"Gift Message 1; ","")&amp;IF(LEN($P170)&gt;40,"Gift Message 2; ","")&amp;IF(LEN($Q170)&gt;40,"Gift Message 3; ","")&amp;IF(LEN($R170)&gt;40,"Gift Message 4; ","")&amp;IF(LEN($S170)&gt;40,"Gift Message 5; ","")&amp;IF(LEN($T170)&gt;40,"Gift Message 6; ","")&amp;IF(LEN($U170)&gt;40,"Gift Message 7; ",""))</f>
        <v/>
      </c>
      <c r="X170" s="44" t="str">
        <f ca="1">IF(COUNTA($A170,$D170:$M170,$O170:$U170)=0,"",IF($A170="","Enter the Item Code (hamper) - type it, paste it, or choose it from the dropdown. ","")&amp;IF(AND($A170&lt;&gt;"",ISNA(MATCH($AC170,'PRODUCT DATA'!$D$2:$D$394,0))),"This Item Code is not recognised. Check the code (case does not matter, but spelling and digits must match exactly) or choose it from the dropdown. ","")&amp;IF($M170="","Enter the Country after the Item Code - type or paste the name or the 2-letter code, or choose it from the dropdown. ","")&amp;IF(AND($M170&lt;&gt;"",NOT(OR(NOT(ISNA(MATCH(IF(UPPER($M170)="UK","GB",$M170),'PRODUCT DATA'!$A$2:$A$58,0))),NOT(ISNA(MATCH(IF(UPPER($M170)="UK","GB",$M170),'PRODUCT DATA'!$B$2:$B$58,0)))))),"This Country is not recognised as either a full name or a 2-letter code. Check the spelling (case does not matter) or choose it from the dropdown. ","")&amp;IF(AND($A170&lt;&gt;"",$M170&lt;&gt;"",NOT(ISNA(MATCH($AC170,'PRODUCT DATA'!$D$2:$D$394,0))),OR(NOT(ISNA(MATCH(IF(UPPER($M170)="UK","GB",$M170),'PRODUCT DATA'!$A$2:$A$58,0))),NOT(ISNA(MATCH(IF(UPPER($M170)="UK","GB",$M170),'PRODUCT DATA'!$B$2:$B$58,0)))),NOT(IFERROR(COUNTIF(OFFSET('PRODUCT DATA'!$F$2,0,MATCH($AC170,'PRODUCT DATA'!$F$1:$NN$1,0)-1,114,1),$N170)&gt;0,FALSE()))),IF(UPPER(IFERROR(OFFSET('PRODUCT DATA'!$C$2,MATCH($N170,'PRODUCT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"),"")&amp;IF($C170="","Enter Quantity. ","")&amp;IF(AND($C170&lt;&gt;"",OR(NOT(ISNUMBER($C170)),$C170&lt;1,$C170&gt;999,MOD($C170,1)&lt;&gt;0)),"Quantity must be a whole number from 1 to 999 (use a quantity above 1 only for a genuine bulk order of identical items to ONE address — otherwise use a separate row per recipient). ","")&amp;IF($D170="","Enter Recipient Name. ","")&amp;IF(LEN($D170)&gt;35,"Recipient Name exceeds 35 characters. ","")&amp;IF($E170="","Enter Recipient Phone. ","")&amp;IF(AND($E170&lt;&gt;"",OR(LEN($E170)&lt;6,LEN($E170)&gt;20,NOT(IFERROR(ISNUMBER(1*$E170),FALSE())))),"Phone must be the LOCAL number for the destination country: digits only, no +, spaces, or country code, 6 to 20 digits. ","")&amp;IF(LEN($F170)&gt;35,"Recipient Company Name exceeds 35 characters. ","")&amp;IF($G170="","Enter Address Line 1. ","")&amp;IF(LEN($G170)&gt;35,"Address Line 1 exceeds the 35-character SAP limit. ","")&amp;IF(LEN($H170)&gt;35,"Address Line 2 exceeds the 35-character SAP limit. ","")&amp;IF(LEN($I170)&gt;35,"Address Line 3 exceeds the 35-character SAP limit. ","")&amp;IF($J170="","Enter Town. This must never be left blank, even if there is no conventional town name. ","")&amp;IF(LEN($J170)&gt;35,"Town exceeds 35 characters. ","")&amp;IF(AND($N170="IE",$K170=""),"County is required for deliveries within the Republic of Ireland. ","")&amp;IF(LEN($AB170)&gt;35,"County exceeds 35 characters. ","")&amp;IF(AND($L170="",AND($N170&lt;&gt;"AE",$N170&lt;&gt;"QA")),"Postcode is required for the selected country. If there is genuinely no postcode, enter the first 3 characters of the area (e.g. D15). ","")&amp;IF(LEN($L170)&gt;35,"Postcode exceeds 35 characters. ","")&amp;IF($AE170&lt;&gt;"",$AE170,"")&amp;IF(LEN($O170)&gt;40,"Gift Message Line 1 exceeds 40 characters. ","")&amp;IF(LEN($P170)&gt;40,"Gift Message Line 2 exceeds 40 characters. ","")&amp;IF(LEN($Q170)&gt;40,"Gift Message Line 3 exceeds 40 characters. ","")&amp;IF(LEN($R170)&gt;40,"Gift Message Line 4 exceeds 40 characters. ","")&amp;IF(LEN($S170)&gt;40,"Gift Message Line 5 exceeds 40 characters. ","")&amp;IF(LEN($T170)&gt;40,"Gift Message Line 6 exceeds 40 characters. ","")&amp;IF(LEN($U170)&gt;40,"Gift Message Line 7 exceeds 40 characters. ",""))</f>
        <v/>
      </c>
      <c r="Y170" s="44" t="str">
        <f t="shared" si="9"/>
        <v/>
      </c>
      <c r="Z170" s="44"/>
      <c r="AA170" s="44"/>
      <c r="AB170" s="32" t="str">
        <f t="shared" si="10"/>
        <v/>
      </c>
      <c r="AC170" s="32" t="str">
        <f>IF($A170="","",IFERROR(LEFT(INDEX('PRODUCT DATA'!$NO$2:$NO$25,MATCH($A170,'PRODUCT DATA'!$NP$2:$NP$25,0)),FIND("|",INDEX('PRODUCT DATA'!$NO$2:$NO$25,MATCH($A170,'PRODUCT DATA'!$NP$2:$NP$25,0)))-1),$A170))</f>
        <v/>
      </c>
      <c r="AD170" s="45"/>
      <c r="AE170" s="45" t="str">
        <f t="shared" si="11"/>
        <v/>
      </c>
    </row>
    <row r="171" spans="1:31" ht="15" customHeight="1" x14ac:dyDescent="0.25">
      <c r="A171" s="40"/>
      <c r="B171" s="43" t="str">
        <f>IF($A171="","",IFERROR(VLOOKUP($AC171,'PRODUCT DATA'!$NR$2:$NS$374,2,FALSE()),"UNKNOWN ITEM CODE - please check"))</f>
        <v/>
      </c>
      <c r="C171" s="39">
        <v>1</v>
      </c>
      <c r="D171" s="39"/>
      <c r="E171" s="40"/>
      <c r="F171" s="41"/>
      <c r="G171" s="39"/>
      <c r="H171" s="41"/>
      <c r="I171" s="41"/>
      <c r="J171" s="39"/>
      <c r="K171" s="41"/>
      <c r="L171" s="40"/>
      <c r="M171" s="40"/>
      <c r="N171" s="42" t="str">
        <f>IF($M171="","",IFERROR(INDEX('PRODUCT DATA'!$B$2:$B$58,MATCH(IF(UPPER($M171)="UK","GB",$M171),'PRODUCT DATA'!$B$2:$B$58,0)),IFERROR(INDEX('PRODUCT DATA'!$B$2:$B$58,MATCH(IF(UPPER($M171)="UK","GB",$M171),'PRODUCT DATA'!$A$2:$A$58,0)),"UNKNOWN COUNTRY - please check")))</f>
        <v/>
      </c>
      <c r="O171" s="41"/>
      <c r="P171" s="41"/>
      <c r="Q171" s="41"/>
      <c r="R171" s="41"/>
      <c r="S171" s="41"/>
      <c r="T171" s="41"/>
      <c r="U171" s="41"/>
      <c r="V171" s="43" t="str">
        <f t="shared" si="8"/>
        <v/>
      </c>
      <c r="W171" s="44" t="str">
        <f ca="1">IF(COUNTA($A171,$D171:$M171,$O171:$U171)=0,"",IF($A171="","Item Code; ","")&amp;IF(AND($A171&lt;&gt;"",ISNA(MATCH($AC171,'PRODUCT DATA'!$D$2:$D$394,0))),"Item Code; ","")&amp;IF($M171="","Country; ","")&amp;IF(AND($M171&lt;&gt;"",NOT(OR(NOT(ISNA(MATCH(IF(UPPER($M171)="UK","GB",$M171),'PRODUCT DATA'!$A$2:$A$58,0))),NOT(ISNA(MATCH(IF(UPPER($M171)="UK","GB",$M171),'PRODUCT DATA'!$B$2:$B$58,0)))))),"Country; ","")&amp;IF(AND($A171&lt;&gt;"",$M171&lt;&gt;"",NOT(ISNA(MATCH($AC171,'PRODUCT DATA'!$D$2:$D$394,0))),OR(NOT(ISNA(MATCH(IF(UPPER($M171)="UK","GB",$M171),'PRODUCT DATA'!$A$2:$A$58,0))),NOT(ISNA(MATCH(IF(UPPER($M171)="UK","GB",$M171),'PRODUCT DATA'!$B$2:$B$58,0)))),NOT(IFERROR(COUNTIF(OFFSET('PRODUCT DATA'!$F$2,0,MATCH($AC171,'PRODUCT DATA'!$F$1:$NN$1,0)-1,114,1),$N171)&gt;0,FALSE()))),IF(UPPER(IFERROR(OFFSET('PRODUCT DATA'!$C$2,MATCH($N171,'PRODUCT DATA'!$B$2:$B$58,0)-1,0),""))="NO","Alcohol Restriction; ","Item Code / Country combination; "),"")&amp;IF($C171="","Quantity; ","")&amp;IF(AND($C171&lt;&gt;"",OR(NOT(ISNUMBER($C171)),$C171&lt;1,$C171&gt;999,MOD($C171,1)&lt;&gt;0)),"Quantity; ","")&amp;IF($D171="","Recipient Name; ","")&amp;IF(LEN($D171)&gt;35,"Recipient Name; ","")&amp;IF($E171="","Recipient Phone; ","")&amp;IF(AND($E171&lt;&gt;"",OR(LEN($E171)&lt;6,LEN($E171)&gt;20,NOT(IFERROR(ISNUMBER(1*$E171),FALSE())))),"Recipient Phone; ","")&amp;IF(LEN($F171)&gt;35,"Recipient Company Name; ","")&amp;IF($G171="","Address Line 1; ","")&amp;IF(LEN($G171)&gt;35,"Address Line 1; ","")&amp;IF(LEN($H171)&gt;35,"Address Line 2; ","")&amp;IF(LEN($I171)&gt;35,"Address Line 3; ","")&amp;IF($J171="","Town; ","")&amp;IF(LEN($J171)&gt;35,"Town; ","")&amp;IF(AND($N171="IE",$K171=""),"County; ","")&amp;IF(LEN($AB171)&gt;35,"County; ","")&amp;IF(AND($L171="",AND($N171&lt;&gt;"AE",$N171&lt;&gt;"QA")),"Postcode; ","")&amp;IF(LEN($L171)&gt;35,"Postcode; ","")&amp;IF($AE171&lt;&gt;"","Postcode; ","")&amp;IF(LEN($O171)&gt;40,"Gift Message 1; ","")&amp;IF(LEN($P171)&gt;40,"Gift Message 2; ","")&amp;IF(LEN($Q171)&gt;40,"Gift Message 3; ","")&amp;IF(LEN($R171)&gt;40,"Gift Message 4; ","")&amp;IF(LEN($S171)&gt;40,"Gift Message 5; ","")&amp;IF(LEN($T171)&gt;40,"Gift Message 6; ","")&amp;IF(LEN($U171)&gt;40,"Gift Message 7; ",""))</f>
        <v/>
      </c>
      <c r="X171" s="44" t="str">
        <f ca="1">IF(COUNTA($A171,$D171:$M171,$O171:$U171)=0,"",IF($A171="","Enter the Item Code (hamper) - type it, paste it, or choose it from the dropdown. ","")&amp;IF(AND($A171&lt;&gt;"",ISNA(MATCH($AC171,'PRODUCT DATA'!$D$2:$D$394,0))),"This Item Code is not recognised. Check the code (case does not matter, but spelling and digits must match exactly) or choose it from the dropdown. ","")&amp;IF($M171="","Enter the Country after the Item Code - type or paste the name or the 2-letter code, or choose it from the dropdown. ","")&amp;IF(AND($M171&lt;&gt;"",NOT(OR(NOT(ISNA(MATCH(IF(UPPER($M171)="UK","GB",$M171),'PRODUCT DATA'!$A$2:$A$58,0))),NOT(ISNA(MATCH(IF(UPPER($M171)="UK","GB",$M171),'PRODUCT DATA'!$B$2:$B$58,0)))))),"This Country is not recognised as either a full name or a 2-letter code. Check the spelling (case does not matter) or choose it from the dropdown. ","")&amp;IF(AND($A171&lt;&gt;"",$M171&lt;&gt;"",NOT(ISNA(MATCH($AC171,'PRODUCT DATA'!$D$2:$D$394,0))),OR(NOT(ISNA(MATCH(IF(UPPER($M171)="UK","GB",$M171),'PRODUCT DATA'!$A$2:$A$58,0))),NOT(ISNA(MATCH(IF(UPPER($M171)="UK","GB",$M171),'PRODUCT DATA'!$B$2:$B$58,0)))),NOT(IFERROR(COUNTIF(OFFSET('PRODUCT DATA'!$F$2,0,MATCH($AC171,'PRODUCT DATA'!$F$1:$NN$1,0)-1,114,1),$N171)&gt;0,FALSE()))),IF(UPPER(IFERROR(OFFSET('PRODUCT DATA'!$C$2,MATCH($N171,'PRODUCT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"),"")&amp;IF($C171="","Enter Quantity. ","")&amp;IF(AND($C171&lt;&gt;"",OR(NOT(ISNUMBER($C171)),$C171&lt;1,$C171&gt;999,MOD($C171,1)&lt;&gt;0)),"Quantity must be a whole number from 1 to 999 (use a quantity above 1 only for a genuine bulk order of identical items to ONE address — otherwise use a separate row per recipient). ","")&amp;IF($D171="","Enter Recipient Name. ","")&amp;IF(LEN($D171)&gt;35,"Recipient Name exceeds 35 characters. ","")&amp;IF($E171="","Enter Recipient Phone. ","")&amp;IF(AND($E171&lt;&gt;"",OR(LEN($E171)&lt;6,LEN($E171)&gt;20,NOT(IFERROR(ISNUMBER(1*$E171),FALSE())))),"Phone must be the LOCAL number for the destination country: digits only, no +, spaces, or country code, 6 to 20 digits. ","")&amp;IF(LEN($F171)&gt;35,"Recipient Company Name exceeds 35 characters. ","")&amp;IF($G171="","Enter Address Line 1. ","")&amp;IF(LEN($G171)&gt;35,"Address Line 1 exceeds the 35-character SAP limit. ","")&amp;IF(LEN($H171)&gt;35,"Address Line 2 exceeds the 35-character SAP limit. ","")&amp;IF(LEN($I171)&gt;35,"Address Line 3 exceeds the 35-character SAP limit. ","")&amp;IF($J171="","Enter Town. This must never be left blank, even if there is no conventional town name. ","")&amp;IF(LEN($J171)&gt;35,"Town exceeds 35 characters. ","")&amp;IF(AND($N171="IE",$K171=""),"County is required for deliveries within the Republic of Ireland. ","")&amp;IF(LEN($AB171)&gt;35,"County exceeds 35 characters. ","")&amp;IF(AND($L171="",AND($N171&lt;&gt;"AE",$N171&lt;&gt;"QA")),"Postcode is required for the selected country. If there is genuinely no postcode, enter the first 3 characters of the area (e.g. D15). ","")&amp;IF(LEN($L171)&gt;35,"Postcode exceeds 35 characters. ","")&amp;IF($AE171&lt;&gt;"",$AE171,"")&amp;IF(LEN($O171)&gt;40,"Gift Message Line 1 exceeds 40 characters. ","")&amp;IF(LEN($P171)&gt;40,"Gift Message Line 2 exceeds 40 characters. ","")&amp;IF(LEN($Q171)&gt;40,"Gift Message Line 3 exceeds 40 characters. ","")&amp;IF(LEN($R171)&gt;40,"Gift Message Line 4 exceeds 40 characters. ","")&amp;IF(LEN($S171)&gt;40,"Gift Message Line 5 exceeds 40 characters. ","")&amp;IF(LEN($T171)&gt;40,"Gift Message Line 6 exceeds 40 characters. ","")&amp;IF(LEN($U171)&gt;40,"Gift Message Line 7 exceeds 40 characters. ",""))</f>
        <v/>
      </c>
      <c r="Y171" s="44" t="str">
        <f t="shared" si="9"/>
        <v/>
      </c>
      <c r="Z171" s="44"/>
      <c r="AA171" s="44"/>
      <c r="AB171" s="32" t="str">
        <f t="shared" si="10"/>
        <v/>
      </c>
      <c r="AC171" s="32" t="str">
        <f>IF($A171="","",IFERROR(LEFT(INDEX('PRODUCT DATA'!$NO$2:$NO$25,MATCH($A171,'PRODUCT DATA'!$NP$2:$NP$25,0)),FIND("|",INDEX('PRODUCT DATA'!$NO$2:$NO$25,MATCH($A171,'PRODUCT DATA'!$NP$2:$NP$25,0)))-1),$A171))</f>
        <v/>
      </c>
      <c r="AD171" s="45"/>
      <c r="AE171" s="45" t="str">
        <f t="shared" si="11"/>
        <v/>
      </c>
    </row>
    <row r="172" spans="1:31" ht="15" customHeight="1" x14ac:dyDescent="0.25">
      <c r="A172" s="40"/>
      <c r="B172" s="43" t="str">
        <f>IF($A172="","",IFERROR(VLOOKUP($AC172,'PRODUCT DATA'!$NR$2:$NS$374,2,FALSE()),"UNKNOWN ITEM CODE - please check"))</f>
        <v/>
      </c>
      <c r="C172" s="39">
        <v>1</v>
      </c>
      <c r="D172" s="39"/>
      <c r="E172" s="40"/>
      <c r="F172" s="41"/>
      <c r="G172" s="39"/>
      <c r="H172" s="41"/>
      <c r="I172" s="41"/>
      <c r="J172" s="39"/>
      <c r="K172" s="41"/>
      <c r="L172" s="40"/>
      <c r="M172" s="40"/>
      <c r="N172" s="42" t="str">
        <f>IF($M172="","",IFERROR(INDEX('PRODUCT DATA'!$B$2:$B$58,MATCH(IF(UPPER($M172)="UK","GB",$M172),'PRODUCT DATA'!$B$2:$B$58,0)),IFERROR(INDEX('PRODUCT DATA'!$B$2:$B$58,MATCH(IF(UPPER($M172)="UK","GB",$M172),'PRODUCT DATA'!$A$2:$A$58,0)),"UNKNOWN COUNTRY - please check")))</f>
        <v/>
      </c>
      <c r="O172" s="41"/>
      <c r="P172" s="41"/>
      <c r="Q172" s="41"/>
      <c r="R172" s="41"/>
      <c r="S172" s="41"/>
      <c r="T172" s="41"/>
      <c r="U172" s="41"/>
      <c r="V172" s="43" t="str">
        <f t="shared" si="8"/>
        <v/>
      </c>
      <c r="W172" s="44" t="str">
        <f ca="1">IF(COUNTA($A172,$D172:$M172,$O172:$U172)=0,"",IF($A172="","Item Code; ","")&amp;IF(AND($A172&lt;&gt;"",ISNA(MATCH($AC172,'PRODUCT DATA'!$D$2:$D$394,0))),"Item Code; ","")&amp;IF($M172="","Country; ","")&amp;IF(AND($M172&lt;&gt;"",NOT(OR(NOT(ISNA(MATCH(IF(UPPER($M172)="UK","GB",$M172),'PRODUCT DATA'!$A$2:$A$58,0))),NOT(ISNA(MATCH(IF(UPPER($M172)="UK","GB",$M172),'PRODUCT DATA'!$B$2:$B$58,0)))))),"Country; ","")&amp;IF(AND($A172&lt;&gt;"",$M172&lt;&gt;"",NOT(ISNA(MATCH($AC172,'PRODUCT DATA'!$D$2:$D$394,0))),OR(NOT(ISNA(MATCH(IF(UPPER($M172)="UK","GB",$M172),'PRODUCT DATA'!$A$2:$A$58,0))),NOT(ISNA(MATCH(IF(UPPER($M172)="UK","GB",$M172),'PRODUCT DATA'!$B$2:$B$58,0)))),NOT(IFERROR(COUNTIF(OFFSET('PRODUCT DATA'!$F$2,0,MATCH($AC172,'PRODUCT DATA'!$F$1:$NN$1,0)-1,114,1),$N172)&gt;0,FALSE()))),IF(UPPER(IFERROR(OFFSET('PRODUCT DATA'!$C$2,MATCH($N172,'PRODUCT DATA'!$B$2:$B$58,0)-1,0),""))="NO","Alcohol Restriction; ","Item Code / Country combination; "),"")&amp;IF($C172="","Quantity; ","")&amp;IF(AND($C172&lt;&gt;"",OR(NOT(ISNUMBER($C172)),$C172&lt;1,$C172&gt;999,MOD($C172,1)&lt;&gt;0)),"Quantity; ","")&amp;IF($D172="","Recipient Name; ","")&amp;IF(LEN($D172)&gt;35,"Recipient Name; ","")&amp;IF($E172="","Recipient Phone; ","")&amp;IF(AND($E172&lt;&gt;"",OR(LEN($E172)&lt;6,LEN($E172)&gt;20,NOT(IFERROR(ISNUMBER(1*$E172),FALSE())))),"Recipient Phone; ","")&amp;IF(LEN($F172)&gt;35,"Recipient Company Name; ","")&amp;IF($G172="","Address Line 1; ","")&amp;IF(LEN($G172)&gt;35,"Address Line 1; ","")&amp;IF(LEN($H172)&gt;35,"Address Line 2; ","")&amp;IF(LEN($I172)&gt;35,"Address Line 3; ","")&amp;IF($J172="","Town; ","")&amp;IF(LEN($J172)&gt;35,"Town; ","")&amp;IF(AND($N172="IE",$K172=""),"County; ","")&amp;IF(LEN($AB172)&gt;35,"County; ","")&amp;IF(AND($L172="",AND($N172&lt;&gt;"AE",$N172&lt;&gt;"QA")),"Postcode; ","")&amp;IF(LEN($L172)&gt;35,"Postcode; ","")&amp;IF($AE172&lt;&gt;"","Postcode; ","")&amp;IF(LEN($O172)&gt;40,"Gift Message 1; ","")&amp;IF(LEN($P172)&gt;40,"Gift Message 2; ","")&amp;IF(LEN($Q172)&gt;40,"Gift Message 3; ","")&amp;IF(LEN($R172)&gt;40,"Gift Message 4; ","")&amp;IF(LEN($S172)&gt;40,"Gift Message 5; ","")&amp;IF(LEN($T172)&gt;40,"Gift Message 6; ","")&amp;IF(LEN($U172)&gt;40,"Gift Message 7; ",""))</f>
        <v/>
      </c>
      <c r="X172" s="44" t="str">
        <f ca="1">IF(COUNTA($A172,$D172:$M172,$O172:$U172)=0,"",IF($A172="","Enter the Item Code (hamper) - type it, paste it, or choose it from the dropdown. ","")&amp;IF(AND($A172&lt;&gt;"",ISNA(MATCH($AC172,'PRODUCT DATA'!$D$2:$D$394,0))),"This Item Code is not recognised. Check the code (case does not matter, but spelling and digits must match exactly) or choose it from the dropdown. ","")&amp;IF($M172="","Enter the Country after the Item Code - type or paste the name or the 2-letter code, or choose it from the dropdown. ","")&amp;IF(AND($M172&lt;&gt;"",NOT(OR(NOT(ISNA(MATCH(IF(UPPER($M172)="UK","GB",$M172),'PRODUCT DATA'!$A$2:$A$58,0))),NOT(ISNA(MATCH(IF(UPPER($M172)="UK","GB",$M172),'PRODUCT DATA'!$B$2:$B$58,0)))))),"This Country is not recognised as either a full name or a 2-letter code. Check the spelling (case does not matter) or choose it from the dropdown. ","")&amp;IF(AND($A172&lt;&gt;"",$M172&lt;&gt;"",NOT(ISNA(MATCH($AC172,'PRODUCT DATA'!$D$2:$D$394,0))),OR(NOT(ISNA(MATCH(IF(UPPER($M172)="UK","GB",$M172),'PRODUCT DATA'!$A$2:$A$58,0))),NOT(ISNA(MATCH(IF(UPPER($M172)="UK","GB",$M172),'PRODUCT DATA'!$B$2:$B$58,0)))),NOT(IFERROR(COUNTIF(OFFSET('PRODUCT DATA'!$F$2,0,MATCH($AC172,'PRODUCT DATA'!$F$1:$NN$1,0)-1,114,1),$N172)&gt;0,FALSE()))),IF(UPPER(IFERROR(OFFSET('PRODUCT DATA'!$C$2,MATCH($N172,'PRODUCT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"),"")&amp;IF($C172="","Enter Quantity. ","")&amp;IF(AND($C172&lt;&gt;"",OR(NOT(ISNUMBER($C172)),$C172&lt;1,$C172&gt;999,MOD($C172,1)&lt;&gt;0)),"Quantity must be a whole number from 1 to 999 (use a quantity above 1 only for a genuine bulk order of identical items to ONE address — otherwise use a separate row per recipient). ","")&amp;IF($D172="","Enter Recipient Name. ","")&amp;IF(LEN($D172)&gt;35,"Recipient Name exceeds 35 characters. ","")&amp;IF($E172="","Enter Recipient Phone. ","")&amp;IF(AND($E172&lt;&gt;"",OR(LEN($E172)&lt;6,LEN($E172)&gt;20,NOT(IFERROR(ISNUMBER(1*$E172),FALSE())))),"Phone must be the LOCAL number for the destination country: digits only, no +, spaces, or country code, 6 to 20 digits. ","")&amp;IF(LEN($F172)&gt;35,"Recipient Company Name exceeds 35 characters. ","")&amp;IF($G172="","Enter Address Line 1. ","")&amp;IF(LEN($G172)&gt;35,"Address Line 1 exceeds the 35-character SAP limit. ","")&amp;IF(LEN($H172)&gt;35,"Address Line 2 exceeds the 35-character SAP limit. ","")&amp;IF(LEN($I172)&gt;35,"Address Line 3 exceeds the 35-character SAP limit. ","")&amp;IF($J172="","Enter Town. This must never be left blank, even if there is no conventional town name. ","")&amp;IF(LEN($J172)&gt;35,"Town exceeds 35 characters. ","")&amp;IF(AND($N172="IE",$K172=""),"County is required for deliveries within the Republic of Ireland. ","")&amp;IF(LEN($AB172)&gt;35,"County exceeds 35 characters. ","")&amp;IF(AND($L172="",AND($N172&lt;&gt;"AE",$N172&lt;&gt;"QA")),"Postcode is required for the selected country. If there is genuinely no postcode, enter the first 3 characters of the area (e.g. D15). ","")&amp;IF(LEN($L172)&gt;35,"Postcode exceeds 35 characters. ","")&amp;IF($AE172&lt;&gt;"",$AE172,"")&amp;IF(LEN($O172)&gt;40,"Gift Message Line 1 exceeds 40 characters. ","")&amp;IF(LEN($P172)&gt;40,"Gift Message Line 2 exceeds 40 characters. ","")&amp;IF(LEN($Q172)&gt;40,"Gift Message Line 3 exceeds 40 characters. ","")&amp;IF(LEN($R172)&gt;40,"Gift Message Line 4 exceeds 40 characters. ","")&amp;IF(LEN($S172)&gt;40,"Gift Message Line 5 exceeds 40 characters. ","")&amp;IF(LEN($T172)&gt;40,"Gift Message Line 6 exceeds 40 characters. ","")&amp;IF(LEN($U172)&gt;40,"Gift Message Line 7 exceeds 40 characters. ",""))</f>
        <v/>
      </c>
      <c r="Y172" s="44" t="str">
        <f t="shared" si="9"/>
        <v/>
      </c>
      <c r="Z172" s="44"/>
      <c r="AA172" s="44"/>
      <c r="AB172" s="32" t="str">
        <f t="shared" si="10"/>
        <v/>
      </c>
      <c r="AC172" s="32" t="str">
        <f>IF($A172="","",IFERROR(LEFT(INDEX('PRODUCT DATA'!$NO$2:$NO$25,MATCH($A172,'PRODUCT DATA'!$NP$2:$NP$25,0)),FIND("|",INDEX('PRODUCT DATA'!$NO$2:$NO$25,MATCH($A172,'PRODUCT DATA'!$NP$2:$NP$25,0)))-1),$A172))</f>
        <v/>
      </c>
      <c r="AD172" s="45"/>
      <c r="AE172" s="45" t="str">
        <f t="shared" si="11"/>
        <v/>
      </c>
    </row>
    <row r="173" spans="1:31" ht="15" customHeight="1" x14ac:dyDescent="0.25">
      <c r="A173" s="40"/>
      <c r="B173" s="43" t="str">
        <f>IF($A173="","",IFERROR(VLOOKUP($AC173,'PRODUCT DATA'!$NR$2:$NS$374,2,FALSE()),"UNKNOWN ITEM CODE - please check"))</f>
        <v/>
      </c>
      <c r="C173" s="39">
        <v>1</v>
      </c>
      <c r="D173" s="39"/>
      <c r="E173" s="40"/>
      <c r="F173" s="41"/>
      <c r="G173" s="39"/>
      <c r="H173" s="41"/>
      <c r="I173" s="41"/>
      <c r="J173" s="39"/>
      <c r="K173" s="41"/>
      <c r="L173" s="40"/>
      <c r="M173" s="40"/>
      <c r="N173" s="42" t="str">
        <f>IF($M173="","",IFERROR(INDEX('PRODUCT DATA'!$B$2:$B$58,MATCH(IF(UPPER($M173)="UK","GB",$M173),'PRODUCT DATA'!$B$2:$B$58,0)),IFERROR(INDEX('PRODUCT DATA'!$B$2:$B$58,MATCH(IF(UPPER($M173)="UK","GB",$M173),'PRODUCT DATA'!$A$2:$A$58,0)),"UNKNOWN COUNTRY - please check")))</f>
        <v/>
      </c>
      <c r="O173" s="41"/>
      <c r="P173" s="41"/>
      <c r="Q173" s="41"/>
      <c r="R173" s="41"/>
      <c r="S173" s="41"/>
      <c r="T173" s="41"/>
      <c r="U173" s="41"/>
      <c r="V173" s="43" t="str">
        <f t="shared" si="8"/>
        <v/>
      </c>
      <c r="W173" s="44" t="str">
        <f ca="1">IF(COUNTA($A173,$D173:$M173,$O173:$U173)=0,"",IF($A173="","Item Code; ","")&amp;IF(AND($A173&lt;&gt;"",ISNA(MATCH($AC173,'PRODUCT DATA'!$D$2:$D$394,0))),"Item Code; ","")&amp;IF($M173="","Country; ","")&amp;IF(AND($M173&lt;&gt;"",NOT(OR(NOT(ISNA(MATCH(IF(UPPER($M173)="UK","GB",$M173),'PRODUCT DATA'!$A$2:$A$58,0))),NOT(ISNA(MATCH(IF(UPPER($M173)="UK","GB",$M173),'PRODUCT DATA'!$B$2:$B$58,0)))))),"Country; ","")&amp;IF(AND($A173&lt;&gt;"",$M173&lt;&gt;"",NOT(ISNA(MATCH($AC173,'PRODUCT DATA'!$D$2:$D$394,0))),OR(NOT(ISNA(MATCH(IF(UPPER($M173)="UK","GB",$M173),'PRODUCT DATA'!$A$2:$A$58,0))),NOT(ISNA(MATCH(IF(UPPER($M173)="UK","GB",$M173),'PRODUCT DATA'!$B$2:$B$58,0)))),NOT(IFERROR(COUNTIF(OFFSET('PRODUCT DATA'!$F$2,0,MATCH($AC173,'PRODUCT DATA'!$F$1:$NN$1,0)-1,114,1),$N173)&gt;0,FALSE()))),IF(UPPER(IFERROR(OFFSET('PRODUCT DATA'!$C$2,MATCH($N173,'PRODUCT DATA'!$B$2:$B$58,0)-1,0),""))="NO","Alcohol Restriction; ","Item Code / Country combination; "),"")&amp;IF($C173="","Quantity; ","")&amp;IF(AND($C173&lt;&gt;"",OR(NOT(ISNUMBER($C173)),$C173&lt;1,$C173&gt;999,MOD($C173,1)&lt;&gt;0)),"Quantity; ","")&amp;IF($D173="","Recipient Name; ","")&amp;IF(LEN($D173)&gt;35,"Recipient Name; ","")&amp;IF($E173="","Recipient Phone; ","")&amp;IF(AND($E173&lt;&gt;"",OR(LEN($E173)&lt;6,LEN($E173)&gt;20,NOT(IFERROR(ISNUMBER(1*$E173),FALSE())))),"Recipient Phone; ","")&amp;IF(LEN($F173)&gt;35,"Recipient Company Name; ","")&amp;IF($G173="","Address Line 1; ","")&amp;IF(LEN($G173)&gt;35,"Address Line 1; ","")&amp;IF(LEN($H173)&gt;35,"Address Line 2; ","")&amp;IF(LEN($I173)&gt;35,"Address Line 3; ","")&amp;IF($J173="","Town; ","")&amp;IF(LEN($J173)&gt;35,"Town; ","")&amp;IF(AND($N173="IE",$K173=""),"County; ","")&amp;IF(LEN($AB173)&gt;35,"County; ","")&amp;IF(AND($L173="",AND($N173&lt;&gt;"AE",$N173&lt;&gt;"QA")),"Postcode; ","")&amp;IF(LEN($L173)&gt;35,"Postcode; ","")&amp;IF($AE173&lt;&gt;"","Postcode; ","")&amp;IF(LEN($O173)&gt;40,"Gift Message 1; ","")&amp;IF(LEN($P173)&gt;40,"Gift Message 2; ","")&amp;IF(LEN($Q173)&gt;40,"Gift Message 3; ","")&amp;IF(LEN($R173)&gt;40,"Gift Message 4; ","")&amp;IF(LEN($S173)&gt;40,"Gift Message 5; ","")&amp;IF(LEN($T173)&gt;40,"Gift Message 6; ","")&amp;IF(LEN($U173)&gt;40,"Gift Message 7; ",""))</f>
        <v/>
      </c>
      <c r="X173" s="44" t="str">
        <f ca="1">IF(COUNTA($A173,$D173:$M173,$O173:$U173)=0,"",IF($A173="","Enter the Item Code (hamper) - type it, paste it, or choose it from the dropdown. ","")&amp;IF(AND($A173&lt;&gt;"",ISNA(MATCH($AC173,'PRODUCT DATA'!$D$2:$D$394,0))),"This Item Code is not recognised. Check the code (case does not matter, but spelling and digits must match exactly) or choose it from the dropdown. ","")&amp;IF($M173="","Enter the Country after the Item Code - type or paste the name or the 2-letter code, or choose it from the dropdown. ","")&amp;IF(AND($M173&lt;&gt;"",NOT(OR(NOT(ISNA(MATCH(IF(UPPER($M173)="UK","GB",$M173),'PRODUCT DATA'!$A$2:$A$58,0))),NOT(ISNA(MATCH(IF(UPPER($M173)="UK","GB",$M173),'PRODUCT DATA'!$B$2:$B$58,0)))))),"This Country is not recognised as either a full name or a 2-letter code. Check the spelling (case does not matter) or choose it from the dropdown. ","")&amp;IF(AND($A173&lt;&gt;"",$M173&lt;&gt;"",NOT(ISNA(MATCH($AC173,'PRODUCT DATA'!$D$2:$D$394,0))),OR(NOT(ISNA(MATCH(IF(UPPER($M173)="UK","GB",$M173),'PRODUCT DATA'!$A$2:$A$58,0))),NOT(ISNA(MATCH(IF(UPPER($M173)="UK","GB",$M173),'PRODUCT DATA'!$B$2:$B$58,0)))),NOT(IFERROR(COUNTIF(OFFSET('PRODUCT DATA'!$F$2,0,MATCH($AC173,'PRODUCT DATA'!$F$1:$NN$1,0)-1,114,1),$N173)&gt;0,FALSE()))),IF(UPPER(IFERROR(OFFSET('PRODUCT DATA'!$C$2,MATCH($N173,'PRODUCT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"),"")&amp;IF($C173="","Enter Quantity. ","")&amp;IF(AND($C173&lt;&gt;"",OR(NOT(ISNUMBER($C173)),$C173&lt;1,$C173&gt;999,MOD($C173,1)&lt;&gt;0)),"Quantity must be a whole number from 1 to 999 (use a quantity above 1 only for a genuine bulk order of identical items to ONE address — otherwise use a separate row per recipient). ","")&amp;IF($D173="","Enter Recipient Name. ","")&amp;IF(LEN($D173)&gt;35,"Recipient Name exceeds 35 characters. ","")&amp;IF($E173="","Enter Recipient Phone. ","")&amp;IF(AND($E173&lt;&gt;"",OR(LEN($E173)&lt;6,LEN($E173)&gt;20,NOT(IFERROR(ISNUMBER(1*$E173),FALSE())))),"Phone must be the LOCAL number for the destination country: digits only, no +, spaces, or country code, 6 to 20 digits. ","")&amp;IF(LEN($F173)&gt;35,"Recipient Company Name exceeds 35 characters. ","")&amp;IF($G173="","Enter Address Line 1. ","")&amp;IF(LEN($G173)&gt;35,"Address Line 1 exceeds the 35-character SAP limit. ","")&amp;IF(LEN($H173)&gt;35,"Address Line 2 exceeds the 35-character SAP limit. ","")&amp;IF(LEN($I173)&gt;35,"Address Line 3 exceeds the 35-character SAP limit. ","")&amp;IF($J173="","Enter Town. This must never be left blank, even if there is no conventional town name. ","")&amp;IF(LEN($J173)&gt;35,"Town exceeds 35 characters. ","")&amp;IF(AND($N173="IE",$K173=""),"County is required for deliveries within the Republic of Ireland. ","")&amp;IF(LEN($AB173)&gt;35,"County exceeds 35 characters. ","")&amp;IF(AND($L173="",AND($N173&lt;&gt;"AE",$N173&lt;&gt;"QA")),"Postcode is required for the selected country. If there is genuinely no postcode, enter the first 3 characters of the area (e.g. D15). ","")&amp;IF(LEN($L173)&gt;35,"Postcode exceeds 35 characters. ","")&amp;IF($AE173&lt;&gt;"",$AE173,"")&amp;IF(LEN($O173)&gt;40,"Gift Message Line 1 exceeds 40 characters. ","")&amp;IF(LEN($P173)&gt;40,"Gift Message Line 2 exceeds 40 characters. ","")&amp;IF(LEN($Q173)&gt;40,"Gift Message Line 3 exceeds 40 characters. ","")&amp;IF(LEN($R173)&gt;40,"Gift Message Line 4 exceeds 40 characters. ","")&amp;IF(LEN($S173)&gt;40,"Gift Message Line 5 exceeds 40 characters. ","")&amp;IF(LEN($T173)&gt;40,"Gift Message Line 6 exceeds 40 characters. ","")&amp;IF(LEN($U173)&gt;40,"Gift Message Line 7 exceeds 40 characters. ",""))</f>
        <v/>
      </c>
      <c r="Y173" s="44" t="str">
        <f t="shared" si="9"/>
        <v/>
      </c>
      <c r="Z173" s="44"/>
      <c r="AA173" s="44"/>
      <c r="AB173" s="32" t="str">
        <f t="shared" si="10"/>
        <v/>
      </c>
      <c r="AC173" s="32" t="str">
        <f>IF($A173="","",IFERROR(LEFT(INDEX('PRODUCT DATA'!$NO$2:$NO$25,MATCH($A173,'PRODUCT DATA'!$NP$2:$NP$25,0)),FIND("|",INDEX('PRODUCT DATA'!$NO$2:$NO$25,MATCH($A173,'PRODUCT DATA'!$NP$2:$NP$25,0)))-1),$A173))</f>
        <v/>
      </c>
      <c r="AD173" s="45"/>
      <c r="AE173" s="45" t="str">
        <f t="shared" si="11"/>
        <v/>
      </c>
    </row>
    <row r="174" spans="1:31" ht="15" customHeight="1" x14ac:dyDescent="0.25">
      <c r="A174" s="40"/>
      <c r="B174" s="43" t="str">
        <f>IF($A174="","",IFERROR(VLOOKUP($AC174,'PRODUCT DATA'!$NR$2:$NS$374,2,FALSE()),"UNKNOWN ITEM CODE - please check"))</f>
        <v/>
      </c>
      <c r="C174" s="39">
        <v>1</v>
      </c>
      <c r="D174" s="39"/>
      <c r="E174" s="40"/>
      <c r="F174" s="41"/>
      <c r="G174" s="39"/>
      <c r="H174" s="41"/>
      <c r="I174" s="41"/>
      <c r="J174" s="39"/>
      <c r="K174" s="41"/>
      <c r="L174" s="40"/>
      <c r="M174" s="40"/>
      <c r="N174" s="42" t="str">
        <f>IF($M174="","",IFERROR(INDEX('PRODUCT DATA'!$B$2:$B$58,MATCH(IF(UPPER($M174)="UK","GB",$M174),'PRODUCT DATA'!$B$2:$B$58,0)),IFERROR(INDEX('PRODUCT DATA'!$B$2:$B$58,MATCH(IF(UPPER($M174)="UK","GB",$M174),'PRODUCT DATA'!$A$2:$A$58,0)),"UNKNOWN COUNTRY - please check")))</f>
        <v/>
      </c>
      <c r="O174" s="41"/>
      <c r="P174" s="41"/>
      <c r="Q174" s="41"/>
      <c r="R174" s="41"/>
      <c r="S174" s="41"/>
      <c r="T174" s="41"/>
      <c r="U174" s="41"/>
      <c r="V174" s="43" t="str">
        <f t="shared" si="8"/>
        <v/>
      </c>
      <c r="W174" s="44" t="str">
        <f ca="1">IF(COUNTA($A174,$D174:$M174,$O174:$U174)=0,"",IF($A174="","Item Code; ","")&amp;IF(AND($A174&lt;&gt;"",ISNA(MATCH($AC174,'PRODUCT DATA'!$D$2:$D$394,0))),"Item Code; ","")&amp;IF($M174="","Country; ","")&amp;IF(AND($M174&lt;&gt;"",NOT(OR(NOT(ISNA(MATCH(IF(UPPER($M174)="UK","GB",$M174),'PRODUCT DATA'!$A$2:$A$58,0))),NOT(ISNA(MATCH(IF(UPPER($M174)="UK","GB",$M174),'PRODUCT DATA'!$B$2:$B$58,0)))))),"Country; ","")&amp;IF(AND($A174&lt;&gt;"",$M174&lt;&gt;"",NOT(ISNA(MATCH($AC174,'PRODUCT DATA'!$D$2:$D$394,0))),OR(NOT(ISNA(MATCH(IF(UPPER($M174)="UK","GB",$M174),'PRODUCT DATA'!$A$2:$A$58,0))),NOT(ISNA(MATCH(IF(UPPER($M174)="UK","GB",$M174),'PRODUCT DATA'!$B$2:$B$58,0)))),NOT(IFERROR(COUNTIF(OFFSET('PRODUCT DATA'!$F$2,0,MATCH($AC174,'PRODUCT DATA'!$F$1:$NN$1,0)-1,114,1),$N174)&gt;0,FALSE()))),IF(UPPER(IFERROR(OFFSET('PRODUCT DATA'!$C$2,MATCH($N174,'PRODUCT DATA'!$B$2:$B$58,0)-1,0),""))="NO","Alcohol Restriction; ","Item Code / Country combination; "),"")&amp;IF($C174="","Quantity; ","")&amp;IF(AND($C174&lt;&gt;"",OR(NOT(ISNUMBER($C174)),$C174&lt;1,$C174&gt;999,MOD($C174,1)&lt;&gt;0)),"Quantity; ","")&amp;IF($D174="","Recipient Name; ","")&amp;IF(LEN($D174)&gt;35,"Recipient Name; ","")&amp;IF($E174="","Recipient Phone; ","")&amp;IF(AND($E174&lt;&gt;"",OR(LEN($E174)&lt;6,LEN($E174)&gt;20,NOT(IFERROR(ISNUMBER(1*$E174),FALSE())))),"Recipient Phone; ","")&amp;IF(LEN($F174)&gt;35,"Recipient Company Name; ","")&amp;IF($G174="","Address Line 1; ","")&amp;IF(LEN($G174)&gt;35,"Address Line 1; ","")&amp;IF(LEN($H174)&gt;35,"Address Line 2; ","")&amp;IF(LEN($I174)&gt;35,"Address Line 3; ","")&amp;IF($J174="","Town; ","")&amp;IF(LEN($J174)&gt;35,"Town; ","")&amp;IF(AND($N174="IE",$K174=""),"County; ","")&amp;IF(LEN($AB174)&gt;35,"County; ","")&amp;IF(AND($L174="",AND($N174&lt;&gt;"AE",$N174&lt;&gt;"QA")),"Postcode; ","")&amp;IF(LEN($L174)&gt;35,"Postcode; ","")&amp;IF($AE174&lt;&gt;"","Postcode; ","")&amp;IF(LEN($O174)&gt;40,"Gift Message 1; ","")&amp;IF(LEN($P174)&gt;40,"Gift Message 2; ","")&amp;IF(LEN($Q174)&gt;40,"Gift Message 3; ","")&amp;IF(LEN($R174)&gt;40,"Gift Message 4; ","")&amp;IF(LEN($S174)&gt;40,"Gift Message 5; ","")&amp;IF(LEN($T174)&gt;40,"Gift Message 6; ","")&amp;IF(LEN($U174)&gt;40,"Gift Message 7; ",""))</f>
        <v/>
      </c>
      <c r="X174" s="44" t="str">
        <f ca="1">IF(COUNTA($A174,$D174:$M174,$O174:$U174)=0,"",IF($A174="","Enter the Item Code (hamper) - type it, paste it, or choose it from the dropdown. ","")&amp;IF(AND($A174&lt;&gt;"",ISNA(MATCH($AC174,'PRODUCT DATA'!$D$2:$D$394,0))),"This Item Code is not recognised. Check the code (case does not matter, but spelling and digits must match exactly) or choose it from the dropdown. ","")&amp;IF($M174="","Enter the Country after the Item Code - type or paste the name or the 2-letter code, or choose it from the dropdown. ","")&amp;IF(AND($M174&lt;&gt;"",NOT(OR(NOT(ISNA(MATCH(IF(UPPER($M174)="UK","GB",$M174),'PRODUCT DATA'!$A$2:$A$58,0))),NOT(ISNA(MATCH(IF(UPPER($M174)="UK","GB",$M174),'PRODUCT DATA'!$B$2:$B$58,0)))))),"This Country is not recognised as either a full name or a 2-letter code. Check the spelling (case does not matter) or choose it from the dropdown. ","")&amp;IF(AND($A174&lt;&gt;"",$M174&lt;&gt;"",NOT(ISNA(MATCH($AC174,'PRODUCT DATA'!$D$2:$D$394,0))),OR(NOT(ISNA(MATCH(IF(UPPER($M174)="UK","GB",$M174),'PRODUCT DATA'!$A$2:$A$58,0))),NOT(ISNA(MATCH(IF(UPPER($M174)="UK","GB",$M174),'PRODUCT DATA'!$B$2:$B$58,0)))),NOT(IFERROR(COUNTIF(OFFSET('PRODUCT DATA'!$F$2,0,MATCH($AC174,'PRODUCT DATA'!$F$1:$NN$1,0)-1,114,1),$N174)&gt;0,FALSE()))),IF(UPPER(IFERROR(OFFSET('PRODUCT DATA'!$C$2,MATCH($N174,'PRODUCT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"),"")&amp;IF($C174="","Enter Quantity. ","")&amp;IF(AND($C174&lt;&gt;"",OR(NOT(ISNUMBER($C174)),$C174&lt;1,$C174&gt;999,MOD($C174,1)&lt;&gt;0)),"Quantity must be a whole number from 1 to 999 (use a quantity above 1 only for a genuine bulk order of identical items to ONE address — otherwise use a separate row per recipient). ","")&amp;IF($D174="","Enter Recipient Name. ","")&amp;IF(LEN($D174)&gt;35,"Recipient Name exceeds 35 characters. ","")&amp;IF($E174="","Enter Recipient Phone. ","")&amp;IF(AND($E174&lt;&gt;"",OR(LEN($E174)&lt;6,LEN($E174)&gt;20,NOT(IFERROR(ISNUMBER(1*$E174),FALSE())))),"Phone must be the LOCAL number for the destination country: digits only, no +, spaces, or country code, 6 to 20 digits. ","")&amp;IF(LEN($F174)&gt;35,"Recipient Company Name exceeds 35 characters. ","")&amp;IF($G174="","Enter Address Line 1. ","")&amp;IF(LEN($G174)&gt;35,"Address Line 1 exceeds the 35-character SAP limit. ","")&amp;IF(LEN($H174)&gt;35,"Address Line 2 exceeds the 35-character SAP limit. ","")&amp;IF(LEN($I174)&gt;35,"Address Line 3 exceeds the 35-character SAP limit. ","")&amp;IF($J174="","Enter Town. This must never be left blank, even if there is no conventional town name. ","")&amp;IF(LEN($J174)&gt;35,"Town exceeds 35 characters. ","")&amp;IF(AND($N174="IE",$K174=""),"County is required for deliveries within the Republic of Ireland. ","")&amp;IF(LEN($AB174)&gt;35,"County exceeds 35 characters. ","")&amp;IF(AND($L174="",AND($N174&lt;&gt;"AE",$N174&lt;&gt;"QA")),"Postcode is required for the selected country. If there is genuinely no postcode, enter the first 3 characters of the area (e.g. D15). ","")&amp;IF(LEN($L174)&gt;35,"Postcode exceeds 35 characters. ","")&amp;IF($AE174&lt;&gt;"",$AE174,"")&amp;IF(LEN($O174)&gt;40,"Gift Message Line 1 exceeds 40 characters. ","")&amp;IF(LEN($P174)&gt;40,"Gift Message Line 2 exceeds 40 characters. ","")&amp;IF(LEN($Q174)&gt;40,"Gift Message Line 3 exceeds 40 characters. ","")&amp;IF(LEN($R174)&gt;40,"Gift Message Line 4 exceeds 40 characters. ","")&amp;IF(LEN($S174)&gt;40,"Gift Message Line 5 exceeds 40 characters. ","")&amp;IF(LEN($T174)&gt;40,"Gift Message Line 6 exceeds 40 characters. ","")&amp;IF(LEN($U174)&gt;40,"Gift Message Line 7 exceeds 40 characters. ",""))</f>
        <v/>
      </c>
      <c r="Y174" s="44" t="str">
        <f t="shared" si="9"/>
        <v/>
      </c>
      <c r="Z174" s="44"/>
      <c r="AA174" s="44"/>
      <c r="AB174" s="32" t="str">
        <f t="shared" si="10"/>
        <v/>
      </c>
      <c r="AC174" s="32" t="str">
        <f>IF($A174="","",IFERROR(LEFT(INDEX('PRODUCT DATA'!$NO$2:$NO$25,MATCH($A174,'PRODUCT DATA'!$NP$2:$NP$25,0)),FIND("|",INDEX('PRODUCT DATA'!$NO$2:$NO$25,MATCH($A174,'PRODUCT DATA'!$NP$2:$NP$25,0)))-1),$A174))</f>
        <v/>
      </c>
      <c r="AD174" s="45"/>
      <c r="AE174" s="45" t="str">
        <f t="shared" si="11"/>
        <v/>
      </c>
    </row>
    <row r="175" spans="1:31" ht="15" customHeight="1" x14ac:dyDescent="0.25">
      <c r="A175" s="40"/>
      <c r="B175" s="43" t="str">
        <f>IF($A175="","",IFERROR(VLOOKUP($AC175,'PRODUCT DATA'!$NR$2:$NS$374,2,FALSE()),"UNKNOWN ITEM CODE - please check"))</f>
        <v/>
      </c>
      <c r="C175" s="39">
        <v>1</v>
      </c>
      <c r="D175" s="39"/>
      <c r="E175" s="40"/>
      <c r="F175" s="41"/>
      <c r="G175" s="39"/>
      <c r="H175" s="41"/>
      <c r="I175" s="41"/>
      <c r="J175" s="39"/>
      <c r="K175" s="41"/>
      <c r="L175" s="40"/>
      <c r="M175" s="40"/>
      <c r="N175" s="42" t="str">
        <f>IF($M175="","",IFERROR(INDEX('PRODUCT DATA'!$B$2:$B$58,MATCH(IF(UPPER($M175)="UK","GB",$M175),'PRODUCT DATA'!$B$2:$B$58,0)),IFERROR(INDEX('PRODUCT DATA'!$B$2:$B$58,MATCH(IF(UPPER($M175)="UK","GB",$M175),'PRODUCT DATA'!$A$2:$A$58,0)),"UNKNOWN COUNTRY - please check")))</f>
        <v/>
      </c>
      <c r="O175" s="41"/>
      <c r="P175" s="41"/>
      <c r="Q175" s="41"/>
      <c r="R175" s="41"/>
      <c r="S175" s="41"/>
      <c r="T175" s="41"/>
      <c r="U175" s="41"/>
      <c r="V175" s="43" t="str">
        <f t="shared" si="8"/>
        <v/>
      </c>
      <c r="W175" s="44" t="str">
        <f ca="1">IF(COUNTA($A175,$D175:$M175,$O175:$U175)=0,"",IF($A175="","Item Code; ","")&amp;IF(AND($A175&lt;&gt;"",ISNA(MATCH($AC175,'PRODUCT DATA'!$D$2:$D$394,0))),"Item Code; ","")&amp;IF($M175="","Country; ","")&amp;IF(AND($M175&lt;&gt;"",NOT(OR(NOT(ISNA(MATCH(IF(UPPER($M175)="UK","GB",$M175),'PRODUCT DATA'!$A$2:$A$58,0))),NOT(ISNA(MATCH(IF(UPPER($M175)="UK","GB",$M175),'PRODUCT DATA'!$B$2:$B$58,0)))))),"Country; ","")&amp;IF(AND($A175&lt;&gt;"",$M175&lt;&gt;"",NOT(ISNA(MATCH($AC175,'PRODUCT DATA'!$D$2:$D$394,0))),OR(NOT(ISNA(MATCH(IF(UPPER($M175)="UK","GB",$M175),'PRODUCT DATA'!$A$2:$A$58,0))),NOT(ISNA(MATCH(IF(UPPER($M175)="UK","GB",$M175),'PRODUCT DATA'!$B$2:$B$58,0)))),NOT(IFERROR(COUNTIF(OFFSET('PRODUCT DATA'!$F$2,0,MATCH($AC175,'PRODUCT DATA'!$F$1:$NN$1,0)-1,114,1),$N175)&gt;0,FALSE()))),IF(UPPER(IFERROR(OFFSET('PRODUCT DATA'!$C$2,MATCH($N175,'PRODUCT DATA'!$B$2:$B$58,0)-1,0),""))="NO","Alcohol Restriction; ","Item Code / Country combination; "),"")&amp;IF($C175="","Quantity; ","")&amp;IF(AND($C175&lt;&gt;"",OR(NOT(ISNUMBER($C175)),$C175&lt;1,$C175&gt;999,MOD($C175,1)&lt;&gt;0)),"Quantity; ","")&amp;IF($D175="","Recipient Name; ","")&amp;IF(LEN($D175)&gt;35,"Recipient Name; ","")&amp;IF($E175="","Recipient Phone; ","")&amp;IF(AND($E175&lt;&gt;"",OR(LEN($E175)&lt;6,LEN($E175)&gt;20,NOT(IFERROR(ISNUMBER(1*$E175),FALSE())))),"Recipient Phone; ","")&amp;IF(LEN($F175)&gt;35,"Recipient Company Name; ","")&amp;IF($G175="","Address Line 1; ","")&amp;IF(LEN($G175)&gt;35,"Address Line 1; ","")&amp;IF(LEN($H175)&gt;35,"Address Line 2; ","")&amp;IF(LEN($I175)&gt;35,"Address Line 3; ","")&amp;IF($J175="","Town; ","")&amp;IF(LEN($J175)&gt;35,"Town; ","")&amp;IF(AND($N175="IE",$K175=""),"County; ","")&amp;IF(LEN($AB175)&gt;35,"County; ","")&amp;IF(AND($L175="",AND($N175&lt;&gt;"AE",$N175&lt;&gt;"QA")),"Postcode; ","")&amp;IF(LEN($L175)&gt;35,"Postcode; ","")&amp;IF($AE175&lt;&gt;"","Postcode; ","")&amp;IF(LEN($O175)&gt;40,"Gift Message 1; ","")&amp;IF(LEN($P175)&gt;40,"Gift Message 2; ","")&amp;IF(LEN($Q175)&gt;40,"Gift Message 3; ","")&amp;IF(LEN($R175)&gt;40,"Gift Message 4; ","")&amp;IF(LEN($S175)&gt;40,"Gift Message 5; ","")&amp;IF(LEN($T175)&gt;40,"Gift Message 6; ","")&amp;IF(LEN($U175)&gt;40,"Gift Message 7; ",""))</f>
        <v/>
      </c>
      <c r="X175" s="44" t="str">
        <f ca="1">IF(COUNTA($A175,$D175:$M175,$O175:$U175)=0,"",IF($A175="","Enter the Item Code (hamper) - type it, paste it, or choose it from the dropdown. ","")&amp;IF(AND($A175&lt;&gt;"",ISNA(MATCH($AC175,'PRODUCT DATA'!$D$2:$D$394,0))),"This Item Code is not recognised. Check the code (case does not matter, but spelling and digits must match exactly) or choose it from the dropdown. ","")&amp;IF($M175="","Enter the Country after the Item Code - type or paste the name or the 2-letter code, or choose it from the dropdown. ","")&amp;IF(AND($M175&lt;&gt;"",NOT(OR(NOT(ISNA(MATCH(IF(UPPER($M175)="UK","GB",$M175),'PRODUCT DATA'!$A$2:$A$58,0))),NOT(ISNA(MATCH(IF(UPPER($M175)="UK","GB",$M175),'PRODUCT DATA'!$B$2:$B$58,0)))))),"This Country is not recognised as either a full name or a 2-letter code. Check the spelling (case does not matter) or choose it from the dropdown. ","")&amp;IF(AND($A175&lt;&gt;"",$M175&lt;&gt;"",NOT(ISNA(MATCH($AC175,'PRODUCT DATA'!$D$2:$D$394,0))),OR(NOT(ISNA(MATCH(IF(UPPER($M175)="UK","GB",$M175),'PRODUCT DATA'!$A$2:$A$58,0))),NOT(ISNA(MATCH(IF(UPPER($M175)="UK","GB",$M175),'PRODUCT DATA'!$B$2:$B$58,0)))),NOT(IFERROR(COUNTIF(OFFSET('PRODUCT DATA'!$F$2,0,MATCH($AC175,'PRODUCT DATA'!$F$1:$NN$1,0)-1,114,1),$N175)&gt;0,FALSE()))),IF(UPPER(IFERROR(OFFSET('PRODUCT DATA'!$C$2,MATCH($N175,'PRODUCT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"),"")&amp;IF($C175="","Enter Quantity. ","")&amp;IF(AND($C175&lt;&gt;"",OR(NOT(ISNUMBER($C175)),$C175&lt;1,$C175&gt;999,MOD($C175,1)&lt;&gt;0)),"Quantity must be a whole number from 1 to 999 (use a quantity above 1 only for a genuine bulk order of identical items to ONE address — otherwise use a separate row per recipient). ","")&amp;IF($D175="","Enter Recipient Name. ","")&amp;IF(LEN($D175)&gt;35,"Recipient Name exceeds 35 characters. ","")&amp;IF($E175="","Enter Recipient Phone. ","")&amp;IF(AND($E175&lt;&gt;"",OR(LEN($E175)&lt;6,LEN($E175)&gt;20,NOT(IFERROR(ISNUMBER(1*$E175),FALSE())))),"Phone must be the LOCAL number for the destination country: digits only, no +, spaces, or country code, 6 to 20 digits. ","")&amp;IF(LEN($F175)&gt;35,"Recipient Company Name exceeds 35 characters. ","")&amp;IF($G175="","Enter Address Line 1. ","")&amp;IF(LEN($G175)&gt;35,"Address Line 1 exceeds the 35-character SAP limit. ","")&amp;IF(LEN($H175)&gt;35,"Address Line 2 exceeds the 35-character SAP limit. ","")&amp;IF(LEN($I175)&gt;35,"Address Line 3 exceeds the 35-character SAP limit. ","")&amp;IF($J175="","Enter Town. This must never be left blank, even if there is no conventional town name. ","")&amp;IF(LEN($J175)&gt;35,"Town exceeds 35 characters. ","")&amp;IF(AND($N175="IE",$K175=""),"County is required for deliveries within the Republic of Ireland. ","")&amp;IF(LEN($AB175)&gt;35,"County exceeds 35 characters. ","")&amp;IF(AND($L175="",AND($N175&lt;&gt;"AE",$N175&lt;&gt;"QA")),"Postcode is required for the selected country. If there is genuinely no postcode, enter the first 3 characters of the area (e.g. D15). ","")&amp;IF(LEN($L175)&gt;35,"Postcode exceeds 35 characters. ","")&amp;IF($AE175&lt;&gt;"",$AE175,"")&amp;IF(LEN($O175)&gt;40,"Gift Message Line 1 exceeds 40 characters. ","")&amp;IF(LEN($P175)&gt;40,"Gift Message Line 2 exceeds 40 characters. ","")&amp;IF(LEN($Q175)&gt;40,"Gift Message Line 3 exceeds 40 characters. ","")&amp;IF(LEN($R175)&gt;40,"Gift Message Line 4 exceeds 40 characters. ","")&amp;IF(LEN($S175)&gt;40,"Gift Message Line 5 exceeds 40 characters. ","")&amp;IF(LEN($T175)&gt;40,"Gift Message Line 6 exceeds 40 characters. ","")&amp;IF(LEN($U175)&gt;40,"Gift Message Line 7 exceeds 40 characters. ",""))</f>
        <v/>
      </c>
      <c r="Y175" s="44" t="str">
        <f t="shared" si="9"/>
        <v/>
      </c>
      <c r="Z175" s="44"/>
      <c r="AA175" s="44"/>
      <c r="AB175" s="32" t="str">
        <f t="shared" si="10"/>
        <v/>
      </c>
      <c r="AC175" s="32" t="str">
        <f>IF($A175="","",IFERROR(LEFT(INDEX('PRODUCT DATA'!$NO$2:$NO$25,MATCH($A175,'PRODUCT DATA'!$NP$2:$NP$25,0)),FIND("|",INDEX('PRODUCT DATA'!$NO$2:$NO$25,MATCH($A175,'PRODUCT DATA'!$NP$2:$NP$25,0)))-1),$A175))</f>
        <v/>
      </c>
      <c r="AD175" s="45"/>
      <c r="AE175" s="45" t="str">
        <f t="shared" si="11"/>
        <v/>
      </c>
    </row>
    <row r="176" spans="1:31" ht="15" customHeight="1" x14ac:dyDescent="0.25">
      <c r="A176" s="40"/>
      <c r="B176" s="43" t="str">
        <f>IF($A176="","",IFERROR(VLOOKUP($AC176,'PRODUCT DATA'!$NR$2:$NS$374,2,FALSE()),"UNKNOWN ITEM CODE - please check"))</f>
        <v/>
      </c>
      <c r="C176" s="39">
        <v>1</v>
      </c>
      <c r="D176" s="39"/>
      <c r="E176" s="40"/>
      <c r="F176" s="41"/>
      <c r="G176" s="39"/>
      <c r="H176" s="41"/>
      <c r="I176" s="41"/>
      <c r="J176" s="39"/>
      <c r="K176" s="41"/>
      <c r="L176" s="40"/>
      <c r="M176" s="40"/>
      <c r="N176" s="42" t="str">
        <f>IF($M176="","",IFERROR(INDEX('PRODUCT DATA'!$B$2:$B$58,MATCH(IF(UPPER($M176)="UK","GB",$M176),'PRODUCT DATA'!$B$2:$B$58,0)),IFERROR(INDEX('PRODUCT DATA'!$B$2:$B$58,MATCH(IF(UPPER($M176)="UK","GB",$M176),'PRODUCT DATA'!$A$2:$A$58,0)),"UNKNOWN COUNTRY - please check")))</f>
        <v/>
      </c>
      <c r="O176" s="41"/>
      <c r="P176" s="41"/>
      <c r="Q176" s="41"/>
      <c r="R176" s="41"/>
      <c r="S176" s="41"/>
      <c r="T176" s="41"/>
      <c r="U176" s="41"/>
      <c r="V176" s="43" t="str">
        <f t="shared" si="8"/>
        <v/>
      </c>
      <c r="W176" s="44" t="str">
        <f ca="1">IF(COUNTA($A176,$D176:$M176,$O176:$U176)=0,"",IF($A176="","Item Code; ","")&amp;IF(AND($A176&lt;&gt;"",ISNA(MATCH($AC176,'PRODUCT DATA'!$D$2:$D$394,0))),"Item Code; ","")&amp;IF($M176="","Country; ","")&amp;IF(AND($M176&lt;&gt;"",NOT(OR(NOT(ISNA(MATCH(IF(UPPER($M176)="UK","GB",$M176),'PRODUCT DATA'!$A$2:$A$58,0))),NOT(ISNA(MATCH(IF(UPPER($M176)="UK","GB",$M176),'PRODUCT DATA'!$B$2:$B$58,0)))))),"Country; ","")&amp;IF(AND($A176&lt;&gt;"",$M176&lt;&gt;"",NOT(ISNA(MATCH($AC176,'PRODUCT DATA'!$D$2:$D$394,0))),OR(NOT(ISNA(MATCH(IF(UPPER($M176)="UK","GB",$M176),'PRODUCT DATA'!$A$2:$A$58,0))),NOT(ISNA(MATCH(IF(UPPER($M176)="UK","GB",$M176),'PRODUCT DATA'!$B$2:$B$58,0)))),NOT(IFERROR(COUNTIF(OFFSET('PRODUCT DATA'!$F$2,0,MATCH($AC176,'PRODUCT DATA'!$F$1:$NN$1,0)-1,114,1),$N176)&gt;0,FALSE()))),IF(UPPER(IFERROR(OFFSET('PRODUCT DATA'!$C$2,MATCH($N176,'PRODUCT DATA'!$B$2:$B$58,0)-1,0),""))="NO","Alcohol Restriction; ","Item Code / Country combination; "),"")&amp;IF($C176="","Quantity; ","")&amp;IF(AND($C176&lt;&gt;"",OR(NOT(ISNUMBER($C176)),$C176&lt;1,$C176&gt;999,MOD($C176,1)&lt;&gt;0)),"Quantity; ","")&amp;IF($D176="","Recipient Name; ","")&amp;IF(LEN($D176)&gt;35,"Recipient Name; ","")&amp;IF($E176="","Recipient Phone; ","")&amp;IF(AND($E176&lt;&gt;"",OR(LEN($E176)&lt;6,LEN($E176)&gt;20,NOT(IFERROR(ISNUMBER(1*$E176),FALSE())))),"Recipient Phone; ","")&amp;IF(LEN($F176)&gt;35,"Recipient Company Name; ","")&amp;IF($G176="","Address Line 1; ","")&amp;IF(LEN($G176)&gt;35,"Address Line 1; ","")&amp;IF(LEN($H176)&gt;35,"Address Line 2; ","")&amp;IF(LEN($I176)&gt;35,"Address Line 3; ","")&amp;IF($J176="","Town; ","")&amp;IF(LEN($J176)&gt;35,"Town; ","")&amp;IF(AND($N176="IE",$K176=""),"County; ","")&amp;IF(LEN($AB176)&gt;35,"County; ","")&amp;IF(AND($L176="",AND($N176&lt;&gt;"AE",$N176&lt;&gt;"QA")),"Postcode; ","")&amp;IF(LEN($L176)&gt;35,"Postcode; ","")&amp;IF($AE176&lt;&gt;"","Postcode; ","")&amp;IF(LEN($O176)&gt;40,"Gift Message 1; ","")&amp;IF(LEN($P176)&gt;40,"Gift Message 2; ","")&amp;IF(LEN($Q176)&gt;40,"Gift Message 3; ","")&amp;IF(LEN($R176)&gt;40,"Gift Message 4; ","")&amp;IF(LEN($S176)&gt;40,"Gift Message 5; ","")&amp;IF(LEN($T176)&gt;40,"Gift Message 6; ","")&amp;IF(LEN($U176)&gt;40,"Gift Message 7; ",""))</f>
        <v/>
      </c>
      <c r="X176" s="44" t="str">
        <f ca="1">IF(COUNTA($A176,$D176:$M176,$O176:$U176)=0,"",IF($A176="","Enter the Item Code (hamper) - type it, paste it, or choose it from the dropdown. ","")&amp;IF(AND($A176&lt;&gt;"",ISNA(MATCH($AC176,'PRODUCT DATA'!$D$2:$D$394,0))),"This Item Code is not recognised. Check the code (case does not matter, but spelling and digits must match exactly) or choose it from the dropdown. ","")&amp;IF($M176="","Enter the Country after the Item Code - type or paste the name or the 2-letter code, or choose it from the dropdown. ","")&amp;IF(AND($M176&lt;&gt;"",NOT(OR(NOT(ISNA(MATCH(IF(UPPER($M176)="UK","GB",$M176),'PRODUCT DATA'!$A$2:$A$58,0))),NOT(ISNA(MATCH(IF(UPPER($M176)="UK","GB",$M176),'PRODUCT DATA'!$B$2:$B$58,0)))))),"This Country is not recognised as either a full name or a 2-letter code. Check the spelling (case does not matter) or choose it from the dropdown. ","")&amp;IF(AND($A176&lt;&gt;"",$M176&lt;&gt;"",NOT(ISNA(MATCH($AC176,'PRODUCT DATA'!$D$2:$D$394,0))),OR(NOT(ISNA(MATCH(IF(UPPER($M176)="UK","GB",$M176),'PRODUCT DATA'!$A$2:$A$58,0))),NOT(ISNA(MATCH(IF(UPPER($M176)="UK","GB",$M176),'PRODUCT DATA'!$B$2:$B$58,0)))),NOT(IFERROR(COUNTIF(OFFSET('PRODUCT DATA'!$F$2,0,MATCH($AC176,'PRODUCT DATA'!$F$1:$NN$1,0)-1,114,1),$N176)&gt;0,FALSE()))),IF(UPPER(IFERROR(OFFSET('PRODUCT DATA'!$C$2,MATCH($N176,'PRODUCT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"),"")&amp;IF($C176="","Enter Quantity. ","")&amp;IF(AND($C176&lt;&gt;"",OR(NOT(ISNUMBER($C176)),$C176&lt;1,$C176&gt;999,MOD($C176,1)&lt;&gt;0)),"Quantity must be a whole number from 1 to 999 (use a quantity above 1 only for a genuine bulk order of identical items to ONE address — otherwise use a separate row per recipient). ","")&amp;IF($D176="","Enter Recipient Name. ","")&amp;IF(LEN($D176)&gt;35,"Recipient Name exceeds 35 characters. ","")&amp;IF($E176="","Enter Recipient Phone. ","")&amp;IF(AND($E176&lt;&gt;"",OR(LEN($E176)&lt;6,LEN($E176)&gt;20,NOT(IFERROR(ISNUMBER(1*$E176),FALSE())))),"Phone must be the LOCAL number for the destination country: digits only, no +, spaces, or country code, 6 to 20 digits. ","")&amp;IF(LEN($F176)&gt;35,"Recipient Company Name exceeds 35 characters. ","")&amp;IF($G176="","Enter Address Line 1. ","")&amp;IF(LEN($G176)&gt;35,"Address Line 1 exceeds the 35-character SAP limit. ","")&amp;IF(LEN($H176)&gt;35,"Address Line 2 exceeds the 35-character SAP limit. ","")&amp;IF(LEN($I176)&gt;35,"Address Line 3 exceeds the 35-character SAP limit. ","")&amp;IF($J176="","Enter Town. This must never be left blank, even if there is no conventional town name. ","")&amp;IF(LEN($J176)&gt;35,"Town exceeds 35 characters. ","")&amp;IF(AND($N176="IE",$K176=""),"County is required for deliveries within the Republic of Ireland. ","")&amp;IF(LEN($AB176)&gt;35,"County exceeds 35 characters. ","")&amp;IF(AND($L176="",AND($N176&lt;&gt;"AE",$N176&lt;&gt;"QA")),"Postcode is required for the selected country. If there is genuinely no postcode, enter the first 3 characters of the area (e.g. D15). ","")&amp;IF(LEN($L176)&gt;35,"Postcode exceeds 35 characters. ","")&amp;IF($AE176&lt;&gt;"",$AE176,"")&amp;IF(LEN($O176)&gt;40,"Gift Message Line 1 exceeds 40 characters. ","")&amp;IF(LEN($P176)&gt;40,"Gift Message Line 2 exceeds 40 characters. ","")&amp;IF(LEN($Q176)&gt;40,"Gift Message Line 3 exceeds 40 characters. ","")&amp;IF(LEN($R176)&gt;40,"Gift Message Line 4 exceeds 40 characters. ","")&amp;IF(LEN($S176)&gt;40,"Gift Message Line 5 exceeds 40 characters. ","")&amp;IF(LEN($T176)&gt;40,"Gift Message Line 6 exceeds 40 characters. ","")&amp;IF(LEN($U176)&gt;40,"Gift Message Line 7 exceeds 40 characters. ",""))</f>
        <v/>
      </c>
      <c r="Y176" s="44" t="str">
        <f t="shared" si="9"/>
        <v/>
      </c>
      <c r="Z176" s="44"/>
      <c r="AA176" s="44"/>
      <c r="AB176" s="32" t="str">
        <f t="shared" si="10"/>
        <v/>
      </c>
      <c r="AC176" s="32" t="str">
        <f>IF($A176="","",IFERROR(LEFT(INDEX('PRODUCT DATA'!$NO$2:$NO$25,MATCH($A176,'PRODUCT DATA'!$NP$2:$NP$25,0)),FIND("|",INDEX('PRODUCT DATA'!$NO$2:$NO$25,MATCH($A176,'PRODUCT DATA'!$NP$2:$NP$25,0)))-1),$A176))</f>
        <v/>
      </c>
      <c r="AD176" s="45"/>
      <c r="AE176" s="45" t="str">
        <f t="shared" si="11"/>
        <v/>
      </c>
    </row>
    <row r="177" spans="1:31" ht="15" customHeight="1" x14ac:dyDescent="0.25">
      <c r="A177" s="40"/>
      <c r="B177" s="43" t="str">
        <f>IF($A177="","",IFERROR(VLOOKUP($AC177,'PRODUCT DATA'!$NR$2:$NS$374,2,FALSE()),"UNKNOWN ITEM CODE - please check"))</f>
        <v/>
      </c>
      <c r="C177" s="39">
        <v>1</v>
      </c>
      <c r="D177" s="39"/>
      <c r="E177" s="40"/>
      <c r="F177" s="41"/>
      <c r="G177" s="39"/>
      <c r="H177" s="41"/>
      <c r="I177" s="41"/>
      <c r="J177" s="39"/>
      <c r="K177" s="41"/>
      <c r="L177" s="40"/>
      <c r="M177" s="40"/>
      <c r="N177" s="42" t="str">
        <f>IF($M177="","",IFERROR(INDEX('PRODUCT DATA'!$B$2:$B$58,MATCH(IF(UPPER($M177)="UK","GB",$M177),'PRODUCT DATA'!$B$2:$B$58,0)),IFERROR(INDEX('PRODUCT DATA'!$B$2:$B$58,MATCH(IF(UPPER($M177)="UK","GB",$M177),'PRODUCT DATA'!$A$2:$A$58,0)),"UNKNOWN COUNTRY - please check")))</f>
        <v/>
      </c>
      <c r="O177" s="41"/>
      <c r="P177" s="41"/>
      <c r="Q177" s="41"/>
      <c r="R177" s="41"/>
      <c r="S177" s="41"/>
      <c r="T177" s="41"/>
      <c r="U177" s="41"/>
      <c r="V177" s="43" t="str">
        <f t="shared" si="8"/>
        <v/>
      </c>
      <c r="W177" s="44" t="str">
        <f ca="1">IF(COUNTA($A177,$D177:$M177,$O177:$U177)=0,"",IF($A177="","Item Code; ","")&amp;IF(AND($A177&lt;&gt;"",ISNA(MATCH($AC177,'PRODUCT DATA'!$D$2:$D$394,0))),"Item Code; ","")&amp;IF($M177="","Country; ","")&amp;IF(AND($M177&lt;&gt;"",NOT(OR(NOT(ISNA(MATCH(IF(UPPER($M177)="UK","GB",$M177),'PRODUCT DATA'!$A$2:$A$58,0))),NOT(ISNA(MATCH(IF(UPPER($M177)="UK","GB",$M177),'PRODUCT DATA'!$B$2:$B$58,0)))))),"Country; ","")&amp;IF(AND($A177&lt;&gt;"",$M177&lt;&gt;"",NOT(ISNA(MATCH($AC177,'PRODUCT DATA'!$D$2:$D$394,0))),OR(NOT(ISNA(MATCH(IF(UPPER($M177)="UK","GB",$M177),'PRODUCT DATA'!$A$2:$A$58,0))),NOT(ISNA(MATCH(IF(UPPER($M177)="UK","GB",$M177),'PRODUCT DATA'!$B$2:$B$58,0)))),NOT(IFERROR(COUNTIF(OFFSET('PRODUCT DATA'!$F$2,0,MATCH($AC177,'PRODUCT DATA'!$F$1:$NN$1,0)-1,114,1),$N177)&gt;0,FALSE()))),IF(UPPER(IFERROR(OFFSET('PRODUCT DATA'!$C$2,MATCH($N177,'PRODUCT DATA'!$B$2:$B$58,0)-1,0),""))="NO","Alcohol Restriction; ","Item Code / Country combination; "),"")&amp;IF($C177="","Quantity; ","")&amp;IF(AND($C177&lt;&gt;"",OR(NOT(ISNUMBER($C177)),$C177&lt;1,$C177&gt;999,MOD($C177,1)&lt;&gt;0)),"Quantity; ","")&amp;IF($D177="","Recipient Name; ","")&amp;IF(LEN($D177)&gt;35,"Recipient Name; ","")&amp;IF($E177="","Recipient Phone; ","")&amp;IF(AND($E177&lt;&gt;"",OR(LEN($E177)&lt;6,LEN($E177)&gt;20,NOT(IFERROR(ISNUMBER(1*$E177),FALSE())))),"Recipient Phone; ","")&amp;IF(LEN($F177)&gt;35,"Recipient Company Name; ","")&amp;IF($G177="","Address Line 1; ","")&amp;IF(LEN($G177)&gt;35,"Address Line 1; ","")&amp;IF(LEN($H177)&gt;35,"Address Line 2; ","")&amp;IF(LEN($I177)&gt;35,"Address Line 3; ","")&amp;IF($J177="","Town; ","")&amp;IF(LEN($J177)&gt;35,"Town; ","")&amp;IF(AND($N177="IE",$K177=""),"County; ","")&amp;IF(LEN($AB177)&gt;35,"County; ","")&amp;IF(AND($L177="",AND($N177&lt;&gt;"AE",$N177&lt;&gt;"QA")),"Postcode; ","")&amp;IF(LEN($L177)&gt;35,"Postcode; ","")&amp;IF($AE177&lt;&gt;"","Postcode; ","")&amp;IF(LEN($O177)&gt;40,"Gift Message 1; ","")&amp;IF(LEN($P177)&gt;40,"Gift Message 2; ","")&amp;IF(LEN($Q177)&gt;40,"Gift Message 3; ","")&amp;IF(LEN($R177)&gt;40,"Gift Message 4; ","")&amp;IF(LEN($S177)&gt;40,"Gift Message 5; ","")&amp;IF(LEN($T177)&gt;40,"Gift Message 6; ","")&amp;IF(LEN($U177)&gt;40,"Gift Message 7; ",""))</f>
        <v/>
      </c>
      <c r="X177" s="44" t="str">
        <f ca="1">IF(COUNTA($A177,$D177:$M177,$O177:$U177)=0,"",IF($A177="","Enter the Item Code (hamper) - type it, paste it, or choose it from the dropdown. ","")&amp;IF(AND($A177&lt;&gt;"",ISNA(MATCH($AC177,'PRODUCT DATA'!$D$2:$D$394,0))),"This Item Code is not recognised. Check the code (case does not matter, but spelling and digits must match exactly) or choose it from the dropdown. ","")&amp;IF($M177="","Enter the Country after the Item Code - type or paste the name or the 2-letter code, or choose it from the dropdown. ","")&amp;IF(AND($M177&lt;&gt;"",NOT(OR(NOT(ISNA(MATCH(IF(UPPER($M177)="UK","GB",$M177),'PRODUCT DATA'!$A$2:$A$58,0))),NOT(ISNA(MATCH(IF(UPPER($M177)="UK","GB",$M177),'PRODUCT DATA'!$B$2:$B$58,0)))))),"This Country is not recognised as either a full name or a 2-letter code. Check the spelling (case does not matter) or choose it from the dropdown. ","")&amp;IF(AND($A177&lt;&gt;"",$M177&lt;&gt;"",NOT(ISNA(MATCH($AC177,'PRODUCT DATA'!$D$2:$D$394,0))),OR(NOT(ISNA(MATCH(IF(UPPER($M177)="UK","GB",$M177),'PRODUCT DATA'!$A$2:$A$58,0))),NOT(ISNA(MATCH(IF(UPPER($M177)="UK","GB",$M177),'PRODUCT DATA'!$B$2:$B$58,0)))),NOT(IFERROR(COUNTIF(OFFSET('PRODUCT DATA'!$F$2,0,MATCH($AC177,'PRODUCT DATA'!$F$1:$NN$1,0)-1,114,1),$N177)&gt;0,FALSE()))),IF(UPPER(IFERROR(OFFSET('PRODUCT DATA'!$C$2,MATCH($N177,'PRODUCT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"),"")&amp;IF($C177="","Enter Quantity. ","")&amp;IF(AND($C177&lt;&gt;"",OR(NOT(ISNUMBER($C177)),$C177&lt;1,$C177&gt;999,MOD($C177,1)&lt;&gt;0)),"Quantity must be a whole number from 1 to 999 (use a quantity above 1 only for a genuine bulk order of identical items to ONE address — otherwise use a separate row per recipient). ","")&amp;IF($D177="","Enter Recipient Name. ","")&amp;IF(LEN($D177)&gt;35,"Recipient Name exceeds 35 characters. ","")&amp;IF($E177="","Enter Recipient Phone. ","")&amp;IF(AND($E177&lt;&gt;"",OR(LEN($E177)&lt;6,LEN($E177)&gt;20,NOT(IFERROR(ISNUMBER(1*$E177),FALSE())))),"Phone must be the LOCAL number for the destination country: digits only, no +, spaces, or country code, 6 to 20 digits. ","")&amp;IF(LEN($F177)&gt;35,"Recipient Company Name exceeds 35 characters. ","")&amp;IF($G177="","Enter Address Line 1. ","")&amp;IF(LEN($G177)&gt;35,"Address Line 1 exceeds the 35-character SAP limit. ","")&amp;IF(LEN($H177)&gt;35,"Address Line 2 exceeds the 35-character SAP limit. ","")&amp;IF(LEN($I177)&gt;35,"Address Line 3 exceeds the 35-character SAP limit. ","")&amp;IF($J177="","Enter Town. This must never be left blank, even if there is no conventional town name. ","")&amp;IF(LEN($J177)&gt;35,"Town exceeds 35 characters. ","")&amp;IF(AND($N177="IE",$K177=""),"County is required for deliveries within the Republic of Ireland. ","")&amp;IF(LEN($AB177)&gt;35,"County exceeds 35 characters. ","")&amp;IF(AND($L177="",AND($N177&lt;&gt;"AE",$N177&lt;&gt;"QA")),"Postcode is required for the selected country. If there is genuinely no postcode, enter the first 3 characters of the area (e.g. D15). ","")&amp;IF(LEN($L177)&gt;35,"Postcode exceeds 35 characters. ","")&amp;IF($AE177&lt;&gt;"",$AE177,"")&amp;IF(LEN($O177)&gt;40,"Gift Message Line 1 exceeds 40 characters. ","")&amp;IF(LEN($P177)&gt;40,"Gift Message Line 2 exceeds 40 characters. ","")&amp;IF(LEN($Q177)&gt;40,"Gift Message Line 3 exceeds 40 characters. ","")&amp;IF(LEN($R177)&gt;40,"Gift Message Line 4 exceeds 40 characters. ","")&amp;IF(LEN($S177)&gt;40,"Gift Message Line 5 exceeds 40 characters. ","")&amp;IF(LEN($T177)&gt;40,"Gift Message Line 6 exceeds 40 characters. ","")&amp;IF(LEN($U177)&gt;40,"Gift Message Line 7 exceeds 40 characters. ",""))</f>
        <v/>
      </c>
      <c r="Y177" s="44" t="str">
        <f t="shared" si="9"/>
        <v/>
      </c>
      <c r="Z177" s="44"/>
      <c r="AA177" s="44"/>
      <c r="AB177" s="32" t="str">
        <f t="shared" si="10"/>
        <v/>
      </c>
      <c r="AC177" s="32" t="str">
        <f>IF($A177="","",IFERROR(LEFT(INDEX('PRODUCT DATA'!$NO$2:$NO$25,MATCH($A177,'PRODUCT DATA'!$NP$2:$NP$25,0)),FIND("|",INDEX('PRODUCT DATA'!$NO$2:$NO$25,MATCH($A177,'PRODUCT DATA'!$NP$2:$NP$25,0)))-1),$A177))</f>
        <v/>
      </c>
      <c r="AD177" s="45"/>
      <c r="AE177" s="45" t="str">
        <f t="shared" si="11"/>
        <v/>
      </c>
    </row>
    <row r="178" spans="1:31" ht="15" customHeight="1" x14ac:dyDescent="0.25">
      <c r="A178" s="40"/>
      <c r="B178" s="43" t="str">
        <f>IF($A178="","",IFERROR(VLOOKUP($AC178,'PRODUCT DATA'!$NR$2:$NS$374,2,FALSE()),"UNKNOWN ITEM CODE - please check"))</f>
        <v/>
      </c>
      <c r="C178" s="39">
        <v>1</v>
      </c>
      <c r="D178" s="39"/>
      <c r="E178" s="40"/>
      <c r="F178" s="41"/>
      <c r="G178" s="39"/>
      <c r="H178" s="41"/>
      <c r="I178" s="41"/>
      <c r="J178" s="39"/>
      <c r="K178" s="41"/>
      <c r="L178" s="40"/>
      <c r="M178" s="40"/>
      <c r="N178" s="42" t="str">
        <f>IF($M178="","",IFERROR(INDEX('PRODUCT DATA'!$B$2:$B$58,MATCH(IF(UPPER($M178)="UK","GB",$M178),'PRODUCT DATA'!$B$2:$B$58,0)),IFERROR(INDEX('PRODUCT DATA'!$B$2:$B$58,MATCH(IF(UPPER($M178)="UK","GB",$M178),'PRODUCT DATA'!$A$2:$A$58,0)),"UNKNOWN COUNTRY - please check")))</f>
        <v/>
      </c>
      <c r="O178" s="41"/>
      <c r="P178" s="41"/>
      <c r="Q178" s="41"/>
      <c r="R178" s="41"/>
      <c r="S178" s="41"/>
      <c r="T178" s="41"/>
      <c r="U178" s="41"/>
      <c r="V178" s="43" t="str">
        <f t="shared" si="8"/>
        <v/>
      </c>
      <c r="W178" s="44" t="str">
        <f ca="1">IF(COUNTA($A178,$D178:$M178,$O178:$U178)=0,"",IF($A178="","Item Code; ","")&amp;IF(AND($A178&lt;&gt;"",ISNA(MATCH($AC178,'PRODUCT DATA'!$D$2:$D$394,0))),"Item Code; ","")&amp;IF($M178="","Country; ","")&amp;IF(AND($M178&lt;&gt;"",NOT(OR(NOT(ISNA(MATCH(IF(UPPER($M178)="UK","GB",$M178),'PRODUCT DATA'!$A$2:$A$58,0))),NOT(ISNA(MATCH(IF(UPPER($M178)="UK","GB",$M178),'PRODUCT DATA'!$B$2:$B$58,0)))))),"Country; ","")&amp;IF(AND($A178&lt;&gt;"",$M178&lt;&gt;"",NOT(ISNA(MATCH($AC178,'PRODUCT DATA'!$D$2:$D$394,0))),OR(NOT(ISNA(MATCH(IF(UPPER($M178)="UK","GB",$M178),'PRODUCT DATA'!$A$2:$A$58,0))),NOT(ISNA(MATCH(IF(UPPER($M178)="UK","GB",$M178),'PRODUCT DATA'!$B$2:$B$58,0)))),NOT(IFERROR(COUNTIF(OFFSET('PRODUCT DATA'!$F$2,0,MATCH($AC178,'PRODUCT DATA'!$F$1:$NN$1,0)-1,114,1),$N178)&gt;0,FALSE()))),IF(UPPER(IFERROR(OFFSET('PRODUCT DATA'!$C$2,MATCH($N178,'PRODUCT DATA'!$B$2:$B$58,0)-1,0),""))="NO","Alcohol Restriction; ","Item Code / Country combination; "),"")&amp;IF($C178="","Quantity; ","")&amp;IF(AND($C178&lt;&gt;"",OR(NOT(ISNUMBER($C178)),$C178&lt;1,$C178&gt;999,MOD($C178,1)&lt;&gt;0)),"Quantity; ","")&amp;IF($D178="","Recipient Name; ","")&amp;IF(LEN($D178)&gt;35,"Recipient Name; ","")&amp;IF($E178="","Recipient Phone; ","")&amp;IF(AND($E178&lt;&gt;"",OR(LEN($E178)&lt;6,LEN($E178)&gt;20,NOT(IFERROR(ISNUMBER(1*$E178),FALSE())))),"Recipient Phone; ","")&amp;IF(LEN($F178)&gt;35,"Recipient Company Name; ","")&amp;IF($G178="","Address Line 1; ","")&amp;IF(LEN($G178)&gt;35,"Address Line 1; ","")&amp;IF(LEN($H178)&gt;35,"Address Line 2; ","")&amp;IF(LEN($I178)&gt;35,"Address Line 3; ","")&amp;IF($J178="","Town; ","")&amp;IF(LEN($J178)&gt;35,"Town; ","")&amp;IF(AND($N178="IE",$K178=""),"County; ","")&amp;IF(LEN($AB178)&gt;35,"County; ","")&amp;IF(AND($L178="",AND($N178&lt;&gt;"AE",$N178&lt;&gt;"QA")),"Postcode; ","")&amp;IF(LEN($L178)&gt;35,"Postcode; ","")&amp;IF($AE178&lt;&gt;"","Postcode; ","")&amp;IF(LEN($O178)&gt;40,"Gift Message 1; ","")&amp;IF(LEN($P178)&gt;40,"Gift Message 2; ","")&amp;IF(LEN($Q178)&gt;40,"Gift Message 3; ","")&amp;IF(LEN($R178)&gt;40,"Gift Message 4; ","")&amp;IF(LEN($S178)&gt;40,"Gift Message 5; ","")&amp;IF(LEN($T178)&gt;40,"Gift Message 6; ","")&amp;IF(LEN($U178)&gt;40,"Gift Message 7; ",""))</f>
        <v/>
      </c>
      <c r="X178" s="44" t="str">
        <f ca="1">IF(COUNTA($A178,$D178:$M178,$O178:$U178)=0,"",IF($A178="","Enter the Item Code (hamper) - type it, paste it, or choose it from the dropdown. ","")&amp;IF(AND($A178&lt;&gt;"",ISNA(MATCH($AC178,'PRODUCT DATA'!$D$2:$D$394,0))),"This Item Code is not recognised. Check the code (case does not matter, but spelling and digits must match exactly) or choose it from the dropdown. ","")&amp;IF($M178="","Enter the Country after the Item Code - type or paste the name or the 2-letter code, or choose it from the dropdown. ","")&amp;IF(AND($M178&lt;&gt;"",NOT(OR(NOT(ISNA(MATCH(IF(UPPER($M178)="UK","GB",$M178),'PRODUCT DATA'!$A$2:$A$58,0))),NOT(ISNA(MATCH(IF(UPPER($M178)="UK","GB",$M178),'PRODUCT DATA'!$B$2:$B$58,0)))))),"This Country is not recognised as either a full name or a 2-letter code. Check the spelling (case does not matter) or choose it from the dropdown. ","")&amp;IF(AND($A178&lt;&gt;"",$M178&lt;&gt;"",NOT(ISNA(MATCH($AC178,'PRODUCT DATA'!$D$2:$D$394,0))),OR(NOT(ISNA(MATCH(IF(UPPER($M178)="UK","GB",$M178),'PRODUCT DATA'!$A$2:$A$58,0))),NOT(ISNA(MATCH(IF(UPPER($M178)="UK","GB",$M178),'PRODUCT DATA'!$B$2:$B$58,0)))),NOT(IFERROR(COUNTIF(OFFSET('PRODUCT DATA'!$F$2,0,MATCH($AC178,'PRODUCT DATA'!$F$1:$NN$1,0)-1,114,1),$N178)&gt;0,FALSE()))),IF(UPPER(IFERROR(OFFSET('PRODUCT DATA'!$C$2,MATCH($N178,'PRODUCT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"),"")&amp;IF($C178="","Enter Quantity. ","")&amp;IF(AND($C178&lt;&gt;"",OR(NOT(ISNUMBER($C178)),$C178&lt;1,$C178&gt;999,MOD($C178,1)&lt;&gt;0)),"Quantity must be a whole number from 1 to 999 (use a quantity above 1 only for a genuine bulk order of identical items to ONE address — otherwise use a separate row per recipient). ","")&amp;IF($D178="","Enter Recipient Name. ","")&amp;IF(LEN($D178)&gt;35,"Recipient Name exceeds 35 characters. ","")&amp;IF($E178="","Enter Recipient Phone. ","")&amp;IF(AND($E178&lt;&gt;"",OR(LEN($E178)&lt;6,LEN($E178)&gt;20,NOT(IFERROR(ISNUMBER(1*$E178),FALSE())))),"Phone must be the LOCAL number for the destination country: digits only, no +, spaces, or country code, 6 to 20 digits. ","")&amp;IF(LEN($F178)&gt;35,"Recipient Company Name exceeds 35 characters. ","")&amp;IF($G178="","Enter Address Line 1. ","")&amp;IF(LEN($G178)&gt;35,"Address Line 1 exceeds the 35-character SAP limit. ","")&amp;IF(LEN($H178)&gt;35,"Address Line 2 exceeds the 35-character SAP limit. ","")&amp;IF(LEN($I178)&gt;35,"Address Line 3 exceeds the 35-character SAP limit. ","")&amp;IF($J178="","Enter Town. This must never be left blank, even if there is no conventional town name. ","")&amp;IF(LEN($J178)&gt;35,"Town exceeds 35 characters. ","")&amp;IF(AND($N178="IE",$K178=""),"County is required for deliveries within the Republic of Ireland. ","")&amp;IF(LEN($AB178)&gt;35,"County exceeds 35 characters. ","")&amp;IF(AND($L178="",AND($N178&lt;&gt;"AE",$N178&lt;&gt;"QA")),"Postcode is required for the selected country. If there is genuinely no postcode, enter the first 3 characters of the area (e.g. D15). ","")&amp;IF(LEN($L178)&gt;35,"Postcode exceeds 35 characters. ","")&amp;IF($AE178&lt;&gt;"",$AE178,"")&amp;IF(LEN($O178)&gt;40,"Gift Message Line 1 exceeds 40 characters. ","")&amp;IF(LEN($P178)&gt;40,"Gift Message Line 2 exceeds 40 characters. ","")&amp;IF(LEN($Q178)&gt;40,"Gift Message Line 3 exceeds 40 characters. ","")&amp;IF(LEN($R178)&gt;40,"Gift Message Line 4 exceeds 40 characters. ","")&amp;IF(LEN($S178)&gt;40,"Gift Message Line 5 exceeds 40 characters. ","")&amp;IF(LEN($T178)&gt;40,"Gift Message Line 6 exceeds 40 characters. ","")&amp;IF(LEN($U178)&gt;40,"Gift Message Line 7 exceeds 40 characters. ",""))</f>
        <v/>
      </c>
      <c r="Y178" s="44" t="str">
        <f t="shared" si="9"/>
        <v/>
      </c>
      <c r="Z178" s="44"/>
      <c r="AA178" s="44"/>
      <c r="AB178" s="32" t="str">
        <f t="shared" si="10"/>
        <v/>
      </c>
      <c r="AC178" s="32" t="str">
        <f>IF($A178="","",IFERROR(LEFT(INDEX('PRODUCT DATA'!$NO$2:$NO$25,MATCH($A178,'PRODUCT DATA'!$NP$2:$NP$25,0)),FIND("|",INDEX('PRODUCT DATA'!$NO$2:$NO$25,MATCH($A178,'PRODUCT DATA'!$NP$2:$NP$25,0)))-1),$A178))</f>
        <v/>
      </c>
      <c r="AD178" s="45"/>
      <c r="AE178" s="45" t="str">
        <f t="shared" si="11"/>
        <v/>
      </c>
    </row>
    <row r="179" spans="1:31" ht="15" customHeight="1" x14ac:dyDescent="0.25">
      <c r="A179" s="40"/>
      <c r="B179" s="43" t="str">
        <f>IF($A179="","",IFERROR(VLOOKUP($AC179,'PRODUCT DATA'!$NR$2:$NS$374,2,FALSE()),"UNKNOWN ITEM CODE - please check"))</f>
        <v/>
      </c>
      <c r="C179" s="39">
        <v>1</v>
      </c>
      <c r="D179" s="39"/>
      <c r="E179" s="40"/>
      <c r="F179" s="41"/>
      <c r="G179" s="39"/>
      <c r="H179" s="41"/>
      <c r="I179" s="41"/>
      <c r="J179" s="39"/>
      <c r="K179" s="41"/>
      <c r="L179" s="40"/>
      <c r="M179" s="40"/>
      <c r="N179" s="42" t="str">
        <f>IF($M179="","",IFERROR(INDEX('PRODUCT DATA'!$B$2:$B$58,MATCH(IF(UPPER($M179)="UK","GB",$M179),'PRODUCT DATA'!$B$2:$B$58,0)),IFERROR(INDEX('PRODUCT DATA'!$B$2:$B$58,MATCH(IF(UPPER($M179)="UK","GB",$M179),'PRODUCT DATA'!$A$2:$A$58,0)),"UNKNOWN COUNTRY - please check")))</f>
        <v/>
      </c>
      <c r="O179" s="41"/>
      <c r="P179" s="41"/>
      <c r="Q179" s="41"/>
      <c r="R179" s="41"/>
      <c r="S179" s="41"/>
      <c r="T179" s="41"/>
      <c r="U179" s="41"/>
      <c r="V179" s="43" t="str">
        <f t="shared" si="8"/>
        <v/>
      </c>
      <c r="W179" s="44" t="str">
        <f ca="1">IF(COUNTA($A179,$D179:$M179,$O179:$U179)=0,"",IF($A179="","Item Code; ","")&amp;IF(AND($A179&lt;&gt;"",ISNA(MATCH($AC179,'PRODUCT DATA'!$D$2:$D$394,0))),"Item Code; ","")&amp;IF($M179="","Country; ","")&amp;IF(AND($M179&lt;&gt;"",NOT(OR(NOT(ISNA(MATCH(IF(UPPER($M179)="UK","GB",$M179),'PRODUCT DATA'!$A$2:$A$58,0))),NOT(ISNA(MATCH(IF(UPPER($M179)="UK","GB",$M179),'PRODUCT DATA'!$B$2:$B$58,0)))))),"Country; ","")&amp;IF(AND($A179&lt;&gt;"",$M179&lt;&gt;"",NOT(ISNA(MATCH($AC179,'PRODUCT DATA'!$D$2:$D$394,0))),OR(NOT(ISNA(MATCH(IF(UPPER($M179)="UK","GB",$M179),'PRODUCT DATA'!$A$2:$A$58,0))),NOT(ISNA(MATCH(IF(UPPER($M179)="UK","GB",$M179),'PRODUCT DATA'!$B$2:$B$58,0)))),NOT(IFERROR(COUNTIF(OFFSET('PRODUCT DATA'!$F$2,0,MATCH($AC179,'PRODUCT DATA'!$F$1:$NN$1,0)-1,114,1),$N179)&gt;0,FALSE()))),IF(UPPER(IFERROR(OFFSET('PRODUCT DATA'!$C$2,MATCH($N179,'PRODUCT DATA'!$B$2:$B$58,0)-1,0),""))="NO","Alcohol Restriction; ","Item Code / Country combination; "),"")&amp;IF($C179="","Quantity; ","")&amp;IF(AND($C179&lt;&gt;"",OR(NOT(ISNUMBER($C179)),$C179&lt;1,$C179&gt;999,MOD($C179,1)&lt;&gt;0)),"Quantity; ","")&amp;IF($D179="","Recipient Name; ","")&amp;IF(LEN($D179)&gt;35,"Recipient Name; ","")&amp;IF($E179="","Recipient Phone; ","")&amp;IF(AND($E179&lt;&gt;"",OR(LEN($E179)&lt;6,LEN($E179)&gt;20,NOT(IFERROR(ISNUMBER(1*$E179),FALSE())))),"Recipient Phone; ","")&amp;IF(LEN($F179)&gt;35,"Recipient Company Name; ","")&amp;IF($G179="","Address Line 1; ","")&amp;IF(LEN($G179)&gt;35,"Address Line 1; ","")&amp;IF(LEN($H179)&gt;35,"Address Line 2; ","")&amp;IF(LEN($I179)&gt;35,"Address Line 3; ","")&amp;IF($J179="","Town; ","")&amp;IF(LEN($J179)&gt;35,"Town; ","")&amp;IF(AND($N179="IE",$K179=""),"County; ","")&amp;IF(LEN($AB179)&gt;35,"County; ","")&amp;IF(AND($L179="",AND($N179&lt;&gt;"AE",$N179&lt;&gt;"QA")),"Postcode; ","")&amp;IF(LEN($L179)&gt;35,"Postcode; ","")&amp;IF($AE179&lt;&gt;"","Postcode; ","")&amp;IF(LEN($O179)&gt;40,"Gift Message 1; ","")&amp;IF(LEN($P179)&gt;40,"Gift Message 2; ","")&amp;IF(LEN($Q179)&gt;40,"Gift Message 3; ","")&amp;IF(LEN($R179)&gt;40,"Gift Message 4; ","")&amp;IF(LEN($S179)&gt;40,"Gift Message 5; ","")&amp;IF(LEN($T179)&gt;40,"Gift Message 6; ","")&amp;IF(LEN($U179)&gt;40,"Gift Message 7; ",""))</f>
        <v/>
      </c>
      <c r="X179" s="44" t="str">
        <f ca="1">IF(COUNTA($A179,$D179:$M179,$O179:$U179)=0,"",IF($A179="","Enter the Item Code (hamper) - type it, paste it, or choose it from the dropdown. ","")&amp;IF(AND($A179&lt;&gt;"",ISNA(MATCH($AC179,'PRODUCT DATA'!$D$2:$D$394,0))),"This Item Code is not recognised. Check the code (case does not matter, but spelling and digits must match exactly) or choose it from the dropdown. ","")&amp;IF($M179="","Enter the Country after the Item Code - type or paste the name or the 2-letter code, or choose it from the dropdown. ","")&amp;IF(AND($M179&lt;&gt;"",NOT(OR(NOT(ISNA(MATCH(IF(UPPER($M179)="UK","GB",$M179),'PRODUCT DATA'!$A$2:$A$58,0))),NOT(ISNA(MATCH(IF(UPPER($M179)="UK","GB",$M179),'PRODUCT DATA'!$B$2:$B$58,0)))))),"This Country is not recognised as either a full name or a 2-letter code. Check the spelling (case does not matter) or choose it from the dropdown. ","")&amp;IF(AND($A179&lt;&gt;"",$M179&lt;&gt;"",NOT(ISNA(MATCH($AC179,'PRODUCT DATA'!$D$2:$D$394,0))),OR(NOT(ISNA(MATCH(IF(UPPER($M179)="UK","GB",$M179),'PRODUCT DATA'!$A$2:$A$58,0))),NOT(ISNA(MATCH(IF(UPPER($M179)="UK","GB",$M179),'PRODUCT DATA'!$B$2:$B$58,0)))),NOT(IFERROR(COUNTIF(OFFSET('PRODUCT DATA'!$F$2,0,MATCH($AC179,'PRODUCT DATA'!$F$1:$NN$1,0)-1,114,1),$N179)&gt;0,FALSE()))),IF(UPPER(IFERROR(OFFSET('PRODUCT DATA'!$C$2,MATCH($N179,'PRODUCT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"),"")&amp;IF($C179="","Enter Quantity. ","")&amp;IF(AND($C179&lt;&gt;"",OR(NOT(ISNUMBER($C179)),$C179&lt;1,$C179&gt;999,MOD($C179,1)&lt;&gt;0)),"Quantity must be a whole number from 1 to 999 (use a quantity above 1 only for a genuine bulk order of identical items to ONE address — otherwise use a separate row per recipient). ","")&amp;IF($D179="","Enter Recipient Name. ","")&amp;IF(LEN($D179)&gt;35,"Recipient Name exceeds 35 characters. ","")&amp;IF($E179="","Enter Recipient Phone. ","")&amp;IF(AND($E179&lt;&gt;"",OR(LEN($E179)&lt;6,LEN($E179)&gt;20,NOT(IFERROR(ISNUMBER(1*$E179),FALSE())))),"Phone must be the LOCAL number for the destination country: digits only, no +, spaces, or country code, 6 to 20 digits. ","")&amp;IF(LEN($F179)&gt;35,"Recipient Company Name exceeds 35 characters. ","")&amp;IF($G179="","Enter Address Line 1. ","")&amp;IF(LEN($G179)&gt;35,"Address Line 1 exceeds the 35-character SAP limit. ","")&amp;IF(LEN($H179)&gt;35,"Address Line 2 exceeds the 35-character SAP limit. ","")&amp;IF(LEN($I179)&gt;35,"Address Line 3 exceeds the 35-character SAP limit. ","")&amp;IF($J179="","Enter Town. This must never be left blank, even if there is no conventional town name. ","")&amp;IF(LEN($J179)&gt;35,"Town exceeds 35 characters. ","")&amp;IF(AND($N179="IE",$K179=""),"County is required for deliveries within the Republic of Ireland. ","")&amp;IF(LEN($AB179)&gt;35,"County exceeds 35 characters. ","")&amp;IF(AND($L179="",AND($N179&lt;&gt;"AE",$N179&lt;&gt;"QA")),"Postcode is required for the selected country. If there is genuinely no postcode, enter the first 3 characters of the area (e.g. D15). ","")&amp;IF(LEN($L179)&gt;35,"Postcode exceeds 35 characters. ","")&amp;IF($AE179&lt;&gt;"",$AE179,"")&amp;IF(LEN($O179)&gt;40,"Gift Message Line 1 exceeds 40 characters. ","")&amp;IF(LEN($P179)&gt;40,"Gift Message Line 2 exceeds 40 characters. ","")&amp;IF(LEN($Q179)&gt;40,"Gift Message Line 3 exceeds 40 characters. ","")&amp;IF(LEN($R179)&gt;40,"Gift Message Line 4 exceeds 40 characters. ","")&amp;IF(LEN($S179)&gt;40,"Gift Message Line 5 exceeds 40 characters. ","")&amp;IF(LEN($T179)&gt;40,"Gift Message Line 6 exceeds 40 characters. ","")&amp;IF(LEN($U179)&gt;40,"Gift Message Line 7 exceeds 40 characters. ",""))</f>
        <v/>
      </c>
      <c r="Y179" s="44" t="str">
        <f t="shared" si="9"/>
        <v/>
      </c>
      <c r="Z179" s="44"/>
      <c r="AA179" s="44"/>
      <c r="AB179" s="32" t="str">
        <f t="shared" si="10"/>
        <v/>
      </c>
      <c r="AC179" s="32" t="str">
        <f>IF($A179="","",IFERROR(LEFT(INDEX('PRODUCT DATA'!$NO$2:$NO$25,MATCH($A179,'PRODUCT DATA'!$NP$2:$NP$25,0)),FIND("|",INDEX('PRODUCT DATA'!$NO$2:$NO$25,MATCH($A179,'PRODUCT DATA'!$NP$2:$NP$25,0)))-1),$A179))</f>
        <v/>
      </c>
      <c r="AD179" s="45"/>
      <c r="AE179" s="45" t="str">
        <f t="shared" si="11"/>
        <v/>
      </c>
    </row>
    <row r="180" spans="1:31" ht="15" customHeight="1" x14ac:dyDescent="0.25">
      <c r="A180" s="40"/>
      <c r="B180" s="43" t="str">
        <f>IF($A180="","",IFERROR(VLOOKUP($AC180,'PRODUCT DATA'!$NR$2:$NS$374,2,FALSE()),"UNKNOWN ITEM CODE - please check"))</f>
        <v/>
      </c>
      <c r="C180" s="39">
        <v>1</v>
      </c>
      <c r="D180" s="39"/>
      <c r="E180" s="40"/>
      <c r="F180" s="41"/>
      <c r="G180" s="39"/>
      <c r="H180" s="41"/>
      <c r="I180" s="41"/>
      <c r="J180" s="39"/>
      <c r="K180" s="41"/>
      <c r="L180" s="40"/>
      <c r="M180" s="40"/>
      <c r="N180" s="42" t="str">
        <f>IF($M180="","",IFERROR(INDEX('PRODUCT DATA'!$B$2:$B$58,MATCH(IF(UPPER($M180)="UK","GB",$M180),'PRODUCT DATA'!$B$2:$B$58,0)),IFERROR(INDEX('PRODUCT DATA'!$B$2:$B$58,MATCH(IF(UPPER($M180)="UK","GB",$M180),'PRODUCT DATA'!$A$2:$A$58,0)),"UNKNOWN COUNTRY - please check")))</f>
        <v/>
      </c>
      <c r="O180" s="41"/>
      <c r="P180" s="41"/>
      <c r="Q180" s="41"/>
      <c r="R180" s="41"/>
      <c r="S180" s="41"/>
      <c r="T180" s="41"/>
      <c r="U180" s="41"/>
      <c r="V180" s="43" t="str">
        <f t="shared" si="8"/>
        <v/>
      </c>
      <c r="W180" s="44" t="str">
        <f ca="1">IF(COUNTA($A180,$D180:$M180,$O180:$U180)=0,"",IF($A180="","Item Code; ","")&amp;IF(AND($A180&lt;&gt;"",ISNA(MATCH($AC180,'PRODUCT DATA'!$D$2:$D$394,0))),"Item Code; ","")&amp;IF($M180="","Country; ","")&amp;IF(AND($M180&lt;&gt;"",NOT(OR(NOT(ISNA(MATCH(IF(UPPER($M180)="UK","GB",$M180),'PRODUCT DATA'!$A$2:$A$58,0))),NOT(ISNA(MATCH(IF(UPPER($M180)="UK","GB",$M180),'PRODUCT DATA'!$B$2:$B$58,0)))))),"Country; ","")&amp;IF(AND($A180&lt;&gt;"",$M180&lt;&gt;"",NOT(ISNA(MATCH($AC180,'PRODUCT DATA'!$D$2:$D$394,0))),OR(NOT(ISNA(MATCH(IF(UPPER($M180)="UK","GB",$M180),'PRODUCT DATA'!$A$2:$A$58,0))),NOT(ISNA(MATCH(IF(UPPER($M180)="UK","GB",$M180),'PRODUCT DATA'!$B$2:$B$58,0)))),NOT(IFERROR(COUNTIF(OFFSET('PRODUCT DATA'!$F$2,0,MATCH($AC180,'PRODUCT DATA'!$F$1:$NN$1,0)-1,114,1),$N180)&gt;0,FALSE()))),IF(UPPER(IFERROR(OFFSET('PRODUCT DATA'!$C$2,MATCH($N180,'PRODUCT DATA'!$B$2:$B$58,0)-1,0),""))="NO","Alcohol Restriction; ","Item Code / Country combination; "),"")&amp;IF($C180="","Quantity; ","")&amp;IF(AND($C180&lt;&gt;"",OR(NOT(ISNUMBER($C180)),$C180&lt;1,$C180&gt;999,MOD($C180,1)&lt;&gt;0)),"Quantity; ","")&amp;IF($D180="","Recipient Name; ","")&amp;IF(LEN($D180)&gt;35,"Recipient Name; ","")&amp;IF($E180="","Recipient Phone; ","")&amp;IF(AND($E180&lt;&gt;"",OR(LEN($E180)&lt;6,LEN($E180)&gt;20,NOT(IFERROR(ISNUMBER(1*$E180),FALSE())))),"Recipient Phone; ","")&amp;IF(LEN($F180)&gt;35,"Recipient Company Name; ","")&amp;IF($G180="","Address Line 1; ","")&amp;IF(LEN($G180)&gt;35,"Address Line 1; ","")&amp;IF(LEN($H180)&gt;35,"Address Line 2; ","")&amp;IF(LEN($I180)&gt;35,"Address Line 3; ","")&amp;IF($J180="","Town; ","")&amp;IF(LEN($J180)&gt;35,"Town; ","")&amp;IF(AND($N180="IE",$K180=""),"County; ","")&amp;IF(LEN($AB180)&gt;35,"County; ","")&amp;IF(AND($L180="",AND($N180&lt;&gt;"AE",$N180&lt;&gt;"QA")),"Postcode; ","")&amp;IF(LEN($L180)&gt;35,"Postcode; ","")&amp;IF($AE180&lt;&gt;"","Postcode; ","")&amp;IF(LEN($O180)&gt;40,"Gift Message 1; ","")&amp;IF(LEN($P180)&gt;40,"Gift Message 2; ","")&amp;IF(LEN($Q180)&gt;40,"Gift Message 3; ","")&amp;IF(LEN($R180)&gt;40,"Gift Message 4; ","")&amp;IF(LEN($S180)&gt;40,"Gift Message 5; ","")&amp;IF(LEN($T180)&gt;40,"Gift Message 6; ","")&amp;IF(LEN($U180)&gt;40,"Gift Message 7; ",""))</f>
        <v/>
      </c>
      <c r="X180" s="44" t="str">
        <f ca="1">IF(COUNTA($A180,$D180:$M180,$O180:$U180)=0,"",IF($A180="","Enter the Item Code (hamper) - type it, paste it, or choose it from the dropdown. ","")&amp;IF(AND($A180&lt;&gt;"",ISNA(MATCH($AC180,'PRODUCT DATA'!$D$2:$D$394,0))),"This Item Code is not recognised. Check the code (case does not matter, but spelling and digits must match exactly) or choose it from the dropdown. ","")&amp;IF($M180="","Enter the Country after the Item Code - type or paste the name or the 2-letter code, or choose it from the dropdown. ","")&amp;IF(AND($M180&lt;&gt;"",NOT(OR(NOT(ISNA(MATCH(IF(UPPER($M180)="UK","GB",$M180),'PRODUCT DATA'!$A$2:$A$58,0))),NOT(ISNA(MATCH(IF(UPPER($M180)="UK","GB",$M180),'PRODUCT DATA'!$B$2:$B$58,0)))))),"This Country is not recognised as either a full name or a 2-letter code. Check the spelling (case does not matter) or choose it from the dropdown. ","")&amp;IF(AND($A180&lt;&gt;"",$M180&lt;&gt;"",NOT(ISNA(MATCH($AC180,'PRODUCT DATA'!$D$2:$D$394,0))),OR(NOT(ISNA(MATCH(IF(UPPER($M180)="UK","GB",$M180),'PRODUCT DATA'!$A$2:$A$58,0))),NOT(ISNA(MATCH(IF(UPPER($M180)="UK","GB",$M180),'PRODUCT DATA'!$B$2:$B$58,0)))),NOT(IFERROR(COUNTIF(OFFSET('PRODUCT DATA'!$F$2,0,MATCH($AC180,'PRODUCT DATA'!$F$1:$NN$1,0)-1,114,1),$N180)&gt;0,FALSE()))),IF(UPPER(IFERROR(OFFSET('PRODUCT DATA'!$C$2,MATCH($N180,'PRODUCT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"),"")&amp;IF($C180="","Enter Quantity. ","")&amp;IF(AND($C180&lt;&gt;"",OR(NOT(ISNUMBER($C180)),$C180&lt;1,$C180&gt;999,MOD($C180,1)&lt;&gt;0)),"Quantity must be a whole number from 1 to 999 (use a quantity above 1 only for a genuine bulk order of identical items to ONE address — otherwise use a separate row per recipient). ","")&amp;IF($D180="","Enter Recipient Name. ","")&amp;IF(LEN($D180)&gt;35,"Recipient Name exceeds 35 characters. ","")&amp;IF($E180="","Enter Recipient Phone. ","")&amp;IF(AND($E180&lt;&gt;"",OR(LEN($E180)&lt;6,LEN($E180)&gt;20,NOT(IFERROR(ISNUMBER(1*$E180),FALSE())))),"Phone must be the LOCAL number for the destination country: digits only, no +, spaces, or country code, 6 to 20 digits. ","")&amp;IF(LEN($F180)&gt;35,"Recipient Company Name exceeds 35 characters. ","")&amp;IF($G180="","Enter Address Line 1. ","")&amp;IF(LEN($G180)&gt;35,"Address Line 1 exceeds the 35-character SAP limit. ","")&amp;IF(LEN($H180)&gt;35,"Address Line 2 exceeds the 35-character SAP limit. ","")&amp;IF(LEN($I180)&gt;35,"Address Line 3 exceeds the 35-character SAP limit. ","")&amp;IF($J180="","Enter Town. This must never be left blank, even if there is no conventional town name. ","")&amp;IF(LEN($J180)&gt;35,"Town exceeds 35 characters. ","")&amp;IF(AND($N180="IE",$K180=""),"County is required for deliveries within the Republic of Ireland. ","")&amp;IF(LEN($AB180)&gt;35,"County exceeds 35 characters. ","")&amp;IF(AND($L180="",AND($N180&lt;&gt;"AE",$N180&lt;&gt;"QA")),"Postcode is required for the selected country. If there is genuinely no postcode, enter the first 3 characters of the area (e.g. D15). ","")&amp;IF(LEN($L180)&gt;35,"Postcode exceeds 35 characters. ","")&amp;IF($AE180&lt;&gt;"",$AE180,"")&amp;IF(LEN($O180)&gt;40,"Gift Message Line 1 exceeds 40 characters. ","")&amp;IF(LEN($P180)&gt;40,"Gift Message Line 2 exceeds 40 characters. ","")&amp;IF(LEN($Q180)&gt;40,"Gift Message Line 3 exceeds 40 characters. ","")&amp;IF(LEN($R180)&gt;40,"Gift Message Line 4 exceeds 40 characters. ","")&amp;IF(LEN($S180)&gt;40,"Gift Message Line 5 exceeds 40 characters. ","")&amp;IF(LEN($T180)&gt;40,"Gift Message Line 6 exceeds 40 characters. ","")&amp;IF(LEN($U180)&gt;40,"Gift Message Line 7 exceeds 40 characters. ",""))</f>
        <v/>
      </c>
      <c r="Y180" s="44" t="str">
        <f t="shared" si="9"/>
        <v/>
      </c>
      <c r="Z180" s="44"/>
      <c r="AA180" s="44"/>
      <c r="AB180" s="32" t="str">
        <f t="shared" si="10"/>
        <v/>
      </c>
      <c r="AC180" s="32" t="str">
        <f>IF($A180="","",IFERROR(LEFT(INDEX('PRODUCT DATA'!$NO$2:$NO$25,MATCH($A180,'PRODUCT DATA'!$NP$2:$NP$25,0)),FIND("|",INDEX('PRODUCT DATA'!$NO$2:$NO$25,MATCH($A180,'PRODUCT DATA'!$NP$2:$NP$25,0)))-1),$A180))</f>
        <v/>
      </c>
      <c r="AD180" s="45"/>
      <c r="AE180" s="45" t="str">
        <f t="shared" si="11"/>
        <v/>
      </c>
    </row>
    <row r="181" spans="1:31" ht="15" customHeight="1" x14ac:dyDescent="0.25">
      <c r="A181" s="40"/>
      <c r="B181" s="43" t="str">
        <f>IF($A181="","",IFERROR(VLOOKUP($AC181,'PRODUCT DATA'!$NR$2:$NS$374,2,FALSE()),"UNKNOWN ITEM CODE - please check"))</f>
        <v/>
      </c>
      <c r="C181" s="39">
        <v>1</v>
      </c>
      <c r="D181" s="39"/>
      <c r="E181" s="40"/>
      <c r="F181" s="41"/>
      <c r="G181" s="39"/>
      <c r="H181" s="41"/>
      <c r="I181" s="41"/>
      <c r="J181" s="39"/>
      <c r="K181" s="41"/>
      <c r="L181" s="40"/>
      <c r="M181" s="40"/>
      <c r="N181" s="42" t="str">
        <f>IF($M181="","",IFERROR(INDEX('PRODUCT DATA'!$B$2:$B$58,MATCH(IF(UPPER($M181)="UK","GB",$M181),'PRODUCT DATA'!$B$2:$B$58,0)),IFERROR(INDEX('PRODUCT DATA'!$B$2:$B$58,MATCH(IF(UPPER($M181)="UK","GB",$M181),'PRODUCT DATA'!$A$2:$A$58,0)),"UNKNOWN COUNTRY - please check")))</f>
        <v/>
      </c>
      <c r="O181" s="41"/>
      <c r="P181" s="41"/>
      <c r="Q181" s="41"/>
      <c r="R181" s="41"/>
      <c r="S181" s="41"/>
      <c r="T181" s="41"/>
      <c r="U181" s="41"/>
      <c r="V181" s="43" t="str">
        <f t="shared" si="8"/>
        <v/>
      </c>
      <c r="W181" s="44" t="str">
        <f ca="1">IF(COUNTA($A181,$D181:$M181,$O181:$U181)=0,"",IF($A181="","Item Code; ","")&amp;IF(AND($A181&lt;&gt;"",ISNA(MATCH($AC181,'PRODUCT DATA'!$D$2:$D$394,0))),"Item Code; ","")&amp;IF($M181="","Country; ","")&amp;IF(AND($M181&lt;&gt;"",NOT(OR(NOT(ISNA(MATCH(IF(UPPER($M181)="UK","GB",$M181),'PRODUCT DATA'!$A$2:$A$58,0))),NOT(ISNA(MATCH(IF(UPPER($M181)="UK","GB",$M181),'PRODUCT DATA'!$B$2:$B$58,0)))))),"Country; ","")&amp;IF(AND($A181&lt;&gt;"",$M181&lt;&gt;"",NOT(ISNA(MATCH($AC181,'PRODUCT DATA'!$D$2:$D$394,0))),OR(NOT(ISNA(MATCH(IF(UPPER($M181)="UK","GB",$M181),'PRODUCT DATA'!$A$2:$A$58,0))),NOT(ISNA(MATCH(IF(UPPER($M181)="UK","GB",$M181),'PRODUCT DATA'!$B$2:$B$58,0)))),NOT(IFERROR(COUNTIF(OFFSET('PRODUCT DATA'!$F$2,0,MATCH($AC181,'PRODUCT DATA'!$F$1:$NN$1,0)-1,114,1),$N181)&gt;0,FALSE()))),IF(UPPER(IFERROR(OFFSET('PRODUCT DATA'!$C$2,MATCH($N181,'PRODUCT DATA'!$B$2:$B$58,0)-1,0),""))="NO","Alcohol Restriction; ","Item Code / Country combination; "),"")&amp;IF($C181="","Quantity; ","")&amp;IF(AND($C181&lt;&gt;"",OR(NOT(ISNUMBER($C181)),$C181&lt;1,$C181&gt;999,MOD($C181,1)&lt;&gt;0)),"Quantity; ","")&amp;IF($D181="","Recipient Name; ","")&amp;IF(LEN($D181)&gt;35,"Recipient Name; ","")&amp;IF($E181="","Recipient Phone; ","")&amp;IF(AND($E181&lt;&gt;"",OR(LEN($E181)&lt;6,LEN($E181)&gt;20,NOT(IFERROR(ISNUMBER(1*$E181),FALSE())))),"Recipient Phone; ","")&amp;IF(LEN($F181)&gt;35,"Recipient Company Name; ","")&amp;IF($G181="","Address Line 1; ","")&amp;IF(LEN($G181)&gt;35,"Address Line 1; ","")&amp;IF(LEN($H181)&gt;35,"Address Line 2; ","")&amp;IF(LEN($I181)&gt;35,"Address Line 3; ","")&amp;IF($J181="","Town; ","")&amp;IF(LEN($J181)&gt;35,"Town; ","")&amp;IF(AND($N181="IE",$K181=""),"County; ","")&amp;IF(LEN($AB181)&gt;35,"County; ","")&amp;IF(AND($L181="",AND($N181&lt;&gt;"AE",$N181&lt;&gt;"QA")),"Postcode; ","")&amp;IF(LEN($L181)&gt;35,"Postcode; ","")&amp;IF($AE181&lt;&gt;"","Postcode; ","")&amp;IF(LEN($O181)&gt;40,"Gift Message 1; ","")&amp;IF(LEN($P181)&gt;40,"Gift Message 2; ","")&amp;IF(LEN($Q181)&gt;40,"Gift Message 3; ","")&amp;IF(LEN($R181)&gt;40,"Gift Message 4; ","")&amp;IF(LEN($S181)&gt;40,"Gift Message 5; ","")&amp;IF(LEN($T181)&gt;40,"Gift Message 6; ","")&amp;IF(LEN($U181)&gt;40,"Gift Message 7; ",""))</f>
        <v/>
      </c>
      <c r="X181" s="44" t="str">
        <f ca="1">IF(COUNTA($A181,$D181:$M181,$O181:$U181)=0,"",IF($A181="","Enter the Item Code (hamper) - type it, paste it, or choose it from the dropdown. ","")&amp;IF(AND($A181&lt;&gt;"",ISNA(MATCH($AC181,'PRODUCT DATA'!$D$2:$D$394,0))),"This Item Code is not recognised. Check the code (case does not matter, but spelling and digits must match exactly) or choose it from the dropdown. ","")&amp;IF($M181="","Enter the Country after the Item Code - type or paste the name or the 2-letter code, or choose it from the dropdown. ","")&amp;IF(AND($M181&lt;&gt;"",NOT(OR(NOT(ISNA(MATCH(IF(UPPER($M181)="UK","GB",$M181),'PRODUCT DATA'!$A$2:$A$58,0))),NOT(ISNA(MATCH(IF(UPPER($M181)="UK","GB",$M181),'PRODUCT DATA'!$B$2:$B$58,0)))))),"This Country is not recognised as either a full name or a 2-letter code. Check the spelling (case does not matter) or choose it from the dropdown. ","")&amp;IF(AND($A181&lt;&gt;"",$M181&lt;&gt;"",NOT(ISNA(MATCH($AC181,'PRODUCT DATA'!$D$2:$D$394,0))),OR(NOT(ISNA(MATCH(IF(UPPER($M181)="UK","GB",$M181),'PRODUCT DATA'!$A$2:$A$58,0))),NOT(ISNA(MATCH(IF(UPPER($M181)="UK","GB",$M181),'PRODUCT DATA'!$B$2:$B$58,0)))),NOT(IFERROR(COUNTIF(OFFSET('PRODUCT DATA'!$F$2,0,MATCH($AC181,'PRODUCT DATA'!$F$1:$NN$1,0)-1,114,1),$N181)&gt;0,FALSE()))),IF(UPPER(IFERROR(OFFSET('PRODUCT DATA'!$C$2,MATCH($N181,'PRODUCT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"),"")&amp;IF($C181="","Enter Quantity. ","")&amp;IF(AND($C181&lt;&gt;"",OR(NOT(ISNUMBER($C181)),$C181&lt;1,$C181&gt;999,MOD($C181,1)&lt;&gt;0)),"Quantity must be a whole number from 1 to 999 (use a quantity above 1 only for a genuine bulk order of identical items to ONE address — otherwise use a separate row per recipient). ","")&amp;IF($D181="","Enter Recipient Name. ","")&amp;IF(LEN($D181)&gt;35,"Recipient Name exceeds 35 characters. ","")&amp;IF($E181="","Enter Recipient Phone. ","")&amp;IF(AND($E181&lt;&gt;"",OR(LEN($E181)&lt;6,LEN($E181)&gt;20,NOT(IFERROR(ISNUMBER(1*$E181),FALSE())))),"Phone must be the LOCAL number for the destination country: digits only, no +, spaces, or country code, 6 to 20 digits. ","")&amp;IF(LEN($F181)&gt;35,"Recipient Company Name exceeds 35 characters. ","")&amp;IF($G181="","Enter Address Line 1. ","")&amp;IF(LEN($G181)&gt;35,"Address Line 1 exceeds the 35-character SAP limit. ","")&amp;IF(LEN($H181)&gt;35,"Address Line 2 exceeds the 35-character SAP limit. ","")&amp;IF(LEN($I181)&gt;35,"Address Line 3 exceeds the 35-character SAP limit. ","")&amp;IF($J181="","Enter Town. This must never be left blank, even if there is no conventional town name. ","")&amp;IF(LEN($J181)&gt;35,"Town exceeds 35 characters. ","")&amp;IF(AND($N181="IE",$K181=""),"County is required for deliveries within the Republic of Ireland. ","")&amp;IF(LEN($AB181)&gt;35,"County exceeds 35 characters. ","")&amp;IF(AND($L181="",AND($N181&lt;&gt;"AE",$N181&lt;&gt;"QA")),"Postcode is required for the selected country. If there is genuinely no postcode, enter the first 3 characters of the area (e.g. D15). ","")&amp;IF(LEN($L181)&gt;35,"Postcode exceeds 35 characters. ","")&amp;IF($AE181&lt;&gt;"",$AE181,"")&amp;IF(LEN($O181)&gt;40,"Gift Message Line 1 exceeds 40 characters. ","")&amp;IF(LEN($P181)&gt;40,"Gift Message Line 2 exceeds 40 characters. ","")&amp;IF(LEN($Q181)&gt;40,"Gift Message Line 3 exceeds 40 characters. ","")&amp;IF(LEN($R181)&gt;40,"Gift Message Line 4 exceeds 40 characters. ","")&amp;IF(LEN($S181)&gt;40,"Gift Message Line 5 exceeds 40 characters. ","")&amp;IF(LEN($T181)&gt;40,"Gift Message Line 6 exceeds 40 characters. ","")&amp;IF(LEN($U181)&gt;40,"Gift Message Line 7 exceeds 40 characters. ",""))</f>
        <v/>
      </c>
      <c r="Y181" s="44" t="str">
        <f t="shared" si="9"/>
        <v/>
      </c>
      <c r="Z181" s="44"/>
      <c r="AA181" s="44"/>
      <c r="AB181" s="32" t="str">
        <f t="shared" si="10"/>
        <v/>
      </c>
      <c r="AC181" s="32" t="str">
        <f>IF($A181="","",IFERROR(LEFT(INDEX('PRODUCT DATA'!$NO$2:$NO$25,MATCH($A181,'PRODUCT DATA'!$NP$2:$NP$25,0)),FIND("|",INDEX('PRODUCT DATA'!$NO$2:$NO$25,MATCH($A181,'PRODUCT DATA'!$NP$2:$NP$25,0)))-1),$A181))</f>
        <v/>
      </c>
      <c r="AD181" s="45"/>
      <c r="AE181" s="45" t="str">
        <f t="shared" si="11"/>
        <v/>
      </c>
    </row>
    <row r="182" spans="1:31" ht="15" customHeight="1" x14ac:dyDescent="0.25">
      <c r="A182" s="40"/>
      <c r="B182" s="43" t="str">
        <f>IF($A182="","",IFERROR(VLOOKUP($AC182,'PRODUCT DATA'!$NR$2:$NS$374,2,FALSE()),"UNKNOWN ITEM CODE - please check"))</f>
        <v/>
      </c>
      <c r="C182" s="39">
        <v>1</v>
      </c>
      <c r="D182" s="39"/>
      <c r="E182" s="40"/>
      <c r="F182" s="41"/>
      <c r="G182" s="39"/>
      <c r="H182" s="41"/>
      <c r="I182" s="41"/>
      <c r="J182" s="39"/>
      <c r="K182" s="41"/>
      <c r="L182" s="40"/>
      <c r="M182" s="40"/>
      <c r="N182" s="42" t="str">
        <f>IF($M182="","",IFERROR(INDEX('PRODUCT DATA'!$B$2:$B$58,MATCH(IF(UPPER($M182)="UK","GB",$M182),'PRODUCT DATA'!$B$2:$B$58,0)),IFERROR(INDEX('PRODUCT DATA'!$B$2:$B$58,MATCH(IF(UPPER($M182)="UK","GB",$M182),'PRODUCT DATA'!$A$2:$A$58,0)),"UNKNOWN COUNTRY - please check")))</f>
        <v/>
      </c>
      <c r="O182" s="41"/>
      <c r="P182" s="41"/>
      <c r="Q182" s="41"/>
      <c r="R182" s="41"/>
      <c r="S182" s="41"/>
      <c r="T182" s="41"/>
      <c r="U182" s="41"/>
      <c r="V182" s="43" t="str">
        <f t="shared" si="8"/>
        <v/>
      </c>
      <c r="W182" s="44" t="str">
        <f ca="1">IF(COUNTA($A182,$D182:$M182,$O182:$U182)=0,"",IF($A182="","Item Code; ","")&amp;IF(AND($A182&lt;&gt;"",ISNA(MATCH($AC182,'PRODUCT DATA'!$D$2:$D$394,0))),"Item Code; ","")&amp;IF($M182="","Country; ","")&amp;IF(AND($M182&lt;&gt;"",NOT(OR(NOT(ISNA(MATCH(IF(UPPER($M182)="UK","GB",$M182),'PRODUCT DATA'!$A$2:$A$58,0))),NOT(ISNA(MATCH(IF(UPPER($M182)="UK","GB",$M182),'PRODUCT DATA'!$B$2:$B$58,0)))))),"Country; ","")&amp;IF(AND($A182&lt;&gt;"",$M182&lt;&gt;"",NOT(ISNA(MATCH($AC182,'PRODUCT DATA'!$D$2:$D$394,0))),OR(NOT(ISNA(MATCH(IF(UPPER($M182)="UK","GB",$M182),'PRODUCT DATA'!$A$2:$A$58,0))),NOT(ISNA(MATCH(IF(UPPER($M182)="UK","GB",$M182),'PRODUCT DATA'!$B$2:$B$58,0)))),NOT(IFERROR(COUNTIF(OFFSET('PRODUCT DATA'!$F$2,0,MATCH($AC182,'PRODUCT DATA'!$F$1:$NN$1,0)-1,114,1),$N182)&gt;0,FALSE()))),IF(UPPER(IFERROR(OFFSET('PRODUCT DATA'!$C$2,MATCH($N182,'PRODUCT DATA'!$B$2:$B$58,0)-1,0),""))="NO","Alcohol Restriction; ","Item Code / Country combination; "),"")&amp;IF($C182="","Quantity; ","")&amp;IF(AND($C182&lt;&gt;"",OR(NOT(ISNUMBER($C182)),$C182&lt;1,$C182&gt;999,MOD($C182,1)&lt;&gt;0)),"Quantity; ","")&amp;IF($D182="","Recipient Name; ","")&amp;IF(LEN($D182)&gt;35,"Recipient Name; ","")&amp;IF($E182="","Recipient Phone; ","")&amp;IF(AND($E182&lt;&gt;"",OR(LEN($E182)&lt;6,LEN($E182)&gt;20,NOT(IFERROR(ISNUMBER(1*$E182),FALSE())))),"Recipient Phone; ","")&amp;IF(LEN($F182)&gt;35,"Recipient Company Name; ","")&amp;IF($G182="","Address Line 1; ","")&amp;IF(LEN($G182)&gt;35,"Address Line 1; ","")&amp;IF(LEN($H182)&gt;35,"Address Line 2; ","")&amp;IF(LEN($I182)&gt;35,"Address Line 3; ","")&amp;IF($J182="","Town; ","")&amp;IF(LEN($J182)&gt;35,"Town; ","")&amp;IF(AND($N182="IE",$K182=""),"County; ","")&amp;IF(LEN($AB182)&gt;35,"County; ","")&amp;IF(AND($L182="",AND($N182&lt;&gt;"AE",$N182&lt;&gt;"QA")),"Postcode; ","")&amp;IF(LEN($L182)&gt;35,"Postcode; ","")&amp;IF($AE182&lt;&gt;"","Postcode; ","")&amp;IF(LEN($O182)&gt;40,"Gift Message 1; ","")&amp;IF(LEN($P182)&gt;40,"Gift Message 2; ","")&amp;IF(LEN($Q182)&gt;40,"Gift Message 3; ","")&amp;IF(LEN($R182)&gt;40,"Gift Message 4; ","")&amp;IF(LEN($S182)&gt;40,"Gift Message 5; ","")&amp;IF(LEN($T182)&gt;40,"Gift Message 6; ","")&amp;IF(LEN($U182)&gt;40,"Gift Message 7; ",""))</f>
        <v/>
      </c>
      <c r="X182" s="44" t="str">
        <f ca="1">IF(COUNTA($A182,$D182:$M182,$O182:$U182)=0,"",IF($A182="","Enter the Item Code (hamper) - type it, paste it, or choose it from the dropdown. ","")&amp;IF(AND($A182&lt;&gt;"",ISNA(MATCH($AC182,'PRODUCT DATA'!$D$2:$D$394,0))),"This Item Code is not recognised. Check the code (case does not matter, but spelling and digits must match exactly) or choose it from the dropdown. ","")&amp;IF($M182="","Enter the Country after the Item Code - type or paste the name or the 2-letter code, or choose it from the dropdown. ","")&amp;IF(AND($M182&lt;&gt;"",NOT(OR(NOT(ISNA(MATCH(IF(UPPER($M182)="UK","GB",$M182),'PRODUCT DATA'!$A$2:$A$58,0))),NOT(ISNA(MATCH(IF(UPPER($M182)="UK","GB",$M182),'PRODUCT DATA'!$B$2:$B$58,0)))))),"This Country is not recognised as either a full name or a 2-letter code. Check the spelling (case does not matter) or choose it from the dropdown. ","")&amp;IF(AND($A182&lt;&gt;"",$M182&lt;&gt;"",NOT(ISNA(MATCH($AC182,'PRODUCT DATA'!$D$2:$D$394,0))),OR(NOT(ISNA(MATCH(IF(UPPER($M182)="UK","GB",$M182),'PRODUCT DATA'!$A$2:$A$58,0))),NOT(ISNA(MATCH(IF(UPPER($M182)="UK","GB",$M182),'PRODUCT DATA'!$B$2:$B$58,0)))),NOT(IFERROR(COUNTIF(OFFSET('PRODUCT DATA'!$F$2,0,MATCH($AC182,'PRODUCT DATA'!$F$1:$NN$1,0)-1,114,1),$N182)&gt;0,FALSE()))),IF(UPPER(IFERROR(OFFSET('PRODUCT DATA'!$C$2,MATCH($N182,'PRODUCT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"),"")&amp;IF($C182="","Enter Quantity. ","")&amp;IF(AND($C182&lt;&gt;"",OR(NOT(ISNUMBER($C182)),$C182&lt;1,$C182&gt;999,MOD($C182,1)&lt;&gt;0)),"Quantity must be a whole number from 1 to 999 (use a quantity above 1 only for a genuine bulk order of identical items to ONE address — otherwise use a separate row per recipient). ","")&amp;IF($D182="","Enter Recipient Name. ","")&amp;IF(LEN($D182)&gt;35,"Recipient Name exceeds 35 characters. ","")&amp;IF($E182="","Enter Recipient Phone. ","")&amp;IF(AND($E182&lt;&gt;"",OR(LEN($E182)&lt;6,LEN($E182)&gt;20,NOT(IFERROR(ISNUMBER(1*$E182),FALSE())))),"Phone must be the LOCAL number for the destination country: digits only, no +, spaces, or country code, 6 to 20 digits. ","")&amp;IF(LEN($F182)&gt;35,"Recipient Company Name exceeds 35 characters. ","")&amp;IF($G182="","Enter Address Line 1. ","")&amp;IF(LEN($G182)&gt;35,"Address Line 1 exceeds the 35-character SAP limit. ","")&amp;IF(LEN($H182)&gt;35,"Address Line 2 exceeds the 35-character SAP limit. ","")&amp;IF(LEN($I182)&gt;35,"Address Line 3 exceeds the 35-character SAP limit. ","")&amp;IF($J182="","Enter Town. This must never be left blank, even if there is no conventional town name. ","")&amp;IF(LEN($J182)&gt;35,"Town exceeds 35 characters. ","")&amp;IF(AND($N182="IE",$K182=""),"County is required for deliveries within the Republic of Ireland. ","")&amp;IF(LEN($AB182)&gt;35,"County exceeds 35 characters. ","")&amp;IF(AND($L182="",AND($N182&lt;&gt;"AE",$N182&lt;&gt;"QA")),"Postcode is required for the selected country. If there is genuinely no postcode, enter the first 3 characters of the area (e.g. D15). ","")&amp;IF(LEN($L182)&gt;35,"Postcode exceeds 35 characters. ","")&amp;IF($AE182&lt;&gt;"",$AE182,"")&amp;IF(LEN($O182)&gt;40,"Gift Message Line 1 exceeds 40 characters. ","")&amp;IF(LEN($P182)&gt;40,"Gift Message Line 2 exceeds 40 characters. ","")&amp;IF(LEN($Q182)&gt;40,"Gift Message Line 3 exceeds 40 characters. ","")&amp;IF(LEN($R182)&gt;40,"Gift Message Line 4 exceeds 40 characters. ","")&amp;IF(LEN($S182)&gt;40,"Gift Message Line 5 exceeds 40 characters. ","")&amp;IF(LEN($T182)&gt;40,"Gift Message Line 6 exceeds 40 characters. ","")&amp;IF(LEN($U182)&gt;40,"Gift Message Line 7 exceeds 40 characters. ",""))</f>
        <v/>
      </c>
      <c r="Y182" s="44" t="str">
        <f t="shared" si="9"/>
        <v/>
      </c>
      <c r="Z182" s="44"/>
      <c r="AA182" s="44"/>
      <c r="AB182" s="32" t="str">
        <f t="shared" si="10"/>
        <v/>
      </c>
      <c r="AC182" s="32" t="str">
        <f>IF($A182="","",IFERROR(LEFT(INDEX('PRODUCT DATA'!$NO$2:$NO$25,MATCH($A182,'PRODUCT DATA'!$NP$2:$NP$25,0)),FIND("|",INDEX('PRODUCT DATA'!$NO$2:$NO$25,MATCH($A182,'PRODUCT DATA'!$NP$2:$NP$25,0)))-1),$A182))</f>
        <v/>
      </c>
      <c r="AD182" s="45"/>
      <c r="AE182" s="45" t="str">
        <f t="shared" si="11"/>
        <v/>
      </c>
    </row>
    <row r="183" spans="1:31" ht="15" customHeight="1" x14ac:dyDescent="0.25">
      <c r="A183" s="40"/>
      <c r="B183" s="43" t="str">
        <f>IF($A183="","",IFERROR(VLOOKUP($AC183,'PRODUCT DATA'!$NR$2:$NS$374,2,FALSE()),"UNKNOWN ITEM CODE - please check"))</f>
        <v/>
      </c>
      <c r="C183" s="39">
        <v>1</v>
      </c>
      <c r="D183" s="39"/>
      <c r="E183" s="40"/>
      <c r="F183" s="41"/>
      <c r="G183" s="39"/>
      <c r="H183" s="41"/>
      <c r="I183" s="41"/>
      <c r="J183" s="39"/>
      <c r="K183" s="41"/>
      <c r="L183" s="40"/>
      <c r="M183" s="40"/>
      <c r="N183" s="42" t="str">
        <f>IF($M183="","",IFERROR(INDEX('PRODUCT DATA'!$B$2:$B$58,MATCH(IF(UPPER($M183)="UK","GB",$M183),'PRODUCT DATA'!$B$2:$B$58,0)),IFERROR(INDEX('PRODUCT DATA'!$B$2:$B$58,MATCH(IF(UPPER($M183)="UK","GB",$M183),'PRODUCT DATA'!$A$2:$A$58,0)),"UNKNOWN COUNTRY - please check")))</f>
        <v/>
      </c>
      <c r="O183" s="41"/>
      <c r="P183" s="41"/>
      <c r="Q183" s="41"/>
      <c r="R183" s="41"/>
      <c r="S183" s="41"/>
      <c r="T183" s="41"/>
      <c r="U183" s="41"/>
      <c r="V183" s="43" t="str">
        <f t="shared" si="8"/>
        <v/>
      </c>
      <c r="W183" s="44" t="str">
        <f ca="1">IF(COUNTA($A183,$D183:$M183,$O183:$U183)=0,"",IF($A183="","Item Code; ","")&amp;IF(AND($A183&lt;&gt;"",ISNA(MATCH($AC183,'PRODUCT DATA'!$D$2:$D$394,0))),"Item Code; ","")&amp;IF($M183="","Country; ","")&amp;IF(AND($M183&lt;&gt;"",NOT(OR(NOT(ISNA(MATCH(IF(UPPER($M183)="UK","GB",$M183),'PRODUCT DATA'!$A$2:$A$58,0))),NOT(ISNA(MATCH(IF(UPPER($M183)="UK","GB",$M183),'PRODUCT DATA'!$B$2:$B$58,0)))))),"Country; ","")&amp;IF(AND($A183&lt;&gt;"",$M183&lt;&gt;"",NOT(ISNA(MATCH($AC183,'PRODUCT DATA'!$D$2:$D$394,0))),OR(NOT(ISNA(MATCH(IF(UPPER($M183)="UK","GB",$M183),'PRODUCT DATA'!$A$2:$A$58,0))),NOT(ISNA(MATCH(IF(UPPER($M183)="UK","GB",$M183),'PRODUCT DATA'!$B$2:$B$58,0)))),NOT(IFERROR(COUNTIF(OFFSET('PRODUCT DATA'!$F$2,0,MATCH($AC183,'PRODUCT DATA'!$F$1:$NN$1,0)-1,114,1),$N183)&gt;0,FALSE()))),IF(UPPER(IFERROR(OFFSET('PRODUCT DATA'!$C$2,MATCH($N183,'PRODUCT DATA'!$B$2:$B$58,0)-1,0),""))="NO","Alcohol Restriction; ","Item Code / Country combination; "),"")&amp;IF($C183="","Quantity; ","")&amp;IF(AND($C183&lt;&gt;"",OR(NOT(ISNUMBER($C183)),$C183&lt;1,$C183&gt;999,MOD($C183,1)&lt;&gt;0)),"Quantity; ","")&amp;IF($D183="","Recipient Name; ","")&amp;IF(LEN($D183)&gt;35,"Recipient Name; ","")&amp;IF($E183="","Recipient Phone; ","")&amp;IF(AND($E183&lt;&gt;"",OR(LEN($E183)&lt;6,LEN($E183)&gt;20,NOT(IFERROR(ISNUMBER(1*$E183),FALSE())))),"Recipient Phone; ","")&amp;IF(LEN($F183)&gt;35,"Recipient Company Name; ","")&amp;IF($G183="","Address Line 1; ","")&amp;IF(LEN($G183)&gt;35,"Address Line 1; ","")&amp;IF(LEN($H183)&gt;35,"Address Line 2; ","")&amp;IF(LEN($I183)&gt;35,"Address Line 3; ","")&amp;IF($J183="","Town; ","")&amp;IF(LEN($J183)&gt;35,"Town; ","")&amp;IF(AND($N183="IE",$K183=""),"County; ","")&amp;IF(LEN($AB183)&gt;35,"County; ","")&amp;IF(AND($L183="",AND($N183&lt;&gt;"AE",$N183&lt;&gt;"QA")),"Postcode; ","")&amp;IF(LEN($L183)&gt;35,"Postcode; ","")&amp;IF($AE183&lt;&gt;"","Postcode; ","")&amp;IF(LEN($O183)&gt;40,"Gift Message 1; ","")&amp;IF(LEN($P183)&gt;40,"Gift Message 2; ","")&amp;IF(LEN($Q183)&gt;40,"Gift Message 3; ","")&amp;IF(LEN($R183)&gt;40,"Gift Message 4; ","")&amp;IF(LEN($S183)&gt;40,"Gift Message 5; ","")&amp;IF(LEN($T183)&gt;40,"Gift Message 6; ","")&amp;IF(LEN($U183)&gt;40,"Gift Message 7; ",""))</f>
        <v/>
      </c>
      <c r="X183" s="44" t="str">
        <f ca="1">IF(COUNTA($A183,$D183:$M183,$O183:$U183)=0,"",IF($A183="","Enter the Item Code (hamper) - type it, paste it, or choose it from the dropdown. ","")&amp;IF(AND($A183&lt;&gt;"",ISNA(MATCH($AC183,'PRODUCT DATA'!$D$2:$D$394,0))),"This Item Code is not recognised. Check the code (case does not matter, but spelling and digits must match exactly) or choose it from the dropdown. ","")&amp;IF($M183="","Enter the Country after the Item Code - type or paste the name or the 2-letter code, or choose it from the dropdown. ","")&amp;IF(AND($M183&lt;&gt;"",NOT(OR(NOT(ISNA(MATCH(IF(UPPER($M183)="UK","GB",$M183),'PRODUCT DATA'!$A$2:$A$58,0))),NOT(ISNA(MATCH(IF(UPPER($M183)="UK","GB",$M183),'PRODUCT DATA'!$B$2:$B$58,0)))))),"This Country is not recognised as either a full name or a 2-letter code. Check the spelling (case does not matter) or choose it from the dropdown. ","")&amp;IF(AND($A183&lt;&gt;"",$M183&lt;&gt;"",NOT(ISNA(MATCH($AC183,'PRODUCT DATA'!$D$2:$D$394,0))),OR(NOT(ISNA(MATCH(IF(UPPER($M183)="UK","GB",$M183),'PRODUCT DATA'!$A$2:$A$58,0))),NOT(ISNA(MATCH(IF(UPPER($M183)="UK","GB",$M183),'PRODUCT DATA'!$B$2:$B$58,0)))),NOT(IFERROR(COUNTIF(OFFSET('PRODUCT DATA'!$F$2,0,MATCH($AC183,'PRODUCT DATA'!$F$1:$NN$1,0)-1,114,1),$N183)&gt;0,FALSE()))),IF(UPPER(IFERROR(OFFSET('PRODUCT DATA'!$C$2,MATCH($N183,'PRODUCT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"),"")&amp;IF($C183="","Enter Quantity. ","")&amp;IF(AND($C183&lt;&gt;"",OR(NOT(ISNUMBER($C183)),$C183&lt;1,$C183&gt;999,MOD($C183,1)&lt;&gt;0)),"Quantity must be a whole number from 1 to 999 (use a quantity above 1 only for a genuine bulk order of identical items to ONE address — otherwise use a separate row per recipient). ","")&amp;IF($D183="","Enter Recipient Name. ","")&amp;IF(LEN($D183)&gt;35,"Recipient Name exceeds 35 characters. ","")&amp;IF($E183="","Enter Recipient Phone. ","")&amp;IF(AND($E183&lt;&gt;"",OR(LEN($E183)&lt;6,LEN($E183)&gt;20,NOT(IFERROR(ISNUMBER(1*$E183),FALSE())))),"Phone must be the LOCAL number for the destination country: digits only, no +, spaces, or country code, 6 to 20 digits. ","")&amp;IF(LEN($F183)&gt;35,"Recipient Company Name exceeds 35 characters. ","")&amp;IF($G183="","Enter Address Line 1. ","")&amp;IF(LEN($G183)&gt;35,"Address Line 1 exceeds the 35-character SAP limit. ","")&amp;IF(LEN($H183)&gt;35,"Address Line 2 exceeds the 35-character SAP limit. ","")&amp;IF(LEN($I183)&gt;35,"Address Line 3 exceeds the 35-character SAP limit. ","")&amp;IF($J183="","Enter Town. This must never be left blank, even if there is no conventional town name. ","")&amp;IF(LEN($J183)&gt;35,"Town exceeds 35 characters. ","")&amp;IF(AND($N183="IE",$K183=""),"County is required for deliveries within the Republic of Ireland. ","")&amp;IF(LEN($AB183)&gt;35,"County exceeds 35 characters. ","")&amp;IF(AND($L183="",AND($N183&lt;&gt;"AE",$N183&lt;&gt;"QA")),"Postcode is required for the selected country. If there is genuinely no postcode, enter the first 3 characters of the area (e.g. D15). ","")&amp;IF(LEN($L183)&gt;35,"Postcode exceeds 35 characters. ","")&amp;IF($AE183&lt;&gt;"",$AE183,"")&amp;IF(LEN($O183)&gt;40,"Gift Message Line 1 exceeds 40 characters. ","")&amp;IF(LEN($P183)&gt;40,"Gift Message Line 2 exceeds 40 characters. ","")&amp;IF(LEN($Q183)&gt;40,"Gift Message Line 3 exceeds 40 characters. ","")&amp;IF(LEN($R183)&gt;40,"Gift Message Line 4 exceeds 40 characters. ","")&amp;IF(LEN($S183)&gt;40,"Gift Message Line 5 exceeds 40 characters. ","")&amp;IF(LEN($T183)&gt;40,"Gift Message Line 6 exceeds 40 characters. ","")&amp;IF(LEN($U183)&gt;40,"Gift Message Line 7 exceeds 40 characters. ",""))</f>
        <v/>
      </c>
      <c r="Y183" s="44" t="str">
        <f t="shared" si="9"/>
        <v/>
      </c>
      <c r="Z183" s="44"/>
      <c r="AA183" s="44"/>
      <c r="AB183" s="32" t="str">
        <f t="shared" si="10"/>
        <v/>
      </c>
      <c r="AC183" s="32" t="str">
        <f>IF($A183="","",IFERROR(LEFT(INDEX('PRODUCT DATA'!$NO$2:$NO$25,MATCH($A183,'PRODUCT DATA'!$NP$2:$NP$25,0)),FIND("|",INDEX('PRODUCT DATA'!$NO$2:$NO$25,MATCH($A183,'PRODUCT DATA'!$NP$2:$NP$25,0)))-1),$A183))</f>
        <v/>
      </c>
      <c r="AD183" s="45"/>
      <c r="AE183" s="45" t="str">
        <f t="shared" si="11"/>
        <v/>
      </c>
    </row>
    <row r="184" spans="1:31" ht="15" customHeight="1" x14ac:dyDescent="0.25">
      <c r="A184" s="40"/>
      <c r="B184" s="43" t="str">
        <f>IF($A184="","",IFERROR(VLOOKUP($AC184,'PRODUCT DATA'!$NR$2:$NS$374,2,FALSE()),"UNKNOWN ITEM CODE - please check"))</f>
        <v/>
      </c>
      <c r="C184" s="39">
        <v>1</v>
      </c>
      <c r="D184" s="39"/>
      <c r="E184" s="40"/>
      <c r="F184" s="41"/>
      <c r="G184" s="39"/>
      <c r="H184" s="41"/>
      <c r="I184" s="41"/>
      <c r="J184" s="39"/>
      <c r="K184" s="41"/>
      <c r="L184" s="40"/>
      <c r="M184" s="40"/>
      <c r="N184" s="42" t="str">
        <f>IF($M184="","",IFERROR(INDEX('PRODUCT DATA'!$B$2:$B$58,MATCH(IF(UPPER($M184)="UK","GB",$M184),'PRODUCT DATA'!$B$2:$B$58,0)),IFERROR(INDEX('PRODUCT DATA'!$B$2:$B$58,MATCH(IF(UPPER($M184)="UK","GB",$M184),'PRODUCT DATA'!$A$2:$A$58,0)),"UNKNOWN COUNTRY - please check")))</f>
        <v/>
      </c>
      <c r="O184" s="41"/>
      <c r="P184" s="41"/>
      <c r="Q184" s="41"/>
      <c r="R184" s="41"/>
      <c r="S184" s="41"/>
      <c r="T184" s="41"/>
      <c r="U184" s="41"/>
      <c r="V184" s="43" t="str">
        <f t="shared" si="8"/>
        <v/>
      </c>
      <c r="W184" s="44" t="str">
        <f ca="1">IF(COUNTA($A184,$D184:$M184,$O184:$U184)=0,"",IF($A184="","Item Code; ","")&amp;IF(AND($A184&lt;&gt;"",ISNA(MATCH($AC184,'PRODUCT DATA'!$D$2:$D$394,0))),"Item Code; ","")&amp;IF($M184="","Country; ","")&amp;IF(AND($M184&lt;&gt;"",NOT(OR(NOT(ISNA(MATCH(IF(UPPER($M184)="UK","GB",$M184),'PRODUCT DATA'!$A$2:$A$58,0))),NOT(ISNA(MATCH(IF(UPPER($M184)="UK","GB",$M184),'PRODUCT DATA'!$B$2:$B$58,0)))))),"Country; ","")&amp;IF(AND($A184&lt;&gt;"",$M184&lt;&gt;"",NOT(ISNA(MATCH($AC184,'PRODUCT DATA'!$D$2:$D$394,0))),OR(NOT(ISNA(MATCH(IF(UPPER($M184)="UK","GB",$M184),'PRODUCT DATA'!$A$2:$A$58,0))),NOT(ISNA(MATCH(IF(UPPER($M184)="UK","GB",$M184),'PRODUCT DATA'!$B$2:$B$58,0)))),NOT(IFERROR(COUNTIF(OFFSET('PRODUCT DATA'!$F$2,0,MATCH($AC184,'PRODUCT DATA'!$F$1:$NN$1,0)-1,114,1),$N184)&gt;0,FALSE()))),IF(UPPER(IFERROR(OFFSET('PRODUCT DATA'!$C$2,MATCH($N184,'PRODUCT DATA'!$B$2:$B$58,0)-1,0),""))="NO","Alcohol Restriction; ","Item Code / Country combination; "),"")&amp;IF($C184="","Quantity; ","")&amp;IF(AND($C184&lt;&gt;"",OR(NOT(ISNUMBER($C184)),$C184&lt;1,$C184&gt;999,MOD($C184,1)&lt;&gt;0)),"Quantity; ","")&amp;IF($D184="","Recipient Name; ","")&amp;IF(LEN($D184)&gt;35,"Recipient Name; ","")&amp;IF($E184="","Recipient Phone; ","")&amp;IF(AND($E184&lt;&gt;"",OR(LEN($E184)&lt;6,LEN($E184)&gt;20,NOT(IFERROR(ISNUMBER(1*$E184),FALSE())))),"Recipient Phone; ","")&amp;IF(LEN($F184)&gt;35,"Recipient Company Name; ","")&amp;IF($G184="","Address Line 1; ","")&amp;IF(LEN($G184)&gt;35,"Address Line 1; ","")&amp;IF(LEN($H184)&gt;35,"Address Line 2; ","")&amp;IF(LEN($I184)&gt;35,"Address Line 3; ","")&amp;IF($J184="","Town; ","")&amp;IF(LEN($J184)&gt;35,"Town; ","")&amp;IF(AND($N184="IE",$K184=""),"County; ","")&amp;IF(LEN($AB184)&gt;35,"County; ","")&amp;IF(AND($L184="",AND($N184&lt;&gt;"AE",$N184&lt;&gt;"QA")),"Postcode; ","")&amp;IF(LEN($L184)&gt;35,"Postcode; ","")&amp;IF($AE184&lt;&gt;"","Postcode; ","")&amp;IF(LEN($O184)&gt;40,"Gift Message 1; ","")&amp;IF(LEN($P184)&gt;40,"Gift Message 2; ","")&amp;IF(LEN($Q184)&gt;40,"Gift Message 3; ","")&amp;IF(LEN($R184)&gt;40,"Gift Message 4; ","")&amp;IF(LEN($S184)&gt;40,"Gift Message 5; ","")&amp;IF(LEN($T184)&gt;40,"Gift Message 6; ","")&amp;IF(LEN($U184)&gt;40,"Gift Message 7; ",""))</f>
        <v/>
      </c>
      <c r="X184" s="44" t="str">
        <f ca="1">IF(COUNTA($A184,$D184:$M184,$O184:$U184)=0,"",IF($A184="","Enter the Item Code (hamper) - type it, paste it, or choose it from the dropdown. ","")&amp;IF(AND($A184&lt;&gt;"",ISNA(MATCH($AC184,'PRODUCT DATA'!$D$2:$D$394,0))),"This Item Code is not recognised. Check the code (case does not matter, but spelling and digits must match exactly) or choose it from the dropdown. ","")&amp;IF($M184="","Enter the Country after the Item Code - type or paste the name or the 2-letter code, or choose it from the dropdown. ","")&amp;IF(AND($M184&lt;&gt;"",NOT(OR(NOT(ISNA(MATCH(IF(UPPER($M184)="UK","GB",$M184),'PRODUCT DATA'!$A$2:$A$58,0))),NOT(ISNA(MATCH(IF(UPPER($M184)="UK","GB",$M184),'PRODUCT DATA'!$B$2:$B$58,0)))))),"This Country is not recognised as either a full name or a 2-letter code. Check the spelling (case does not matter) or choose it from the dropdown. ","")&amp;IF(AND($A184&lt;&gt;"",$M184&lt;&gt;"",NOT(ISNA(MATCH($AC184,'PRODUCT DATA'!$D$2:$D$394,0))),OR(NOT(ISNA(MATCH(IF(UPPER($M184)="UK","GB",$M184),'PRODUCT DATA'!$A$2:$A$58,0))),NOT(ISNA(MATCH(IF(UPPER($M184)="UK","GB",$M184),'PRODUCT DATA'!$B$2:$B$58,0)))),NOT(IFERROR(COUNTIF(OFFSET('PRODUCT DATA'!$F$2,0,MATCH($AC184,'PRODUCT DATA'!$F$1:$NN$1,0)-1,114,1),$N184)&gt;0,FALSE()))),IF(UPPER(IFERROR(OFFSET('PRODUCT DATA'!$C$2,MATCH($N184,'PRODUCT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"),"")&amp;IF($C184="","Enter Quantity. ","")&amp;IF(AND($C184&lt;&gt;"",OR(NOT(ISNUMBER($C184)),$C184&lt;1,$C184&gt;999,MOD($C184,1)&lt;&gt;0)),"Quantity must be a whole number from 1 to 999 (use a quantity above 1 only for a genuine bulk order of identical items to ONE address — otherwise use a separate row per recipient). ","")&amp;IF($D184="","Enter Recipient Name. ","")&amp;IF(LEN($D184)&gt;35,"Recipient Name exceeds 35 characters. ","")&amp;IF($E184="","Enter Recipient Phone. ","")&amp;IF(AND($E184&lt;&gt;"",OR(LEN($E184)&lt;6,LEN($E184)&gt;20,NOT(IFERROR(ISNUMBER(1*$E184),FALSE())))),"Phone must be the LOCAL number for the destination country: digits only, no +, spaces, or country code, 6 to 20 digits. ","")&amp;IF(LEN($F184)&gt;35,"Recipient Company Name exceeds 35 characters. ","")&amp;IF($G184="","Enter Address Line 1. ","")&amp;IF(LEN($G184)&gt;35,"Address Line 1 exceeds the 35-character SAP limit. ","")&amp;IF(LEN($H184)&gt;35,"Address Line 2 exceeds the 35-character SAP limit. ","")&amp;IF(LEN($I184)&gt;35,"Address Line 3 exceeds the 35-character SAP limit. ","")&amp;IF($J184="","Enter Town. This must never be left blank, even if there is no conventional town name. ","")&amp;IF(LEN($J184)&gt;35,"Town exceeds 35 characters. ","")&amp;IF(AND($N184="IE",$K184=""),"County is required for deliveries within the Republic of Ireland. ","")&amp;IF(LEN($AB184)&gt;35,"County exceeds 35 characters. ","")&amp;IF(AND($L184="",AND($N184&lt;&gt;"AE",$N184&lt;&gt;"QA")),"Postcode is required for the selected country. If there is genuinely no postcode, enter the first 3 characters of the area (e.g. D15). ","")&amp;IF(LEN($L184)&gt;35,"Postcode exceeds 35 characters. ","")&amp;IF($AE184&lt;&gt;"",$AE184,"")&amp;IF(LEN($O184)&gt;40,"Gift Message Line 1 exceeds 40 characters. ","")&amp;IF(LEN($P184)&gt;40,"Gift Message Line 2 exceeds 40 characters. ","")&amp;IF(LEN($Q184)&gt;40,"Gift Message Line 3 exceeds 40 characters. ","")&amp;IF(LEN($R184)&gt;40,"Gift Message Line 4 exceeds 40 characters. ","")&amp;IF(LEN($S184)&gt;40,"Gift Message Line 5 exceeds 40 characters. ","")&amp;IF(LEN($T184)&gt;40,"Gift Message Line 6 exceeds 40 characters. ","")&amp;IF(LEN($U184)&gt;40,"Gift Message Line 7 exceeds 40 characters. ",""))</f>
        <v/>
      </c>
      <c r="Y184" s="44" t="str">
        <f t="shared" si="9"/>
        <v/>
      </c>
      <c r="Z184" s="44"/>
      <c r="AA184" s="44"/>
      <c r="AB184" s="32" t="str">
        <f t="shared" si="10"/>
        <v/>
      </c>
      <c r="AC184" s="32" t="str">
        <f>IF($A184="","",IFERROR(LEFT(INDEX('PRODUCT DATA'!$NO$2:$NO$25,MATCH($A184,'PRODUCT DATA'!$NP$2:$NP$25,0)),FIND("|",INDEX('PRODUCT DATA'!$NO$2:$NO$25,MATCH($A184,'PRODUCT DATA'!$NP$2:$NP$25,0)))-1),$A184))</f>
        <v/>
      </c>
      <c r="AD184" s="45"/>
      <c r="AE184" s="45" t="str">
        <f t="shared" si="11"/>
        <v/>
      </c>
    </row>
    <row r="185" spans="1:31" ht="15" customHeight="1" x14ac:dyDescent="0.25">
      <c r="A185" s="40"/>
      <c r="B185" s="43" t="str">
        <f>IF($A185="","",IFERROR(VLOOKUP($AC185,'PRODUCT DATA'!$NR$2:$NS$374,2,FALSE()),"UNKNOWN ITEM CODE - please check"))</f>
        <v/>
      </c>
      <c r="C185" s="39">
        <v>1</v>
      </c>
      <c r="D185" s="39"/>
      <c r="E185" s="40"/>
      <c r="F185" s="41"/>
      <c r="G185" s="39"/>
      <c r="H185" s="41"/>
      <c r="I185" s="41"/>
      <c r="J185" s="39"/>
      <c r="K185" s="41"/>
      <c r="L185" s="40"/>
      <c r="M185" s="40"/>
      <c r="N185" s="42" t="str">
        <f>IF($M185="","",IFERROR(INDEX('PRODUCT DATA'!$B$2:$B$58,MATCH(IF(UPPER($M185)="UK","GB",$M185),'PRODUCT DATA'!$B$2:$B$58,0)),IFERROR(INDEX('PRODUCT DATA'!$B$2:$B$58,MATCH(IF(UPPER($M185)="UK","GB",$M185),'PRODUCT DATA'!$A$2:$A$58,0)),"UNKNOWN COUNTRY - please check")))</f>
        <v/>
      </c>
      <c r="O185" s="41"/>
      <c r="P185" s="41"/>
      <c r="Q185" s="41"/>
      <c r="R185" s="41"/>
      <c r="S185" s="41"/>
      <c r="T185" s="41"/>
      <c r="U185" s="41"/>
      <c r="V185" s="43" t="str">
        <f t="shared" si="8"/>
        <v/>
      </c>
      <c r="W185" s="44" t="str">
        <f ca="1">IF(COUNTA($A185,$D185:$M185,$O185:$U185)=0,"",IF($A185="","Item Code; ","")&amp;IF(AND($A185&lt;&gt;"",ISNA(MATCH($AC185,'PRODUCT DATA'!$D$2:$D$394,0))),"Item Code; ","")&amp;IF($M185="","Country; ","")&amp;IF(AND($M185&lt;&gt;"",NOT(OR(NOT(ISNA(MATCH(IF(UPPER($M185)="UK","GB",$M185),'PRODUCT DATA'!$A$2:$A$58,0))),NOT(ISNA(MATCH(IF(UPPER($M185)="UK","GB",$M185),'PRODUCT DATA'!$B$2:$B$58,0)))))),"Country; ","")&amp;IF(AND($A185&lt;&gt;"",$M185&lt;&gt;"",NOT(ISNA(MATCH($AC185,'PRODUCT DATA'!$D$2:$D$394,0))),OR(NOT(ISNA(MATCH(IF(UPPER($M185)="UK","GB",$M185),'PRODUCT DATA'!$A$2:$A$58,0))),NOT(ISNA(MATCH(IF(UPPER($M185)="UK","GB",$M185),'PRODUCT DATA'!$B$2:$B$58,0)))),NOT(IFERROR(COUNTIF(OFFSET('PRODUCT DATA'!$F$2,0,MATCH($AC185,'PRODUCT DATA'!$F$1:$NN$1,0)-1,114,1),$N185)&gt;0,FALSE()))),IF(UPPER(IFERROR(OFFSET('PRODUCT DATA'!$C$2,MATCH($N185,'PRODUCT DATA'!$B$2:$B$58,0)-1,0),""))="NO","Alcohol Restriction; ","Item Code / Country combination; "),"")&amp;IF($C185="","Quantity; ","")&amp;IF(AND($C185&lt;&gt;"",OR(NOT(ISNUMBER($C185)),$C185&lt;1,$C185&gt;999,MOD($C185,1)&lt;&gt;0)),"Quantity; ","")&amp;IF($D185="","Recipient Name; ","")&amp;IF(LEN($D185)&gt;35,"Recipient Name; ","")&amp;IF($E185="","Recipient Phone; ","")&amp;IF(AND($E185&lt;&gt;"",OR(LEN($E185)&lt;6,LEN($E185)&gt;20,NOT(IFERROR(ISNUMBER(1*$E185),FALSE())))),"Recipient Phone; ","")&amp;IF(LEN($F185)&gt;35,"Recipient Company Name; ","")&amp;IF($G185="","Address Line 1; ","")&amp;IF(LEN($G185)&gt;35,"Address Line 1; ","")&amp;IF(LEN($H185)&gt;35,"Address Line 2; ","")&amp;IF(LEN($I185)&gt;35,"Address Line 3; ","")&amp;IF($J185="","Town; ","")&amp;IF(LEN($J185)&gt;35,"Town; ","")&amp;IF(AND($N185="IE",$K185=""),"County; ","")&amp;IF(LEN($AB185)&gt;35,"County; ","")&amp;IF(AND($L185="",AND($N185&lt;&gt;"AE",$N185&lt;&gt;"QA")),"Postcode; ","")&amp;IF(LEN($L185)&gt;35,"Postcode; ","")&amp;IF($AE185&lt;&gt;"","Postcode; ","")&amp;IF(LEN($O185)&gt;40,"Gift Message 1; ","")&amp;IF(LEN($P185)&gt;40,"Gift Message 2; ","")&amp;IF(LEN($Q185)&gt;40,"Gift Message 3; ","")&amp;IF(LEN($R185)&gt;40,"Gift Message 4; ","")&amp;IF(LEN($S185)&gt;40,"Gift Message 5; ","")&amp;IF(LEN($T185)&gt;40,"Gift Message 6; ","")&amp;IF(LEN($U185)&gt;40,"Gift Message 7; ",""))</f>
        <v/>
      </c>
      <c r="X185" s="44" t="str">
        <f ca="1">IF(COUNTA($A185,$D185:$M185,$O185:$U185)=0,"",IF($A185="","Enter the Item Code (hamper) - type it, paste it, or choose it from the dropdown. ","")&amp;IF(AND($A185&lt;&gt;"",ISNA(MATCH($AC185,'PRODUCT DATA'!$D$2:$D$394,0))),"This Item Code is not recognised. Check the code (case does not matter, but spelling and digits must match exactly) or choose it from the dropdown. ","")&amp;IF($M185="","Enter the Country after the Item Code - type or paste the name or the 2-letter code, or choose it from the dropdown. ","")&amp;IF(AND($M185&lt;&gt;"",NOT(OR(NOT(ISNA(MATCH(IF(UPPER($M185)="UK","GB",$M185),'PRODUCT DATA'!$A$2:$A$58,0))),NOT(ISNA(MATCH(IF(UPPER($M185)="UK","GB",$M185),'PRODUCT DATA'!$B$2:$B$58,0)))))),"This Country is not recognised as either a full name or a 2-letter code. Check the spelling (case does not matter) or choose it from the dropdown. ","")&amp;IF(AND($A185&lt;&gt;"",$M185&lt;&gt;"",NOT(ISNA(MATCH($AC185,'PRODUCT DATA'!$D$2:$D$394,0))),OR(NOT(ISNA(MATCH(IF(UPPER($M185)="UK","GB",$M185),'PRODUCT DATA'!$A$2:$A$58,0))),NOT(ISNA(MATCH(IF(UPPER($M185)="UK","GB",$M185),'PRODUCT DATA'!$B$2:$B$58,0)))),NOT(IFERROR(COUNTIF(OFFSET('PRODUCT DATA'!$F$2,0,MATCH($AC185,'PRODUCT DATA'!$F$1:$NN$1,0)-1,114,1),$N185)&gt;0,FALSE()))),IF(UPPER(IFERROR(OFFSET('PRODUCT DATA'!$C$2,MATCH($N185,'PRODUCT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"),"")&amp;IF($C185="","Enter Quantity. ","")&amp;IF(AND($C185&lt;&gt;"",OR(NOT(ISNUMBER($C185)),$C185&lt;1,$C185&gt;999,MOD($C185,1)&lt;&gt;0)),"Quantity must be a whole number from 1 to 999 (use a quantity above 1 only for a genuine bulk order of identical items to ONE address — otherwise use a separate row per recipient). ","")&amp;IF($D185="","Enter Recipient Name. ","")&amp;IF(LEN($D185)&gt;35,"Recipient Name exceeds 35 characters. ","")&amp;IF($E185="","Enter Recipient Phone. ","")&amp;IF(AND($E185&lt;&gt;"",OR(LEN($E185)&lt;6,LEN($E185)&gt;20,NOT(IFERROR(ISNUMBER(1*$E185),FALSE())))),"Phone must be the LOCAL number for the destination country: digits only, no +, spaces, or country code, 6 to 20 digits. ","")&amp;IF(LEN($F185)&gt;35,"Recipient Company Name exceeds 35 characters. ","")&amp;IF($G185="","Enter Address Line 1. ","")&amp;IF(LEN($G185)&gt;35,"Address Line 1 exceeds the 35-character SAP limit. ","")&amp;IF(LEN($H185)&gt;35,"Address Line 2 exceeds the 35-character SAP limit. ","")&amp;IF(LEN($I185)&gt;35,"Address Line 3 exceeds the 35-character SAP limit. ","")&amp;IF($J185="","Enter Town. This must never be left blank, even if there is no conventional town name. ","")&amp;IF(LEN($J185)&gt;35,"Town exceeds 35 characters. ","")&amp;IF(AND($N185="IE",$K185=""),"County is required for deliveries within the Republic of Ireland. ","")&amp;IF(LEN($AB185)&gt;35,"County exceeds 35 characters. ","")&amp;IF(AND($L185="",AND($N185&lt;&gt;"AE",$N185&lt;&gt;"QA")),"Postcode is required for the selected country. If there is genuinely no postcode, enter the first 3 characters of the area (e.g. D15). ","")&amp;IF(LEN($L185)&gt;35,"Postcode exceeds 35 characters. ","")&amp;IF($AE185&lt;&gt;"",$AE185,"")&amp;IF(LEN($O185)&gt;40,"Gift Message Line 1 exceeds 40 characters. ","")&amp;IF(LEN($P185)&gt;40,"Gift Message Line 2 exceeds 40 characters. ","")&amp;IF(LEN($Q185)&gt;40,"Gift Message Line 3 exceeds 40 characters. ","")&amp;IF(LEN($R185)&gt;40,"Gift Message Line 4 exceeds 40 characters. ","")&amp;IF(LEN($S185)&gt;40,"Gift Message Line 5 exceeds 40 characters. ","")&amp;IF(LEN($T185)&gt;40,"Gift Message Line 6 exceeds 40 characters. ","")&amp;IF(LEN($U185)&gt;40,"Gift Message Line 7 exceeds 40 characters. ",""))</f>
        <v/>
      </c>
      <c r="Y185" s="44" t="str">
        <f t="shared" si="9"/>
        <v/>
      </c>
      <c r="Z185" s="44"/>
      <c r="AA185" s="44"/>
      <c r="AB185" s="32" t="str">
        <f t="shared" si="10"/>
        <v/>
      </c>
      <c r="AC185" s="32" t="str">
        <f>IF($A185="","",IFERROR(LEFT(INDEX('PRODUCT DATA'!$NO$2:$NO$25,MATCH($A185,'PRODUCT DATA'!$NP$2:$NP$25,0)),FIND("|",INDEX('PRODUCT DATA'!$NO$2:$NO$25,MATCH($A185,'PRODUCT DATA'!$NP$2:$NP$25,0)))-1),$A185))</f>
        <v/>
      </c>
      <c r="AD185" s="45"/>
      <c r="AE185" s="45" t="str">
        <f t="shared" si="11"/>
        <v/>
      </c>
    </row>
    <row r="186" spans="1:31" ht="15" customHeight="1" x14ac:dyDescent="0.25">
      <c r="A186" s="40"/>
      <c r="B186" s="43" t="str">
        <f>IF($A186="","",IFERROR(VLOOKUP($AC186,'PRODUCT DATA'!$NR$2:$NS$374,2,FALSE()),"UNKNOWN ITEM CODE - please check"))</f>
        <v/>
      </c>
      <c r="C186" s="39">
        <v>1</v>
      </c>
      <c r="D186" s="39"/>
      <c r="E186" s="40"/>
      <c r="F186" s="41"/>
      <c r="G186" s="39"/>
      <c r="H186" s="41"/>
      <c r="I186" s="41"/>
      <c r="J186" s="39"/>
      <c r="K186" s="41"/>
      <c r="L186" s="40"/>
      <c r="M186" s="40"/>
      <c r="N186" s="42" t="str">
        <f>IF($M186="","",IFERROR(INDEX('PRODUCT DATA'!$B$2:$B$58,MATCH(IF(UPPER($M186)="UK","GB",$M186),'PRODUCT DATA'!$B$2:$B$58,0)),IFERROR(INDEX('PRODUCT DATA'!$B$2:$B$58,MATCH(IF(UPPER($M186)="UK","GB",$M186),'PRODUCT DATA'!$A$2:$A$58,0)),"UNKNOWN COUNTRY - please check")))</f>
        <v/>
      </c>
      <c r="O186" s="41"/>
      <c r="P186" s="41"/>
      <c r="Q186" s="41"/>
      <c r="R186" s="41"/>
      <c r="S186" s="41"/>
      <c r="T186" s="41"/>
      <c r="U186" s="41"/>
      <c r="V186" s="43" t="str">
        <f t="shared" si="8"/>
        <v/>
      </c>
      <c r="W186" s="44" t="str">
        <f ca="1">IF(COUNTA($A186,$D186:$M186,$O186:$U186)=0,"",IF($A186="","Item Code; ","")&amp;IF(AND($A186&lt;&gt;"",ISNA(MATCH($AC186,'PRODUCT DATA'!$D$2:$D$394,0))),"Item Code; ","")&amp;IF($M186="","Country; ","")&amp;IF(AND($M186&lt;&gt;"",NOT(OR(NOT(ISNA(MATCH(IF(UPPER($M186)="UK","GB",$M186),'PRODUCT DATA'!$A$2:$A$58,0))),NOT(ISNA(MATCH(IF(UPPER($M186)="UK","GB",$M186),'PRODUCT DATA'!$B$2:$B$58,0)))))),"Country; ","")&amp;IF(AND($A186&lt;&gt;"",$M186&lt;&gt;"",NOT(ISNA(MATCH($AC186,'PRODUCT DATA'!$D$2:$D$394,0))),OR(NOT(ISNA(MATCH(IF(UPPER($M186)="UK","GB",$M186),'PRODUCT DATA'!$A$2:$A$58,0))),NOT(ISNA(MATCH(IF(UPPER($M186)="UK","GB",$M186),'PRODUCT DATA'!$B$2:$B$58,0)))),NOT(IFERROR(COUNTIF(OFFSET('PRODUCT DATA'!$F$2,0,MATCH($AC186,'PRODUCT DATA'!$F$1:$NN$1,0)-1,114,1),$N186)&gt;0,FALSE()))),IF(UPPER(IFERROR(OFFSET('PRODUCT DATA'!$C$2,MATCH($N186,'PRODUCT DATA'!$B$2:$B$58,0)-1,0),""))="NO","Alcohol Restriction; ","Item Code / Country combination; "),"")&amp;IF($C186="","Quantity; ","")&amp;IF(AND($C186&lt;&gt;"",OR(NOT(ISNUMBER($C186)),$C186&lt;1,$C186&gt;999,MOD($C186,1)&lt;&gt;0)),"Quantity; ","")&amp;IF($D186="","Recipient Name; ","")&amp;IF(LEN($D186)&gt;35,"Recipient Name; ","")&amp;IF($E186="","Recipient Phone; ","")&amp;IF(AND($E186&lt;&gt;"",OR(LEN($E186)&lt;6,LEN($E186)&gt;20,NOT(IFERROR(ISNUMBER(1*$E186),FALSE())))),"Recipient Phone; ","")&amp;IF(LEN($F186)&gt;35,"Recipient Company Name; ","")&amp;IF($G186="","Address Line 1; ","")&amp;IF(LEN($G186)&gt;35,"Address Line 1; ","")&amp;IF(LEN($H186)&gt;35,"Address Line 2; ","")&amp;IF(LEN($I186)&gt;35,"Address Line 3; ","")&amp;IF($J186="","Town; ","")&amp;IF(LEN($J186)&gt;35,"Town; ","")&amp;IF(AND($N186="IE",$K186=""),"County; ","")&amp;IF(LEN($AB186)&gt;35,"County; ","")&amp;IF(AND($L186="",AND($N186&lt;&gt;"AE",$N186&lt;&gt;"QA")),"Postcode; ","")&amp;IF(LEN($L186)&gt;35,"Postcode; ","")&amp;IF($AE186&lt;&gt;"","Postcode; ","")&amp;IF(LEN($O186)&gt;40,"Gift Message 1; ","")&amp;IF(LEN($P186)&gt;40,"Gift Message 2; ","")&amp;IF(LEN($Q186)&gt;40,"Gift Message 3; ","")&amp;IF(LEN($R186)&gt;40,"Gift Message 4; ","")&amp;IF(LEN($S186)&gt;40,"Gift Message 5; ","")&amp;IF(LEN($T186)&gt;40,"Gift Message 6; ","")&amp;IF(LEN($U186)&gt;40,"Gift Message 7; ",""))</f>
        <v/>
      </c>
      <c r="X186" s="44" t="str">
        <f ca="1">IF(COUNTA($A186,$D186:$M186,$O186:$U186)=0,"",IF($A186="","Enter the Item Code (hamper) - type it, paste it, or choose it from the dropdown. ","")&amp;IF(AND($A186&lt;&gt;"",ISNA(MATCH($AC186,'PRODUCT DATA'!$D$2:$D$394,0))),"This Item Code is not recognised. Check the code (case does not matter, but spelling and digits must match exactly) or choose it from the dropdown. ","")&amp;IF($M186="","Enter the Country after the Item Code - type or paste the name or the 2-letter code, or choose it from the dropdown. ","")&amp;IF(AND($M186&lt;&gt;"",NOT(OR(NOT(ISNA(MATCH(IF(UPPER($M186)="UK","GB",$M186),'PRODUCT DATA'!$A$2:$A$58,0))),NOT(ISNA(MATCH(IF(UPPER($M186)="UK","GB",$M186),'PRODUCT DATA'!$B$2:$B$58,0)))))),"This Country is not recognised as either a full name or a 2-letter code. Check the spelling (case does not matter) or choose it from the dropdown. ","")&amp;IF(AND($A186&lt;&gt;"",$M186&lt;&gt;"",NOT(ISNA(MATCH($AC186,'PRODUCT DATA'!$D$2:$D$394,0))),OR(NOT(ISNA(MATCH(IF(UPPER($M186)="UK","GB",$M186),'PRODUCT DATA'!$A$2:$A$58,0))),NOT(ISNA(MATCH(IF(UPPER($M186)="UK","GB",$M186),'PRODUCT DATA'!$B$2:$B$58,0)))),NOT(IFERROR(COUNTIF(OFFSET('PRODUCT DATA'!$F$2,0,MATCH($AC186,'PRODUCT DATA'!$F$1:$NN$1,0)-1,114,1),$N186)&gt;0,FALSE()))),IF(UPPER(IFERROR(OFFSET('PRODUCT DATA'!$C$2,MATCH($N186,'PRODUCT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"),"")&amp;IF($C186="","Enter Quantity. ","")&amp;IF(AND($C186&lt;&gt;"",OR(NOT(ISNUMBER($C186)),$C186&lt;1,$C186&gt;999,MOD($C186,1)&lt;&gt;0)),"Quantity must be a whole number from 1 to 999 (use a quantity above 1 only for a genuine bulk order of identical items to ONE address — otherwise use a separate row per recipient). ","")&amp;IF($D186="","Enter Recipient Name. ","")&amp;IF(LEN($D186)&gt;35,"Recipient Name exceeds 35 characters. ","")&amp;IF($E186="","Enter Recipient Phone. ","")&amp;IF(AND($E186&lt;&gt;"",OR(LEN($E186)&lt;6,LEN($E186)&gt;20,NOT(IFERROR(ISNUMBER(1*$E186),FALSE())))),"Phone must be the LOCAL number for the destination country: digits only, no +, spaces, or country code, 6 to 20 digits. ","")&amp;IF(LEN($F186)&gt;35,"Recipient Company Name exceeds 35 characters. ","")&amp;IF($G186="","Enter Address Line 1. ","")&amp;IF(LEN($G186)&gt;35,"Address Line 1 exceeds the 35-character SAP limit. ","")&amp;IF(LEN($H186)&gt;35,"Address Line 2 exceeds the 35-character SAP limit. ","")&amp;IF(LEN($I186)&gt;35,"Address Line 3 exceeds the 35-character SAP limit. ","")&amp;IF($J186="","Enter Town. This must never be left blank, even if there is no conventional town name. ","")&amp;IF(LEN($J186)&gt;35,"Town exceeds 35 characters. ","")&amp;IF(AND($N186="IE",$K186=""),"County is required for deliveries within the Republic of Ireland. ","")&amp;IF(LEN($AB186)&gt;35,"County exceeds 35 characters. ","")&amp;IF(AND($L186="",AND($N186&lt;&gt;"AE",$N186&lt;&gt;"QA")),"Postcode is required for the selected country. If there is genuinely no postcode, enter the first 3 characters of the area (e.g. D15). ","")&amp;IF(LEN($L186)&gt;35,"Postcode exceeds 35 characters. ","")&amp;IF($AE186&lt;&gt;"",$AE186,"")&amp;IF(LEN($O186)&gt;40,"Gift Message Line 1 exceeds 40 characters. ","")&amp;IF(LEN($P186)&gt;40,"Gift Message Line 2 exceeds 40 characters. ","")&amp;IF(LEN($Q186)&gt;40,"Gift Message Line 3 exceeds 40 characters. ","")&amp;IF(LEN($R186)&gt;40,"Gift Message Line 4 exceeds 40 characters. ","")&amp;IF(LEN($S186)&gt;40,"Gift Message Line 5 exceeds 40 characters. ","")&amp;IF(LEN($T186)&gt;40,"Gift Message Line 6 exceeds 40 characters. ","")&amp;IF(LEN($U186)&gt;40,"Gift Message Line 7 exceeds 40 characters. ",""))</f>
        <v/>
      </c>
      <c r="Y186" s="44" t="str">
        <f t="shared" si="9"/>
        <v/>
      </c>
      <c r="Z186" s="44"/>
      <c r="AA186" s="44"/>
      <c r="AB186" s="32" t="str">
        <f t="shared" si="10"/>
        <v/>
      </c>
      <c r="AC186" s="32" t="str">
        <f>IF($A186="","",IFERROR(LEFT(INDEX('PRODUCT DATA'!$NO$2:$NO$25,MATCH($A186,'PRODUCT DATA'!$NP$2:$NP$25,0)),FIND("|",INDEX('PRODUCT DATA'!$NO$2:$NO$25,MATCH($A186,'PRODUCT DATA'!$NP$2:$NP$25,0)))-1),$A186))</f>
        <v/>
      </c>
      <c r="AD186" s="45"/>
      <c r="AE186" s="45" t="str">
        <f t="shared" si="11"/>
        <v/>
      </c>
    </row>
    <row r="187" spans="1:31" ht="15" customHeight="1" x14ac:dyDescent="0.25">
      <c r="A187" s="40"/>
      <c r="B187" s="43" t="str">
        <f>IF($A187="","",IFERROR(VLOOKUP($AC187,'PRODUCT DATA'!$NR$2:$NS$374,2,FALSE()),"UNKNOWN ITEM CODE - please check"))</f>
        <v/>
      </c>
      <c r="C187" s="39">
        <v>1</v>
      </c>
      <c r="D187" s="39"/>
      <c r="E187" s="40"/>
      <c r="F187" s="41"/>
      <c r="G187" s="39"/>
      <c r="H187" s="41"/>
      <c r="I187" s="41"/>
      <c r="J187" s="39"/>
      <c r="K187" s="41"/>
      <c r="L187" s="40"/>
      <c r="M187" s="40"/>
      <c r="N187" s="42" t="str">
        <f>IF($M187="","",IFERROR(INDEX('PRODUCT DATA'!$B$2:$B$58,MATCH(IF(UPPER($M187)="UK","GB",$M187),'PRODUCT DATA'!$B$2:$B$58,0)),IFERROR(INDEX('PRODUCT DATA'!$B$2:$B$58,MATCH(IF(UPPER($M187)="UK","GB",$M187),'PRODUCT DATA'!$A$2:$A$58,0)),"UNKNOWN COUNTRY - please check")))</f>
        <v/>
      </c>
      <c r="O187" s="41"/>
      <c r="P187" s="41"/>
      <c r="Q187" s="41"/>
      <c r="R187" s="41"/>
      <c r="S187" s="41"/>
      <c r="T187" s="41"/>
      <c r="U187" s="41"/>
      <c r="V187" s="43" t="str">
        <f t="shared" si="8"/>
        <v/>
      </c>
      <c r="W187" s="44" t="str">
        <f ca="1">IF(COUNTA($A187,$D187:$M187,$O187:$U187)=0,"",IF($A187="","Item Code; ","")&amp;IF(AND($A187&lt;&gt;"",ISNA(MATCH($AC187,'PRODUCT DATA'!$D$2:$D$394,0))),"Item Code; ","")&amp;IF($M187="","Country; ","")&amp;IF(AND($M187&lt;&gt;"",NOT(OR(NOT(ISNA(MATCH(IF(UPPER($M187)="UK","GB",$M187),'PRODUCT DATA'!$A$2:$A$58,0))),NOT(ISNA(MATCH(IF(UPPER($M187)="UK","GB",$M187),'PRODUCT DATA'!$B$2:$B$58,0)))))),"Country; ","")&amp;IF(AND($A187&lt;&gt;"",$M187&lt;&gt;"",NOT(ISNA(MATCH($AC187,'PRODUCT DATA'!$D$2:$D$394,0))),OR(NOT(ISNA(MATCH(IF(UPPER($M187)="UK","GB",$M187),'PRODUCT DATA'!$A$2:$A$58,0))),NOT(ISNA(MATCH(IF(UPPER($M187)="UK","GB",$M187),'PRODUCT DATA'!$B$2:$B$58,0)))),NOT(IFERROR(COUNTIF(OFFSET('PRODUCT DATA'!$F$2,0,MATCH($AC187,'PRODUCT DATA'!$F$1:$NN$1,0)-1,114,1),$N187)&gt;0,FALSE()))),IF(UPPER(IFERROR(OFFSET('PRODUCT DATA'!$C$2,MATCH($N187,'PRODUCT DATA'!$B$2:$B$58,0)-1,0),""))="NO","Alcohol Restriction; ","Item Code / Country combination; "),"")&amp;IF($C187="","Quantity; ","")&amp;IF(AND($C187&lt;&gt;"",OR(NOT(ISNUMBER($C187)),$C187&lt;1,$C187&gt;999,MOD($C187,1)&lt;&gt;0)),"Quantity; ","")&amp;IF($D187="","Recipient Name; ","")&amp;IF(LEN($D187)&gt;35,"Recipient Name; ","")&amp;IF($E187="","Recipient Phone; ","")&amp;IF(AND($E187&lt;&gt;"",OR(LEN($E187)&lt;6,LEN($E187)&gt;20,NOT(IFERROR(ISNUMBER(1*$E187),FALSE())))),"Recipient Phone; ","")&amp;IF(LEN($F187)&gt;35,"Recipient Company Name; ","")&amp;IF($G187="","Address Line 1; ","")&amp;IF(LEN($G187)&gt;35,"Address Line 1; ","")&amp;IF(LEN($H187)&gt;35,"Address Line 2; ","")&amp;IF(LEN($I187)&gt;35,"Address Line 3; ","")&amp;IF($J187="","Town; ","")&amp;IF(LEN($J187)&gt;35,"Town; ","")&amp;IF(AND($N187="IE",$K187=""),"County; ","")&amp;IF(LEN($AB187)&gt;35,"County; ","")&amp;IF(AND($L187="",AND($N187&lt;&gt;"AE",$N187&lt;&gt;"QA")),"Postcode; ","")&amp;IF(LEN($L187)&gt;35,"Postcode; ","")&amp;IF($AE187&lt;&gt;"","Postcode; ","")&amp;IF(LEN($O187)&gt;40,"Gift Message 1; ","")&amp;IF(LEN($P187)&gt;40,"Gift Message 2; ","")&amp;IF(LEN($Q187)&gt;40,"Gift Message 3; ","")&amp;IF(LEN($R187)&gt;40,"Gift Message 4; ","")&amp;IF(LEN($S187)&gt;40,"Gift Message 5; ","")&amp;IF(LEN($T187)&gt;40,"Gift Message 6; ","")&amp;IF(LEN($U187)&gt;40,"Gift Message 7; ",""))</f>
        <v/>
      </c>
      <c r="X187" s="44" t="str">
        <f ca="1">IF(COUNTA($A187,$D187:$M187,$O187:$U187)=0,"",IF($A187="","Enter the Item Code (hamper) - type it, paste it, or choose it from the dropdown. ","")&amp;IF(AND($A187&lt;&gt;"",ISNA(MATCH($AC187,'PRODUCT DATA'!$D$2:$D$394,0))),"This Item Code is not recognised. Check the code (case does not matter, but spelling and digits must match exactly) or choose it from the dropdown. ","")&amp;IF($M187="","Enter the Country after the Item Code - type or paste the name or the 2-letter code, or choose it from the dropdown. ","")&amp;IF(AND($M187&lt;&gt;"",NOT(OR(NOT(ISNA(MATCH(IF(UPPER($M187)="UK","GB",$M187),'PRODUCT DATA'!$A$2:$A$58,0))),NOT(ISNA(MATCH(IF(UPPER($M187)="UK","GB",$M187),'PRODUCT DATA'!$B$2:$B$58,0)))))),"This Country is not recognised as either a full name or a 2-letter code. Check the spelling (case does not matter) or choose it from the dropdown. ","")&amp;IF(AND($A187&lt;&gt;"",$M187&lt;&gt;"",NOT(ISNA(MATCH($AC187,'PRODUCT DATA'!$D$2:$D$394,0))),OR(NOT(ISNA(MATCH(IF(UPPER($M187)="UK","GB",$M187),'PRODUCT DATA'!$A$2:$A$58,0))),NOT(ISNA(MATCH(IF(UPPER($M187)="UK","GB",$M187),'PRODUCT DATA'!$B$2:$B$58,0)))),NOT(IFERROR(COUNTIF(OFFSET('PRODUCT DATA'!$F$2,0,MATCH($AC187,'PRODUCT DATA'!$F$1:$NN$1,0)-1,114,1),$N187)&gt;0,FALSE()))),IF(UPPER(IFERROR(OFFSET('PRODUCT DATA'!$C$2,MATCH($N187,'PRODUCT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"),"")&amp;IF($C187="","Enter Quantity. ","")&amp;IF(AND($C187&lt;&gt;"",OR(NOT(ISNUMBER($C187)),$C187&lt;1,$C187&gt;999,MOD($C187,1)&lt;&gt;0)),"Quantity must be a whole number from 1 to 999 (use a quantity above 1 only for a genuine bulk order of identical items to ONE address — otherwise use a separate row per recipient). ","")&amp;IF($D187="","Enter Recipient Name. ","")&amp;IF(LEN($D187)&gt;35,"Recipient Name exceeds 35 characters. ","")&amp;IF($E187="","Enter Recipient Phone. ","")&amp;IF(AND($E187&lt;&gt;"",OR(LEN($E187)&lt;6,LEN($E187)&gt;20,NOT(IFERROR(ISNUMBER(1*$E187),FALSE())))),"Phone must be the LOCAL number for the destination country: digits only, no +, spaces, or country code, 6 to 20 digits. ","")&amp;IF(LEN($F187)&gt;35,"Recipient Company Name exceeds 35 characters. ","")&amp;IF($G187="","Enter Address Line 1. ","")&amp;IF(LEN($G187)&gt;35,"Address Line 1 exceeds the 35-character SAP limit. ","")&amp;IF(LEN($H187)&gt;35,"Address Line 2 exceeds the 35-character SAP limit. ","")&amp;IF(LEN($I187)&gt;35,"Address Line 3 exceeds the 35-character SAP limit. ","")&amp;IF($J187="","Enter Town. This must never be left blank, even if there is no conventional town name. ","")&amp;IF(LEN($J187)&gt;35,"Town exceeds 35 characters. ","")&amp;IF(AND($N187="IE",$K187=""),"County is required for deliveries within the Republic of Ireland. ","")&amp;IF(LEN($AB187)&gt;35,"County exceeds 35 characters. ","")&amp;IF(AND($L187="",AND($N187&lt;&gt;"AE",$N187&lt;&gt;"QA")),"Postcode is required for the selected country. If there is genuinely no postcode, enter the first 3 characters of the area (e.g. D15). ","")&amp;IF(LEN($L187)&gt;35,"Postcode exceeds 35 characters. ","")&amp;IF($AE187&lt;&gt;"",$AE187,"")&amp;IF(LEN($O187)&gt;40,"Gift Message Line 1 exceeds 40 characters. ","")&amp;IF(LEN($P187)&gt;40,"Gift Message Line 2 exceeds 40 characters. ","")&amp;IF(LEN($Q187)&gt;40,"Gift Message Line 3 exceeds 40 characters. ","")&amp;IF(LEN($R187)&gt;40,"Gift Message Line 4 exceeds 40 characters. ","")&amp;IF(LEN($S187)&gt;40,"Gift Message Line 5 exceeds 40 characters. ","")&amp;IF(LEN($T187)&gt;40,"Gift Message Line 6 exceeds 40 characters. ","")&amp;IF(LEN($U187)&gt;40,"Gift Message Line 7 exceeds 40 characters. ",""))</f>
        <v/>
      </c>
      <c r="Y187" s="44" t="str">
        <f t="shared" si="9"/>
        <v/>
      </c>
      <c r="Z187" s="44"/>
      <c r="AA187" s="44"/>
      <c r="AB187" s="32" t="str">
        <f t="shared" si="10"/>
        <v/>
      </c>
      <c r="AC187" s="32" t="str">
        <f>IF($A187="","",IFERROR(LEFT(INDEX('PRODUCT DATA'!$NO$2:$NO$25,MATCH($A187,'PRODUCT DATA'!$NP$2:$NP$25,0)),FIND("|",INDEX('PRODUCT DATA'!$NO$2:$NO$25,MATCH($A187,'PRODUCT DATA'!$NP$2:$NP$25,0)))-1),$A187))</f>
        <v/>
      </c>
      <c r="AD187" s="45"/>
      <c r="AE187" s="45" t="str">
        <f t="shared" si="11"/>
        <v/>
      </c>
    </row>
    <row r="188" spans="1:31" ht="15" customHeight="1" x14ac:dyDescent="0.25">
      <c r="A188" s="40"/>
      <c r="B188" s="43" t="str">
        <f>IF($A188="","",IFERROR(VLOOKUP($AC188,'PRODUCT DATA'!$NR$2:$NS$374,2,FALSE()),"UNKNOWN ITEM CODE - please check"))</f>
        <v/>
      </c>
      <c r="C188" s="39">
        <v>1</v>
      </c>
      <c r="D188" s="39"/>
      <c r="E188" s="40"/>
      <c r="F188" s="41"/>
      <c r="G188" s="39"/>
      <c r="H188" s="41"/>
      <c r="I188" s="41"/>
      <c r="J188" s="39"/>
      <c r="K188" s="41"/>
      <c r="L188" s="40"/>
      <c r="M188" s="40"/>
      <c r="N188" s="42" t="str">
        <f>IF($M188="","",IFERROR(INDEX('PRODUCT DATA'!$B$2:$B$58,MATCH(IF(UPPER($M188)="UK","GB",$M188),'PRODUCT DATA'!$B$2:$B$58,0)),IFERROR(INDEX('PRODUCT DATA'!$B$2:$B$58,MATCH(IF(UPPER($M188)="UK","GB",$M188),'PRODUCT DATA'!$A$2:$A$58,0)),"UNKNOWN COUNTRY - please check")))</f>
        <v/>
      </c>
      <c r="O188" s="41"/>
      <c r="P188" s="41"/>
      <c r="Q188" s="41"/>
      <c r="R188" s="41"/>
      <c r="S188" s="41"/>
      <c r="T188" s="41"/>
      <c r="U188" s="41"/>
      <c r="V188" s="43" t="str">
        <f t="shared" si="8"/>
        <v/>
      </c>
      <c r="W188" s="44" t="str">
        <f ca="1">IF(COUNTA($A188,$D188:$M188,$O188:$U188)=0,"",IF($A188="","Item Code; ","")&amp;IF(AND($A188&lt;&gt;"",ISNA(MATCH($AC188,'PRODUCT DATA'!$D$2:$D$394,0))),"Item Code; ","")&amp;IF($M188="","Country; ","")&amp;IF(AND($M188&lt;&gt;"",NOT(OR(NOT(ISNA(MATCH(IF(UPPER($M188)="UK","GB",$M188),'PRODUCT DATA'!$A$2:$A$58,0))),NOT(ISNA(MATCH(IF(UPPER($M188)="UK","GB",$M188),'PRODUCT DATA'!$B$2:$B$58,0)))))),"Country; ","")&amp;IF(AND($A188&lt;&gt;"",$M188&lt;&gt;"",NOT(ISNA(MATCH($AC188,'PRODUCT DATA'!$D$2:$D$394,0))),OR(NOT(ISNA(MATCH(IF(UPPER($M188)="UK","GB",$M188),'PRODUCT DATA'!$A$2:$A$58,0))),NOT(ISNA(MATCH(IF(UPPER($M188)="UK","GB",$M188),'PRODUCT DATA'!$B$2:$B$58,0)))),NOT(IFERROR(COUNTIF(OFFSET('PRODUCT DATA'!$F$2,0,MATCH($AC188,'PRODUCT DATA'!$F$1:$NN$1,0)-1,114,1),$N188)&gt;0,FALSE()))),IF(UPPER(IFERROR(OFFSET('PRODUCT DATA'!$C$2,MATCH($N188,'PRODUCT DATA'!$B$2:$B$58,0)-1,0),""))="NO","Alcohol Restriction; ","Item Code / Country combination; "),"")&amp;IF($C188="","Quantity; ","")&amp;IF(AND($C188&lt;&gt;"",OR(NOT(ISNUMBER($C188)),$C188&lt;1,$C188&gt;999,MOD($C188,1)&lt;&gt;0)),"Quantity; ","")&amp;IF($D188="","Recipient Name; ","")&amp;IF(LEN($D188)&gt;35,"Recipient Name; ","")&amp;IF($E188="","Recipient Phone; ","")&amp;IF(AND($E188&lt;&gt;"",OR(LEN($E188)&lt;6,LEN($E188)&gt;20,NOT(IFERROR(ISNUMBER(1*$E188),FALSE())))),"Recipient Phone; ","")&amp;IF(LEN($F188)&gt;35,"Recipient Company Name; ","")&amp;IF($G188="","Address Line 1; ","")&amp;IF(LEN($G188)&gt;35,"Address Line 1; ","")&amp;IF(LEN($H188)&gt;35,"Address Line 2; ","")&amp;IF(LEN($I188)&gt;35,"Address Line 3; ","")&amp;IF($J188="","Town; ","")&amp;IF(LEN($J188)&gt;35,"Town; ","")&amp;IF(AND($N188="IE",$K188=""),"County; ","")&amp;IF(LEN($AB188)&gt;35,"County; ","")&amp;IF(AND($L188="",AND($N188&lt;&gt;"AE",$N188&lt;&gt;"QA")),"Postcode; ","")&amp;IF(LEN($L188)&gt;35,"Postcode; ","")&amp;IF($AE188&lt;&gt;"","Postcode; ","")&amp;IF(LEN($O188)&gt;40,"Gift Message 1; ","")&amp;IF(LEN($P188)&gt;40,"Gift Message 2; ","")&amp;IF(LEN($Q188)&gt;40,"Gift Message 3; ","")&amp;IF(LEN($R188)&gt;40,"Gift Message 4; ","")&amp;IF(LEN($S188)&gt;40,"Gift Message 5; ","")&amp;IF(LEN($T188)&gt;40,"Gift Message 6; ","")&amp;IF(LEN($U188)&gt;40,"Gift Message 7; ",""))</f>
        <v/>
      </c>
      <c r="X188" s="44" t="str">
        <f ca="1">IF(COUNTA($A188,$D188:$M188,$O188:$U188)=0,"",IF($A188="","Enter the Item Code (hamper) - type it, paste it, or choose it from the dropdown. ","")&amp;IF(AND($A188&lt;&gt;"",ISNA(MATCH($AC188,'PRODUCT DATA'!$D$2:$D$394,0))),"This Item Code is not recognised. Check the code (case does not matter, but spelling and digits must match exactly) or choose it from the dropdown. ","")&amp;IF($M188="","Enter the Country after the Item Code - type or paste the name or the 2-letter code, or choose it from the dropdown. ","")&amp;IF(AND($M188&lt;&gt;"",NOT(OR(NOT(ISNA(MATCH(IF(UPPER($M188)="UK","GB",$M188),'PRODUCT DATA'!$A$2:$A$58,0))),NOT(ISNA(MATCH(IF(UPPER($M188)="UK","GB",$M188),'PRODUCT DATA'!$B$2:$B$58,0)))))),"This Country is not recognised as either a full name or a 2-letter code. Check the spelling (case does not matter) or choose it from the dropdown. ","")&amp;IF(AND($A188&lt;&gt;"",$M188&lt;&gt;"",NOT(ISNA(MATCH($AC188,'PRODUCT DATA'!$D$2:$D$394,0))),OR(NOT(ISNA(MATCH(IF(UPPER($M188)="UK","GB",$M188),'PRODUCT DATA'!$A$2:$A$58,0))),NOT(ISNA(MATCH(IF(UPPER($M188)="UK","GB",$M188),'PRODUCT DATA'!$B$2:$B$58,0)))),NOT(IFERROR(COUNTIF(OFFSET('PRODUCT DATA'!$F$2,0,MATCH($AC188,'PRODUCT DATA'!$F$1:$NN$1,0)-1,114,1),$N188)&gt;0,FALSE()))),IF(UPPER(IFERROR(OFFSET('PRODUCT DATA'!$C$2,MATCH($N188,'PRODUCT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"),"")&amp;IF($C188="","Enter Quantity. ","")&amp;IF(AND($C188&lt;&gt;"",OR(NOT(ISNUMBER($C188)),$C188&lt;1,$C188&gt;999,MOD($C188,1)&lt;&gt;0)),"Quantity must be a whole number from 1 to 999 (use a quantity above 1 only for a genuine bulk order of identical items to ONE address — otherwise use a separate row per recipient). ","")&amp;IF($D188="","Enter Recipient Name. ","")&amp;IF(LEN($D188)&gt;35,"Recipient Name exceeds 35 characters. ","")&amp;IF($E188="","Enter Recipient Phone. ","")&amp;IF(AND($E188&lt;&gt;"",OR(LEN($E188)&lt;6,LEN($E188)&gt;20,NOT(IFERROR(ISNUMBER(1*$E188),FALSE())))),"Phone must be the LOCAL number for the destination country: digits only, no +, spaces, or country code, 6 to 20 digits. ","")&amp;IF(LEN($F188)&gt;35,"Recipient Company Name exceeds 35 characters. ","")&amp;IF($G188="","Enter Address Line 1. ","")&amp;IF(LEN($G188)&gt;35,"Address Line 1 exceeds the 35-character SAP limit. ","")&amp;IF(LEN($H188)&gt;35,"Address Line 2 exceeds the 35-character SAP limit. ","")&amp;IF(LEN($I188)&gt;35,"Address Line 3 exceeds the 35-character SAP limit. ","")&amp;IF($J188="","Enter Town. This must never be left blank, even if there is no conventional town name. ","")&amp;IF(LEN($J188)&gt;35,"Town exceeds 35 characters. ","")&amp;IF(AND($N188="IE",$K188=""),"County is required for deliveries within the Republic of Ireland. ","")&amp;IF(LEN($AB188)&gt;35,"County exceeds 35 characters. ","")&amp;IF(AND($L188="",AND($N188&lt;&gt;"AE",$N188&lt;&gt;"QA")),"Postcode is required for the selected country. If there is genuinely no postcode, enter the first 3 characters of the area (e.g. D15). ","")&amp;IF(LEN($L188)&gt;35,"Postcode exceeds 35 characters. ","")&amp;IF($AE188&lt;&gt;"",$AE188,"")&amp;IF(LEN($O188)&gt;40,"Gift Message Line 1 exceeds 40 characters. ","")&amp;IF(LEN($P188)&gt;40,"Gift Message Line 2 exceeds 40 characters. ","")&amp;IF(LEN($Q188)&gt;40,"Gift Message Line 3 exceeds 40 characters. ","")&amp;IF(LEN($R188)&gt;40,"Gift Message Line 4 exceeds 40 characters. ","")&amp;IF(LEN($S188)&gt;40,"Gift Message Line 5 exceeds 40 characters. ","")&amp;IF(LEN($T188)&gt;40,"Gift Message Line 6 exceeds 40 characters. ","")&amp;IF(LEN($U188)&gt;40,"Gift Message Line 7 exceeds 40 characters. ",""))</f>
        <v/>
      </c>
      <c r="Y188" s="44" t="str">
        <f t="shared" si="9"/>
        <v/>
      </c>
      <c r="Z188" s="44"/>
      <c r="AA188" s="44"/>
      <c r="AB188" s="32" t="str">
        <f t="shared" si="10"/>
        <v/>
      </c>
      <c r="AC188" s="32" t="str">
        <f>IF($A188="","",IFERROR(LEFT(INDEX('PRODUCT DATA'!$NO$2:$NO$25,MATCH($A188,'PRODUCT DATA'!$NP$2:$NP$25,0)),FIND("|",INDEX('PRODUCT DATA'!$NO$2:$NO$25,MATCH($A188,'PRODUCT DATA'!$NP$2:$NP$25,0)))-1),$A188))</f>
        <v/>
      </c>
      <c r="AD188" s="45"/>
      <c r="AE188" s="45" t="str">
        <f t="shared" si="11"/>
        <v/>
      </c>
    </row>
    <row r="189" spans="1:31" ht="15" customHeight="1" x14ac:dyDescent="0.25">
      <c r="A189" s="40"/>
      <c r="B189" s="43" t="str">
        <f>IF($A189="","",IFERROR(VLOOKUP($AC189,'PRODUCT DATA'!$NR$2:$NS$374,2,FALSE()),"UNKNOWN ITEM CODE - please check"))</f>
        <v/>
      </c>
      <c r="C189" s="39">
        <v>1</v>
      </c>
      <c r="D189" s="39"/>
      <c r="E189" s="40"/>
      <c r="F189" s="41"/>
      <c r="G189" s="39"/>
      <c r="H189" s="41"/>
      <c r="I189" s="41"/>
      <c r="J189" s="39"/>
      <c r="K189" s="41"/>
      <c r="L189" s="40"/>
      <c r="M189" s="40"/>
      <c r="N189" s="42" t="str">
        <f>IF($M189="","",IFERROR(INDEX('PRODUCT DATA'!$B$2:$B$58,MATCH(IF(UPPER($M189)="UK","GB",$M189),'PRODUCT DATA'!$B$2:$B$58,0)),IFERROR(INDEX('PRODUCT DATA'!$B$2:$B$58,MATCH(IF(UPPER($M189)="UK","GB",$M189),'PRODUCT DATA'!$A$2:$A$58,0)),"UNKNOWN COUNTRY - please check")))</f>
        <v/>
      </c>
      <c r="O189" s="41"/>
      <c r="P189" s="41"/>
      <c r="Q189" s="41"/>
      <c r="R189" s="41"/>
      <c r="S189" s="41"/>
      <c r="T189" s="41"/>
      <c r="U189" s="41"/>
      <c r="V189" s="43" t="str">
        <f t="shared" si="8"/>
        <v/>
      </c>
      <c r="W189" s="44" t="str">
        <f ca="1">IF(COUNTA($A189,$D189:$M189,$O189:$U189)=0,"",IF($A189="","Item Code; ","")&amp;IF(AND($A189&lt;&gt;"",ISNA(MATCH($AC189,'PRODUCT DATA'!$D$2:$D$394,0))),"Item Code; ","")&amp;IF($M189="","Country; ","")&amp;IF(AND($M189&lt;&gt;"",NOT(OR(NOT(ISNA(MATCH(IF(UPPER($M189)="UK","GB",$M189),'PRODUCT DATA'!$A$2:$A$58,0))),NOT(ISNA(MATCH(IF(UPPER($M189)="UK","GB",$M189),'PRODUCT DATA'!$B$2:$B$58,0)))))),"Country; ","")&amp;IF(AND($A189&lt;&gt;"",$M189&lt;&gt;"",NOT(ISNA(MATCH($AC189,'PRODUCT DATA'!$D$2:$D$394,0))),OR(NOT(ISNA(MATCH(IF(UPPER($M189)="UK","GB",$M189),'PRODUCT DATA'!$A$2:$A$58,0))),NOT(ISNA(MATCH(IF(UPPER($M189)="UK","GB",$M189),'PRODUCT DATA'!$B$2:$B$58,0)))),NOT(IFERROR(COUNTIF(OFFSET('PRODUCT DATA'!$F$2,0,MATCH($AC189,'PRODUCT DATA'!$F$1:$NN$1,0)-1,114,1),$N189)&gt;0,FALSE()))),IF(UPPER(IFERROR(OFFSET('PRODUCT DATA'!$C$2,MATCH($N189,'PRODUCT DATA'!$B$2:$B$58,0)-1,0),""))="NO","Alcohol Restriction; ","Item Code / Country combination; "),"")&amp;IF($C189="","Quantity; ","")&amp;IF(AND($C189&lt;&gt;"",OR(NOT(ISNUMBER($C189)),$C189&lt;1,$C189&gt;999,MOD($C189,1)&lt;&gt;0)),"Quantity; ","")&amp;IF($D189="","Recipient Name; ","")&amp;IF(LEN($D189)&gt;35,"Recipient Name; ","")&amp;IF($E189="","Recipient Phone; ","")&amp;IF(AND($E189&lt;&gt;"",OR(LEN($E189)&lt;6,LEN($E189)&gt;20,NOT(IFERROR(ISNUMBER(1*$E189),FALSE())))),"Recipient Phone; ","")&amp;IF(LEN($F189)&gt;35,"Recipient Company Name; ","")&amp;IF($G189="","Address Line 1; ","")&amp;IF(LEN($G189)&gt;35,"Address Line 1; ","")&amp;IF(LEN($H189)&gt;35,"Address Line 2; ","")&amp;IF(LEN($I189)&gt;35,"Address Line 3; ","")&amp;IF($J189="","Town; ","")&amp;IF(LEN($J189)&gt;35,"Town; ","")&amp;IF(AND($N189="IE",$K189=""),"County; ","")&amp;IF(LEN($AB189)&gt;35,"County; ","")&amp;IF(AND($L189="",AND($N189&lt;&gt;"AE",$N189&lt;&gt;"QA")),"Postcode; ","")&amp;IF(LEN($L189)&gt;35,"Postcode; ","")&amp;IF($AE189&lt;&gt;"","Postcode; ","")&amp;IF(LEN($O189)&gt;40,"Gift Message 1; ","")&amp;IF(LEN($P189)&gt;40,"Gift Message 2; ","")&amp;IF(LEN($Q189)&gt;40,"Gift Message 3; ","")&amp;IF(LEN($R189)&gt;40,"Gift Message 4; ","")&amp;IF(LEN($S189)&gt;40,"Gift Message 5; ","")&amp;IF(LEN($T189)&gt;40,"Gift Message 6; ","")&amp;IF(LEN($U189)&gt;40,"Gift Message 7; ",""))</f>
        <v/>
      </c>
      <c r="X189" s="44" t="str">
        <f ca="1">IF(COUNTA($A189,$D189:$M189,$O189:$U189)=0,"",IF($A189="","Enter the Item Code (hamper) - type it, paste it, or choose it from the dropdown. ","")&amp;IF(AND($A189&lt;&gt;"",ISNA(MATCH($AC189,'PRODUCT DATA'!$D$2:$D$394,0))),"This Item Code is not recognised. Check the code (case does not matter, but spelling and digits must match exactly) or choose it from the dropdown. ","")&amp;IF($M189="","Enter the Country after the Item Code - type or paste the name or the 2-letter code, or choose it from the dropdown. ","")&amp;IF(AND($M189&lt;&gt;"",NOT(OR(NOT(ISNA(MATCH(IF(UPPER($M189)="UK","GB",$M189),'PRODUCT DATA'!$A$2:$A$58,0))),NOT(ISNA(MATCH(IF(UPPER($M189)="UK","GB",$M189),'PRODUCT DATA'!$B$2:$B$58,0)))))),"This Country is not recognised as either a full name or a 2-letter code. Check the spelling (case does not matter) or choose it from the dropdown. ","")&amp;IF(AND($A189&lt;&gt;"",$M189&lt;&gt;"",NOT(ISNA(MATCH($AC189,'PRODUCT DATA'!$D$2:$D$394,0))),OR(NOT(ISNA(MATCH(IF(UPPER($M189)="UK","GB",$M189),'PRODUCT DATA'!$A$2:$A$58,0))),NOT(ISNA(MATCH(IF(UPPER($M189)="UK","GB",$M189),'PRODUCT DATA'!$B$2:$B$58,0)))),NOT(IFERROR(COUNTIF(OFFSET('PRODUCT DATA'!$F$2,0,MATCH($AC189,'PRODUCT DATA'!$F$1:$NN$1,0)-1,114,1),$N189)&gt;0,FALSE()))),IF(UPPER(IFERROR(OFFSET('PRODUCT DATA'!$C$2,MATCH($N189,'PRODUCT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"),"")&amp;IF($C189="","Enter Quantity. ","")&amp;IF(AND($C189&lt;&gt;"",OR(NOT(ISNUMBER($C189)),$C189&lt;1,$C189&gt;999,MOD($C189,1)&lt;&gt;0)),"Quantity must be a whole number from 1 to 999 (use a quantity above 1 only for a genuine bulk order of identical items to ONE address — otherwise use a separate row per recipient). ","")&amp;IF($D189="","Enter Recipient Name. ","")&amp;IF(LEN($D189)&gt;35,"Recipient Name exceeds 35 characters. ","")&amp;IF($E189="","Enter Recipient Phone. ","")&amp;IF(AND($E189&lt;&gt;"",OR(LEN($E189)&lt;6,LEN($E189)&gt;20,NOT(IFERROR(ISNUMBER(1*$E189),FALSE())))),"Phone must be the LOCAL number for the destination country: digits only, no +, spaces, or country code, 6 to 20 digits. ","")&amp;IF(LEN($F189)&gt;35,"Recipient Company Name exceeds 35 characters. ","")&amp;IF($G189="","Enter Address Line 1. ","")&amp;IF(LEN($G189)&gt;35,"Address Line 1 exceeds the 35-character SAP limit. ","")&amp;IF(LEN($H189)&gt;35,"Address Line 2 exceeds the 35-character SAP limit. ","")&amp;IF(LEN($I189)&gt;35,"Address Line 3 exceeds the 35-character SAP limit. ","")&amp;IF($J189="","Enter Town. This must never be left blank, even if there is no conventional town name. ","")&amp;IF(LEN($J189)&gt;35,"Town exceeds 35 characters. ","")&amp;IF(AND($N189="IE",$K189=""),"County is required for deliveries within the Republic of Ireland. ","")&amp;IF(LEN($AB189)&gt;35,"County exceeds 35 characters. ","")&amp;IF(AND($L189="",AND($N189&lt;&gt;"AE",$N189&lt;&gt;"QA")),"Postcode is required for the selected country. If there is genuinely no postcode, enter the first 3 characters of the area (e.g. D15). ","")&amp;IF(LEN($L189)&gt;35,"Postcode exceeds 35 characters. ","")&amp;IF($AE189&lt;&gt;"",$AE189,"")&amp;IF(LEN($O189)&gt;40,"Gift Message Line 1 exceeds 40 characters. ","")&amp;IF(LEN($P189)&gt;40,"Gift Message Line 2 exceeds 40 characters. ","")&amp;IF(LEN($Q189)&gt;40,"Gift Message Line 3 exceeds 40 characters. ","")&amp;IF(LEN($R189)&gt;40,"Gift Message Line 4 exceeds 40 characters. ","")&amp;IF(LEN($S189)&gt;40,"Gift Message Line 5 exceeds 40 characters. ","")&amp;IF(LEN($T189)&gt;40,"Gift Message Line 6 exceeds 40 characters. ","")&amp;IF(LEN($U189)&gt;40,"Gift Message Line 7 exceeds 40 characters. ",""))</f>
        <v/>
      </c>
      <c r="Y189" s="44" t="str">
        <f t="shared" si="9"/>
        <v/>
      </c>
      <c r="Z189" s="44"/>
      <c r="AA189" s="44"/>
      <c r="AB189" s="32" t="str">
        <f t="shared" si="10"/>
        <v/>
      </c>
      <c r="AC189" s="32" t="str">
        <f>IF($A189="","",IFERROR(LEFT(INDEX('PRODUCT DATA'!$NO$2:$NO$25,MATCH($A189,'PRODUCT DATA'!$NP$2:$NP$25,0)),FIND("|",INDEX('PRODUCT DATA'!$NO$2:$NO$25,MATCH($A189,'PRODUCT DATA'!$NP$2:$NP$25,0)))-1),$A189))</f>
        <v/>
      </c>
      <c r="AD189" s="45"/>
      <c r="AE189" s="45" t="str">
        <f t="shared" si="11"/>
        <v/>
      </c>
    </row>
    <row r="190" spans="1:31" ht="15" customHeight="1" x14ac:dyDescent="0.25">
      <c r="A190" s="40"/>
      <c r="B190" s="43" t="str">
        <f>IF($A190="","",IFERROR(VLOOKUP($AC190,'PRODUCT DATA'!$NR$2:$NS$374,2,FALSE()),"UNKNOWN ITEM CODE - please check"))</f>
        <v/>
      </c>
      <c r="C190" s="39">
        <v>1</v>
      </c>
      <c r="D190" s="39"/>
      <c r="E190" s="40"/>
      <c r="F190" s="41"/>
      <c r="G190" s="39"/>
      <c r="H190" s="41"/>
      <c r="I190" s="41"/>
      <c r="J190" s="39"/>
      <c r="K190" s="41"/>
      <c r="L190" s="40"/>
      <c r="M190" s="40"/>
      <c r="N190" s="42" t="str">
        <f>IF($M190="","",IFERROR(INDEX('PRODUCT DATA'!$B$2:$B$58,MATCH(IF(UPPER($M190)="UK","GB",$M190),'PRODUCT DATA'!$B$2:$B$58,0)),IFERROR(INDEX('PRODUCT DATA'!$B$2:$B$58,MATCH(IF(UPPER($M190)="UK","GB",$M190),'PRODUCT DATA'!$A$2:$A$58,0)),"UNKNOWN COUNTRY - please check")))</f>
        <v/>
      </c>
      <c r="O190" s="41"/>
      <c r="P190" s="41"/>
      <c r="Q190" s="41"/>
      <c r="R190" s="41"/>
      <c r="S190" s="41"/>
      <c r="T190" s="41"/>
      <c r="U190" s="41"/>
      <c r="V190" s="43" t="str">
        <f t="shared" si="8"/>
        <v/>
      </c>
      <c r="W190" s="44" t="str">
        <f ca="1">IF(COUNTA($A190,$D190:$M190,$O190:$U190)=0,"",IF($A190="","Item Code; ","")&amp;IF(AND($A190&lt;&gt;"",ISNA(MATCH($AC190,'PRODUCT DATA'!$D$2:$D$394,0))),"Item Code; ","")&amp;IF($M190="","Country; ","")&amp;IF(AND($M190&lt;&gt;"",NOT(OR(NOT(ISNA(MATCH(IF(UPPER($M190)="UK","GB",$M190),'PRODUCT DATA'!$A$2:$A$58,0))),NOT(ISNA(MATCH(IF(UPPER($M190)="UK","GB",$M190),'PRODUCT DATA'!$B$2:$B$58,0)))))),"Country; ","")&amp;IF(AND($A190&lt;&gt;"",$M190&lt;&gt;"",NOT(ISNA(MATCH($AC190,'PRODUCT DATA'!$D$2:$D$394,0))),OR(NOT(ISNA(MATCH(IF(UPPER($M190)="UK","GB",$M190),'PRODUCT DATA'!$A$2:$A$58,0))),NOT(ISNA(MATCH(IF(UPPER($M190)="UK","GB",$M190),'PRODUCT DATA'!$B$2:$B$58,0)))),NOT(IFERROR(COUNTIF(OFFSET('PRODUCT DATA'!$F$2,0,MATCH($AC190,'PRODUCT DATA'!$F$1:$NN$1,0)-1,114,1),$N190)&gt;0,FALSE()))),IF(UPPER(IFERROR(OFFSET('PRODUCT DATA'!$C$2,MATCH($N190,'PRODUCT DATA'!$B$2:$B$58,0)-1,0),""))="NO","Alcohol Restriction; ","Item Code / Country combination; "),"")&amp;IF($C190="","Quantity; ","")&amp;IF(AND($C190&lt;&gt;"",OR(NOT(ISNUMBER($C190)),$C190&lt;1,$C190&gt;999,MOD($C190,1)&lt;&gt;0)),"Quantity; ","")&amp;IF($D190="","Recipient Name; ","")&amp;IF(LEN($D190)&gt;35,"Recipient Name; ","")&amp;IF($E190="","Recipient Phone; ","")&amp;IF(AND($E190&lt;&gt;"",OR(LEN($E190)&lt;6,LEN($E190)&gt;20,NOT(IFERROR(ISNUMBER(1*$E190),FALSE())))),"Recipient Phone; ","")&amp;IF(LEN($F190)&gt;35,"Recipient Company Name; ","")&amp;IF($G190="","Address Line 1; ","")&amp;IF(LEN($G190)&gt;35,"Address Line 1; ","")&amp;IF(LEN($H190)&gt;35,"Address Line 2; ","")&amp;IF(LEN($I190)&gt;35,"Address Line 3; ","")&amp;IF($J190="","Town; ","")&amp;IF(LEN($J190)&gt;35,"Town; ","")&amp;IF(AND($N190="IE",$K190=""),"County; ","")&amp;IF(LEN($AB190)&gt;35,"County; ","")&amp;IF(AND($L190="",AND($N190&lt;&gt;"AE",$N190&lt;&gt;"QA")),"Postcode; ","")&amp;IF(LEN($L190)&gt;35,"Postcode; ","")&amp;IF($AE190&lt;&gt;"","Postcode; ","")&amp;IF(LEN($O190)&gt;40,"Gift Message 1; ","")&amp;IF(LEN($P190)&gt;40,"Gift Message 2; ","")&amp;IF(LEN($Q190)&gt;40,"Gift Message 3; ","")&amp;IF(LEN($R190)&gt;40,"Gift Message 4; ","")&amp;IF(LEN($S190)&gt;40,"Gift Message 5; ","")&amp;IF(LEN($T190)&gt;40,"Gift Message 6; ","")&amp;IF(LEN($U190)&gt;40,"Gift Message 7; ",""))</f>
        <v/>
      </c>
      <c r="X190" s="44" t="str">
        <f ca="1">IF(COUNTA($A190,$D190:$M190,$O190:$U190)=0,"",IF($A190="","Enter the Item Code (hamper) - type it, paste it, or choose it from the dropdown. ","")&amp;IF(AND($A190&lt;&gt;"",ISNA(MATCH($AC190,'PRODUCT DATA'!$D$2:$D$394,0))),"This Item Code is not recognised. Check the code (case does not matter, but spelling and digits must match exactly) or choose it from the dropdown. ","")&amp;IF($M190="","Enter the Country after the Item Code - type or paste the name or the 2-letter code, or choose it from the dropdown. ","")&amp;IF(AND($M190&lt;&gt;"",NOT(OR(NOT(ISNA(MATCH(IF(UPPER($M190)="UK","GB",$M190),'PRODUCT DATA'!$A$2:$A$58,0))),NOT(ISNA(MATCH(IF(UPPER($M190)="UK","GB",$M190),'PRODUCT DATA'!$B$2:$B$58,0)))))),"This Country is not recognised as either a full name or a 2-letter code. Check the spelling (case does not matter) or choose it from the dropdown. ","")&amp;IF(AND($A190&lt;&gt;"",$M190&lt;&gt;"",NOT(ISNA(MATCH($AC190,'PRODUCT DATA'!$D$2:$D$394,0))),OR(NOT(ISNA(MATCH(IF(UPPER($M190)="UK","GB",$M190),'PRODUCT DATA'!$A$2:$A$58,0))),NOT(ISNA(MATCH(IF(UPPER($M190)="UK","GB",$M190),'PRODUCT DATA'!$B$2:$B$58,0)))),NOT(IFERROR(COUNTIF(OFFSET('PRODUCT DATA'!$F$2,0,MATCH($AC190,'PRODUCT DATA'!$F$1:$NN$1,0)-1,114,1),$N190)&gt;0,FALSE()))),IF(UPPER(IFERROR(OFFSET('PRODUCT DATA'!$C$2,MATCH($N190,'PRODUCT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"),"")&amp;IF($C190="","Enter Quantity. ","")&amp;IF(AND($C190&lt;&gt;"",OR(NOT(ISNUMBER($C190)),$C190&lt;1,$C190&gt;999,MOD($C190,1)&lt;&gt;0)),"Quantity must be a whole number from 1 to 999 (use a quantity above 1 only for a genuine bulk order of identical items to ONE address — otherwise use a separate row per recipient). ","")&amp;IF($D190="","Enter Recipient Name. ","")&amp;IF(LEN($D190)&gt;35,"Recipient Name exceeds 35 characters. ","")&amp;IF($E190="","Enter Recipient Phone. ","")&amp;IF(AND($E190&lt;&gt;"",OR(LEN($E190)&lt;6,LEN($E190)&gt;20,NOT(IFERROR(ISNUMBER(1*$E190),FALSE())))),"Phone must be the LOCAL number for the destination country: digits only, no +, spaces, or country code, 6 to 20 digits. ","")&amp;IF(LEN($F190)&gt;35,"Recipient Company Name exceeds 35 characters. ","")&amp;IF($G190="","Enter Address Line 1. ","")&amp;IF(LEN($G190)&gt;35,"Address Line 1 exceeds the 35-character SAP limit. ","")&amp;IF(LEN($H190)&gt;35,"Address Line 2 exceeds the 35-character SAP limit. ","")&amp;IF(LEN($I190)&gt;35,"Address Line 3 exceeds the 35-character SAP limit. ","")&amp;IF($J190="","Enter Town. This must never be left blank, even if there is no conventional town name. ","")&amp;IF(LEN($J190)&gt;35,"Town exceeds 35 characters. ","")&amp;IF(AND($N190="IE",$K190=""),"County is required for deliveries within the Republic of Ireland. ","")&amp;IF(LEN($AB190)&gt;35,"County exceeds 35 characters. ","")&amp;IF(AND($L190="",AND($N190&lt;&gt;"AE",$N190&lt;&gt;"QA")),"Postcode is required for the selected country. If there is genuinely no postcode, enter the first 3 characters of the area (e.g. D15). ","")&amp;IF(LEN($L190)&gt;35,"Postcode exceeds 35 characters. ","")&amp;IF($AE190&lt;&gt;"",$AE190,"")&amp;IF(LEN($O190)&gt;40,"Gift Message Line 1 exceeds 40 characters. ","")&amp;IF(LEN($P190)&gt;40,"Gift Message Line 2 exceeds 40 characters. ","")&amp;IF(LEN($Q190)&gt;40,"Gift Message Line 3 exceeds 40 characters. ","")&amp;IF(LEN($R190)&gt;40,"Gift Message Line 4 exceeds 40 characters. ","")&amp;IF(LEN($S190)&gt;40,"Gift Message Line 5 exceeds 40 characters. ","")&amp;IF(LEN($T190)&gt;40,"Gift Message Line 6 exceeds 40 characters. ","")&amp;IF(LEN($U190)&gt;40,"Gift Message Line 7 exceeds 40 characters. ",""))</f>
        <v/>
      </c>
      <c r="Y190" s="44" t="str">
        <f t="shared" si="9"/>
        <v/>
      </c>
      <c r="Z190" s="44"/>
      <c r="AA190" s="44"/>
      <c r="AB190" s="32" t="str">
        <f t="shared" si="10"/>
        <v/>
      </c>
      <c r="AC190" s="32" t="str">
        <f>IF($A190="","",IFERROR(LEFT(INDEX('PRODUCT DATA'!$NO$2:$NO$25,MATCH($A190,'PRODUCT DATA'!$NP$2:$NP$25,0)),FIND("|",INDEX('PRODUCT DATA'!$NO$2:$NO$25,MATCH($A190,'PRODUCT DATA'!$NP$2:$NP$25,0)))-1),$A190))</f>
        <v/>
      </c>
      <c r="AD190" s="45"/>
      <c r="AE190" s="45" t="str">
        <f t="shared" si="11"/>
        <v/>
      </c>
    </row>
    <row r="191" spans="1:31" ht="15" customHeight="1" x14ac:dyDescent="0.25">
      <c r="A191" s="40"/>
      <c r="B191" s="43" t="str">
        <f>IF($A191="","",IFERROR(VLOOKUP($AC191,'PRODUCT DATA'!$NR$2:$NS$374,2,FALSE()),"UNKNOWN ITEM CODE - please check"))</f>
        <v/>
      </c>
      <c r="C191" s="39">
        <v>1</v>
      </c>
      <c r="D191" s="39"/>
      <c r="E191" s="40"/>
      <c r="F191" s="41"/>
      <c r="G191" s="39"/>
      <c r="H191" s="41"/>
      <c r="I191" s="41"/>
      <c r="J191" s="39"/>
      <c r="K191" s="41"/>
      <c r="L191" s="40"/>
      <c r="M191" s="40"/>
      <c r="N191" s="42" t="str">
        <f>IF($M191="","",IFERROR(INDEX('PRODUCT DATA'!$B$2:$B$58,MATCH(IF(UPPER($M191)="UK","GB",$M191),'PRODUCT DATA'!$B$2:$B$58,0)),IFERROR(INDEX('PRODUCT DATA'!$B$2:$B$58,MATCH(IF(UPPER($M191)="UK","GB",$M191),'PRODUCT DATA'!$A$2:$A$58,0)),"UNKNOWN COUNTRY - please check")))</f>
        <v/>
      </c>
      <c r="O191" s="41"/>
      <c r="P191" s="41"/>
      <c r="Q191" s="41"/>
      <c r="R191" s="41"/>
      <c r="S191" s="41"/>
      <c r="T191" s="41"/>
      <c r="U191" s="41"/>
      <c r="V191" s="43" t="str">
        <f t="shared" si="8"/>
        <v/>
      </c>
      <c r="W191" s="44" t="str">
        <f ca="1">IF(COUNTA($A191,$D191:$M191,$O191:$U191)=0,"",IF($A191="","Item Code; ","")&amp;IF(AND($A191&lt;&gt;"",ISNA(MATCH($AC191,'PRODUCT DATA'!$D$2:$D$394,0))),"Item Code; ","")&amp;IF($M191="","Country; ","")&amp;IF(AND($M191&lt;&gt;"",NOT(OR(NOT(ISNA(MATCH(IF(UPPER($M191)="UK","GB",$M191),'PRODUCT DATA'!$A$2:$A$58,0))),NOT(ISNA(MATCH(IF(UPPER($M191)="UK","GB",$M191),'PRODUCT DATA'!$B$2:$B$58,0)))))),"Country; ","")&amp;IF(AND($A191&lt;&gt;"",$M191&lt;&gt;"",NOT(ISNA(MATCH($AC191,'PRODUCT DATA'!$D$2:$D$394,0))),OR(NOT(ISNA(MATCH(IF(UPPER($M191)="UK","GB",$M191),'PRODUCT DATA'!$A$2:$A$58,0))),NOT(ISNA(MATCH(IF(UPPER($M191)="UK","GB",$M191),'PRODUCT DATA'!$B$2:$B$58,0)))),NOT(IFERROR(COUNTIF(OFFSET('PRODUCT DATA'!$F$2,0,MATCH($AC191,'PRODUCT DATA'!$F$1:$NN$1,0)-1,114,1),$N191)&gt;0,FALSE()))),IF(UPPER(IFERROR(OFFSET('PRODUCT DATA'!$C$2,MATCH($N191,'PRODUCT DATA'!$B$2:$B$58,0)-1,0),""))="NO","Alcohol Restriction; ","Item Code / Country combination; "),"")&amp;IF($C191="","Quantity; ","")&amp;IF(AND($C191&lt;&gt;"",OR(NOT(ISNUMBER($C191)),$C191&lt;1,$C191&gt;999,MOD($C191,1)&lt;&gt;0)),"Quantity; ","")&amp;IF($D191="","Recipient Name; ","")&amp;IF(LEN($D191)&gt;35,"Recipient Name; ","")&amp;IF($E191="","Recipient Phone; ","")&amp;IF(AND($E191&lt;&gt;"",OR(LEN($E191)&lt;6,LEN($E191)&gt;20,NOT(IFERROR(ISNUMBER(1*$E191),FALSE())))),"Recipient Phone; ","")&amp;IF(LEN($F191)&gt;35,"Recipient Company Name; ","")&amp;IF($G191="","Address Line 1; ","")&amp;IF(LEN($G191)&gt;35,"Address Line 1; ","")&amp;IF(LEN($H191)&gt;35,"Address Line 2; ","")&amp;IF(LEN($I191)&gt;35,"Address Line 3; ","")&amp;IF($J191="","Town; ","")&amp;IF(LEN($J191)&gt;35,"Town; ","")&amp;IF(AND($N191="IE",$K191=""),"County; ","")&amp;IF(LEN($AB191)&gt;35,"County; ","")&amp;IF(AND($L191="",AND($N191&lt;&gt;"AE",$N191&lt;&gt;"QA")),"Postcode; ","")&amp;IF(LEN($L191)&gt;35,"Postcode; ","")&amp;IF($AE191&lt;&gt;"","Postcode; ","")&amp;IF(LEN($O191)&gt;40,"Gift Message 1; ","")&amp;IF(LEN($P191)&gt;40,"Gift Message 2; ","")&amp;IF(LEN($Q191)&gt;40,"Gift Message 3; ","")&amp;IF(LEN($R191)&gt;40,"Gift Message 4; ","")&amp;IF(LEN($S191)&gt;40,"Gift Message 5; ","")&amp;IF(LEN($T191)&gt;40,"Gift Message 6; ","")&amp;IF(LEN($U191)&gt;40,"Gift Message 7; ",""))</f>
        <v/>
      </c>
      <c r="X191" s="44" t="str">
        <f ca="1">IF(COUNTA($A191,$D191:$M191,$O191:$U191)=0,"",IF($A191="","Enter the Item Code (hamper) - type it, paste it, or choose it from the dropdown. ","")&amp;IF(AND($A191&lt;&gt;"",ISNA(MATCH($AC191,'PRODUCT DATA'!$D$2:$D$394,0))),"This Item Code is not recognised. Check the code (case does not matter, but spelling and digits must match exactly) or choose it from the dropdown. ","")&amp;IF($M191="","Enter the Country after the Item Code - type or paste the name or the 2-letter code, or choose it from the dropdown. ","")&amp;IF(AND($M191&lt;&gt;"",NOT(OR(NOT(ISNA(MATCH(IF(UPPER($M191)="UK","GB",$M191),'PRODUCT DATA'!$A$2:$A$58,0))),NOT(ISNA(MATCH(IF(UPPER($M191)="UK","GB",$M191),'PRODUCT DATA'!$B$2:$B$58,0)))))),"This Country is not recognised as either a full name or a 2-letter code. Check the spelling (case does not matter) or choose it from the dropdown. ","")&amp;IF(AND($A191&lt;&gt;"",$M191&lt;&gt;"",NOT(ISNA(MATCH($AC191,'PRODUCT DATA'!$D$2:$D$394,0))),OR(NOT(ISNA(MATCH(IF(UPPER($M191)="UK","GB",$M191),'PRODUCT DATA'!$A$2:$A$58,0))),NOT(ISNA(MATCH(IF(UPPER($M191)="UK","GB",$M191),'PRODUCT DATA'!$B$2:$B$58,0)))),NOT(IFERROR(COUNTIF(OFFSET('PRODUCT DATA'!$F$2,0,MATCH($AC191,'PRODUCT DATA'!$F$1:$NN$1,0)-1,114,1),$N191)&gt;0,FALSE()))),IF(UPPER(IFERROR(OFFSET('PRODUCT DATA'!$C$2,MATCH($N191,'PRODUCT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"),"")&amp;IF($C191="","Enter Quantity. ","")&amp;IF(AND($C191&lt;&gt;"",OR(NOT(ISNUMBER($C191)),$C191&lt;1,$C191&gt;999,MOD($C191,1)&lt;&gt;0)),"Quantity must be a whole number from 1 to 999 (use a quantity above 1 only for a genuine bulk order of identical items to ONE address — otherwise use a separate row per recipient). ","")&amp;IF($D191="","Enter Recipient Name. ","")&amp;IF(LEN($D191)&gt;35,"Recipient Name exceeds 35 characters. ","")&amp;IF($E191="","Enter Recipient Phone. ","")&amp;IF(AND($E191&lt;&gt;"",OR(LEN($E191)&lt;6,LEN($E191)&gt;20,NOT(IFERROR(ISNUMBER(1*$E191),FALSE())))),"Phone must be the LOCAL number for the destination country: digits only, no +, spaces, or country code, 6 to 20 digits. ","")&amp;IF(LEN($F191)&gt;35,"Recipient Company Name exceeds 35 characters. ","")&amp;IF($G191="","Enter Address Line 1. ","")&amp;IF(LEN($G191)&gt;35,"Address Line 1 exceeds the 35-character SAP limit. ","")&amp;IF(LEN($H191)&gt;35,"Address Line 2 exceeds the 35-character SAP limit. ","")&amp;IF(LEN($I191)&gt;35,"Address Line 3 exceeds the 35-character SAP limit. ","")&amp;IF($J191="","Enter Town. This must never be left blank, even if there is no conventional town name. ","")&amp;IF(LEN($J191)&gt;35,"Town exceeds 35 characters. ","")&amp;IF(AND($N191="IE",$K191=""),"County is required for deliveries within the Republic of Ireland. ","")&amp;IF(LEN($AB191)&gt;35,"County exceeds 35 characters. ","")&amp;IF(AND($L191="",AND($N191&lt;&gt;"AE",$N191&lt;&gt;"QA")),"Postcode is required for the selected country. If there is genuinely no postcode, enter the first 3 characters of the area (e.g. D15). ","")&amp;IF(LEN($L191)&gt;35,"Postcode exceeds 35 characters. ","")&amp;IF($AE191&lt;&gt;"",$AE191,"")&amp;IF(LEN($O191)&gt;40,"Gift Message Line 1 exceeds 40 characters. ","")&amp;IF(LEN($P191)&gt;40,"Gift Message Line 2 exceeds 40 characters. ","")&amp;IF(LEN($Q191)&gt;40,"Gift Message Line 3 exceeds 40 characters. ","")&amp;IF(LEN($R191)&gt;40,"Gift Message Line 4 exceeds 40 characters. ","")&amp;IF(LEN($S191)&gt;40,"Gift Message Line 5 exceeds 40 characters. ","")&amp;IF(LEN($T191)&gt;40,"Gift Message Line 6 exceeds 40 characters. ","")&amp;IF(LEN($U191)&gt;40,"Gift Message Line 7 exceeds 40 characters. ",""))</f>
        <v/>
      </c>
      <c r="Y191" s="44" t="str">
        <f t="shared" si="9"/>
        <v/>
      </c>
      <c r="Z191" s="44"/>
      <c r="AA191" s="44"/>
      <c r="AB191" s="32" t="str">
        <f t="shared" si="10"/>
        <v/>
      </c>
      <c r="AC191" s="32" t="str">
        <f>IF($A191="","",IFERROR(LEFT(INDEX('PRODUCT DATA'!$NO$2:$NO$25,MATCH($A191,'PRODUCT DATA'!$NP$2:$NP$25,0)),FIND("|",INDEX('PRODUCT DATA'!$NO$2:$NO$25,MATCH($A191,'PRODUCT DATA'!$NP$2:$NP$25,0)))-1),$A191))</f>
        <v/>
      </c>
      <c r="AD191" s="45"/>
      <c r="AE191" s="45" t="str">
        <f t="shared" si="11"/>
        <v/>
      </c>
    </row>
    <row r="192" spans="1:31" ht="15" customHeight="1" x14ac:dyDescent="0.25">
      <c r="A192" s="40"/>
      <c r="B192" s="43" t="str">
        <f>IF($A192="","",IFERROR(VLOOKUP($AC192,'PRODUCT DATA'!$NR$2:$NS$374,2,FALSE()),"UNKNOWN ITEM CODE - please check"))</f>
        <v/>
      </c>
      <c r="C192" s="39">
        <v>1</v>
      </c>
      <c r="D192" s="39"/>
      <c r="E192" s="40"/>
      <c r="F192" s="41"/>
      <c r="G192" s="39"/>
      <c r="H192" s="41"/>
      <c r="I192" s="41"/>
      <c r="J192" s="39"/>
      <c r="K192" s="41"/>
      <c r="L192" s="40"/>
      <c r="M192" s="40"/>
      <c r="N192" s="42" t="str">
        <f>IF($M192="","",IFERROR(INDEX('PRODUCT DATA'!$B$2:$B$58,MATCH(IF(UPPER($M192)="UK","GB",$M192),'PRODUCT DATA'!$B$2:$B$58,0)),IFERROR(INDEX('PRODUCT DATA'!$B$2:$B$58,MATCH(IF(UPPER($M192)="UK","GB",$M192),'PRODUCT DATA'!$A$2:$A$58,0)),"UNKNOWN COUNTRY - please check")))</f>
        <v/>
      </c>
      <c r="O192" s="41"/>
      <c r="P192" s="41"/>
      <c r="Q192" s="41"/>
      <c r="R192" s="41"/>
      <c r="S192" s="41"/>
      <c r="T192" s="41"/>
      <c r="U192" s="41"/>
      <c r="V192" s="43" t="str">
        <f t="shared" si="8"/>
        <v/>
      </c>
      <c r="W192" s="44" t="str">
        <f ca="1">IF(COUNTA($A192,$D192:$M192,$O192:$U192)=0,"",IF($A192="","Item Code; ","")&amp;IF(AND($A192&lt;&gt;"",ISNA(MATCH($AC192,'PRODUCT DATA'!$D$2:$D$394,0))),"Item Code; ","")&amp;IF($M192="","Country; ","")&amp;IF(AND($M192&lt;&gt;"",NOT(OR(NOT(ISNA(MATCH(IF(UPPER($M192)="UK","GB",$M192),'PRODUCT DATA'!$A$2:$A$58,0))),NOT(ISNA(MATCH(IF(UPPER($M192)="UK","GB",$M192),'PRODUCT DATA'!$B$2:$B$58,0)))))),"Country; ","")&amp;IF(AND($A192&lt;&gt;"",$M192&lt;&gt;"",NOT(ISNA(MATCH($AC192,'PRODUCT DATA'!$D$2:$D$394,0))),OR(NOT(ISNA(MATCH(IF(UPPER($M192)="UK","GB",$M192),'PRODUCT DATA'!$A$2:$A$58,0))),NOT(ISNA(MATCH(IF(UPPER($M192)="UK","GB",$M192),'PRODUCT DATA'!$B$2:$B$58,0)))),NOT(IFERROR(COUNTIF(OFFSET('PRODUCT DATA'!$F$2,0,MATCH($AC192,'PRODUCT DATA'!$F$1:$NN$1,0)-1,114,1),$N192)&gt;0,FALSE()))),IF(UPPER(IFERROR(OFFSET('PRODUCT DATA'!$C$2,MATCH($N192,'PRODUCT DATA'!$B$2:$B$58,0)-1,0),""))="NO","Alcohol Restriction; ","Item Code / Country combination; "),"")&amp;IF($C192="","Quantity; ","")&amp;IF(AND($C192&lt;&gt;"",OR(NOT(ISNUMBER($C192)),$C192&lt;1,$C192&gt;999,MOD($C192,1)&lt;&gt;0)),"Quantity; ","")&amp;IF($D192="","Recipient Name; ","")&amp;IF(LEN($D192)&gt;35,"Recipient Name; ","")&amp;IF($E192="","Recipient Phone; ","")&amp;IF(AND($E192&lt;&gt;"",OR(LEN($E192)&lt;6,LEN($E192)&gt;20,NOT(IFERROR(ISNUMBER(1*$E192),FALSE())))),"Recipient Phone; ","")&amp;IF(LEN($F192)&gt;35,"Recipient Company Name; ","")&amp;IF($G192="","Address Line 1; ","")&amp;IF(LEN($G192)&gt;35,"Address Line 1; ","")&amp;IF(LEN($H192)&gt;35,"Address Line 2; ","")&amp;IF(LEN($I192)&gt;35,"Address Line 3; ","")&amp;IF($J192="","Town; ","")&amp;IF(LEN($J192)&gt;35,"Town; ","")&amp;IF(AND($N192="IE",$K192=""),"County; ","")&amp;IF(LEN($AB192)&gt;35,"County; ","")&amp;IF(AND($L192="",AND($N192&lt;&gt;"AE",$N192&lt;&gt;"QA")),"Postcode; ","")&amp;IF(LEN($L192)&gt;35,"Postcode; ","")&amp;IF($AE192&lt;&gt;"","Postcode; ","")&amp;IF(LEN($O192)&gt;40,"Gift Message 1; ","")&amp;IF(LEN($P192)&gt;40,"Gift Message 2; ","")&amp;IF(LEN($Q192)&gt;40,"Gift Message 3; ","")&amp;IF(LEN($R192)&gt;40,"Gift Message 4; ","")&amp;IF(LEN($S192)&gt;40,"Gift Message 5; ","")&amp;IF(LEN($T192)&gt;40,"Gift Message 6; ","")&amp;IF(LEN($U192)&gt;40,"Gift Message 7; ",""))</f>
        <v/>
      </c>
      <c r="X192" s="44" t="str">
        <f ca="1">IF(COUNTA($A192,$D192:$M192,$O192:$U192)=0,"",IF($A192="","Enter the Item Code (hamper) - type it, paste it, or choose it from the dropdown. ","")&amp;IF(AND($A192&lt;&gt;"",ISNA(MATCH($AC192,'PRODUCT DATA'!$D$2:$D$394,0))),"This Item Code is not recognised. Check the code (case does not matter, but spelling and digits must match exactly) or choose it from the dropdown. ","")&amp;IF($M192="","Enter the Country after the Item Code - type or paste the name or the 2-letter code, or choose it from the dropdown. ","")&amp;IF(AND($M192&lt;&gt;"",NOT(OR(NOT(ISNA(MATCH(IF(UPPER($M192)="UK","GB",$M192),'PRODUCT DATA'!$A$2:$A$58,0))),NOT(ISNA(MATCH(IF(UPPER($M192)="UK","GB",$M192),'PRODUCT DATA'!$B$2:$B$58,0)))))),"This Country is not recognised as either a full name or a 2-letter code. Check the spelling (case does not matter) or choose it from the dropdown. ","")&amp;IF(AND($A192&lt;&gt;"",$M192&lt;&gt;"",NOT(ISNA(MATCH($AC192,'PRODUCT DATA'!$D$2:$D$394,0))),OR(NOT(ISNA(MATCH(IF(UPPER($M192)="UK","GB",$M192),'PRODUCT DATA'!$A$2:$A$58,0))),NOT(ISNA(MATCH(IF(UPPER($M192)="UK","GB",$M192),'PRODUCT DATA'!$B$2:$B$58,0)))),NOT(IFERROR(COUNTIF(OFFSET('PRODUCT DATA'!$F$2,0,MATCH($AC192,'PRODUCT DATA'!$F$1:$NN$1,0)-1,114,1),$N192)&gt;0,FALSE()))),IF(UPPER(IFERROR(OFFSET('PRODUCT DATA'!$C$2,MATCH($N192,'PRODUCT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"),"")&amp;IF($C192="","Enter Quantity. ","")&amp;IF(AND($C192&lt;&gt;"",OR(NOT(ISNUMBER($C192)),$C192&lt;1,$C192&gt;999,MOD($C192,1)&lt;&gt;0)),"Quantity must be a whole number from 1 to 999 (use a quantity above 1 only for a genuine bulk order of identical items to ONE address — otherwise use a separate row per recipient). ","")&amp;IF($D192="","Enter Recipient Name. ","")&amp;IF(LEN($D192)&gt;35,"Recipient Name exceeds 35 characters. ","")&amp;IF($E192="","Enter Recipient Phone. ","")&amp;IF(AND($E192&lt;&gt;"",OR(LEN($E192)&lt;6,LEN($E192)&gt;20,NOT(IFERROR(ISNUMBER(1*$E192),FALSE())))),"Phone must be the LOCAL number for the destination country: digits only, no +, spaces, or country code, 6 to 20 digits. ","")&amp;IF(LEN($F192)&gt;35,"Recipient Company Name exceeds 35 characters. ","")&amp;IF($G192="","Enter Address Line 1. ","")&amp;IF(LEN($G192)&gt;35,"Address Line 1 exceeds the 35-character SAP limit. ","")&amp;IF(LEN($H192)&gt;35,"Address Line 2 exceeds the 35-character SAP limit. ","")&amp;IF(LEN($I192)&gt;35,"Address Line 3 exceeds the 35-character SAP limit. ","")&amp;IF($J192="","Enter Town. This must never be left blank, even if there is no conventional town name. ","")&amp;IF(LEN($J192)&gt;35,"Town exceeds 35 characters. ","")&amp;IF(AND($N192="IE",$K192=""),"County is required for deliveries within the Republic of Ireland. ","")&amp;IF(LEN($AB192)&gt;35,"County exceeds 35 characters. ","")&amp;IF(AND($L192="",AND($N192&lt;&gt;"AE",$N192&lt;&gt;"QA")),"Postcode is required for the selected country. If there is genuinely no postcode, enter the first 3 characters of the area (e.g. D15). ","")&amp;IF(LEN($L192)&gt;35,"Postcode exceeds 35 characters. ","")&amp;IF($AE192&lt;&gt;"",$AE192,"")&amp;IF(LEN($O192)&gt;40,"Gift Message Line 1 exceeds 40 characters. ","")&amp;IF(LEN($P192)&gt;40,"Gift Message Line 2 exceeds 40 characters. ","")&amp;IF(LEN($Q192)&gt;40,"Gift Message Line 3 exceeds 40 characters. ","")&amp;IF(LEN($R192)&gt;40,"Gift Message Line 4 exceeds 40 characters. ","")&amp;IF(LEN($S192)&gt;40,"Gift Message Line 5 exceeds 40 characters. ","")&amp;IF(LEN($T192)&gt;40,"Gift Message Line 6 exceeds 40 characters. ","")&amp;IF(LEN($U192)&gt;40,"Gift Message Line 7 exceeds 40 characters. ",""))</f>
        <v/>
      </c>
      <c r="Y192" s="44" t="str">
        <f t="shared" si="9"/>
        <v/>
      </c>
      <c r="Z192" s="44"/>
      <c r="AA192" s="44"/>
      <c r="AB192" s="32" t="str">
        <f t="shared" si="10"/>
        <v/>
      </c>
      <c r="AC192" s="32" t="str">
        <f>IF($A192="","",IFERROR(LEFT(INDEX('PRODUCT DATA'!$NO$2:$NO$25,MATCH($A192,'PRODUCT DATA'!$NP$2:$NP$25,0)),FIND("|",INDEX('PRODUCT DATA'!$NO$2:$NO$25,MATCH($A192,'PRODUCT DATA'!$NP$2:$NP$25,0)))-1),$A192))</f>
        <v/>
      </c>
      <c r="AD192" s="45"/>
      <c r="AE192" s="45" t="str">
        <f t="shared" si="11"/>
        <v/>
      </c>
    </row>
    <row r="193" spans="1:31" ht="15" customHeight="1" x14ac:dyDescent="0.25">
      <c r="A193" s="40"/>
      <c r="B193" s="43" t="str">
        <f>IF($A193="","",IFERROR(VLOOKUP($AC193,'PRODUCT DATA'!$NR$2:$NS$374,2,FALSE()),"UNKNOWN ITEM CODE - please check"))</f>
        <v/>
      </c>
      <c r="C193" s="39">
        <v>1</v>
      </c>
      <c r="D193" s="39"/>
      <c r="E193" s="40"/>
      <c r="F193" s="41"/>
      <c r="G193" s="39"/>
      <c r="H193" s="41"/>
      <c r="I193" s="41"/>
      <c r="J193" s="39"/>
      <c r="K193" s="41"/>
      <c r="L193" s="40"/>
      <c r="M193" s="40"/>
      <c r="N193" s="42" t="str">
        <f>IF($M193="","",IFERROR(INDEX('PRODUCT DATA'!$B$2:$B$58,MATCH(IF(UPPER($M193)="UK","GB",$M193),'PRODUCT DATA'!$B$2:$B$58,0)),IFERROR(INDEX('PRODUCT DATA'!$B$2:$B$58,MATCH(IF(UPPER($M193)="UK","GB",$M193),'PRODUCT DATA'!$A$2:$A$58,0)),"UNKNOWN COUNTRY - please check")))</f>
        <v/>
      </c>
      <c r="O193" s="41"/>
      <c r="P193" s="41"/>
      <c r="Q193" s="41"/>
      <c r="R193" s="41"/>
      <c r="S193" s="41"/>
      <c r="T193" s="41"/>
      <c r="U193" s="41"/>
      <c r="V193" s="43" t="str">
        <f t="shared" si="8"/>
        <v/>
      </c>
      <c r="W193" s="44" t="str">
        <f ca="1">IF(COUNTA($A193,$D193:$M193,$O193:$U193)=0,"",IF($A193="","Item Code; ","")&amp;IF(AND($A193&lt;&gt;"",ISNA(MATCH($AC193,'PRODUCT DATA'!$D$2:$D$394,0))),"Item Code; ","")&amp;IF($M193="","Country; ","")&amp;IF(AND($M193&lt;&gt;"",NOT(OR(NOT(ISNA(MATCH(IF(UPPER($M193)="UK","GB",$M193),'PRODUCT DATA'!$A$2:$A$58,0))),NOT(ISNA(MATCH(IF(UPPER($M193)="UK","GB",$M193),'PRODUCT DATA'!$B$2:$B$58,0)))))),"Country; ","")&amp;IF(AND($A193&lt;&gt;"",$M193&lt;&gt;"",NOT(ISNA(MATCH($AC193,'PRODUCT DATA'!$D$2:$D$394,0))),OR(NOT(ISNA(MATCH(IF(UPPER($M193)="UK","GB",$M193),'PRODUCT DATA'!$A$2:$A$58,0))),NOT(ISNA(MATCH(IF(UPPER($M193)="UK","GB",$M193),'PRODUCT DATA'!$B$2:$B$58,0)))),NOT(IFERROR(COUNTIF(OFFSET('PRODUCT DATA'!$F$2,0,MATCH($AC193,'PRODUCT DATA'!$F$1:$NN$1,0)-1,114,1),$N193)&gt;0,FALSE()))),IF(UPPER(IFERROR(OFFSET('PRODUCT DATA'!$C$2,MATCH($N193,'PRODUCT DATA'!$B$2:$B$58,0)-1,0),""))="NO","Alcohol Restriction; ","Item Code / Country combination; "),"")&amp;IF($C193="","Quantity; ","")&amp;IF(AND($C193&lt;&gt;"",OR(NOT(ISNUMBER($C193)),$C193&lt;1,$C193&gt;999,MOD($C193,1)&lt;&gt;0)),"Quantity; ","")&amp;IF($D193="","Recipient Name; ","")&amp;IF(LEN($D193)&gt;35,"Recipient Name; ","")&amp;IF($E193="","Recipient Phone; ","")&amp;IF(AND($E193&lt;&gt;"",OR(LEN($E193)&lt;6,LEN($E193)&gt;20,NOT(IFERROR(ISNUMBER(1*$E193),FALSE())))),"Recipient Phone; ","")&amp;IF(LEN($F193)&gt;35,"Recipient Company Name; ","")&amp;IF($G193="","Address Line 1; ","")&amp;IF(LEN($G193)&gt;35,"Address Line 1; ","")&amp;IF(LEN($H193)&gt;35,"Address Line 2; ","")&amp;IF(LEN($I193)&gt;35,"Address Line 3; ","")&amp;IF($J193="","Town; ","")&amp;IF(LEN($J193)&gt;35,"Town; ","")&amp;IF(AND($N193="IE",$K193=""),"County; ","")&amp;IF(LEN($AB193)&gt;35,"County; ","")&amp;IF(AND($L193="",AND($N193&lt;&gt;"AE",$N193&lt;&gt;"QA")),"Postcode; ","")&amp;IF(LEN($L193)&gt;35,"Postcode; ","")&amp;IF($AE193&lt;&gt;"","Postcode; ","")&amp;IF(LEN($O193)&gt;40,"Gift Message 1; ","")&amp;IF(LEN($P193)&gt;40,"Gift Message 2; ","")&amp;IF(LEN($Q193)&gt;40,"Gift Message 3; ","")&amp;IF(LEN($R193)&gt;40,"Gift Message 4; ","")&amp;IF(LEN($S193)&gt;40,"Gift Message 5; ","")&amp;IF(LEN($T193)&gt;40,"Gift Message 6; ","")&amp;IF(LEN($U193)&gt;40,"Gift Message 7; ",""))</f>
        <v/>
      </c>
      <c r="X193" s="44" t="str">
        <f ca="1">IF(COUNTA($A193,$D193:$M193,$O193:$U193)=0,"",IF($A193="","Enter the Item Code (hamper) - type it, paste it, or choose it from the dropdown. ","")&amp;IF(AND($A193&lt;&gt;"",ISNA(MATCH($AC193,'PRODUCT DATA'!$D$2:$D$394,0))),"This Item Code is not recognised. Check the code (case does not matter, but spelling and digits must match exactly) or choose it from the dropdown. ","")&amp;IF($M193="","Enter the Country after the Item Code - type or paste the name or the 2-letter code, or choose it from the dropdown. ","")&amp;IF(AND($M193&lt;&gt;"",NOT(OR(NOT(ISNA(MATCH(IF(UPPER($M193)="UK","GB",$M193),'PRODUCT DATA'!$A$2:$A$58,0))),NOT(ISNA(MATCH(IF(UPPER($M193)="UK","GB",$M193),'PRODUCT DATA'!$B$2:$B$58,0)))))),"This Country is not recognised as either a full name or a 2-letter code. Check the spelling (case does not matter) or choose it from the dropdown. ","")&amp;IF(AND($A193&lt;&gt;"",$M193&lt;&gt;"",NOT(ISNA(MATCH($AC193,'PRODUCT DATA'!$D$2:$D$394,0))),OR(NOT(ISNA(MATCH(IF(UPPER($M193)="UK","GB",$M193),'PRODUCT DATA'!$A$2:$A$58,0))),NOT(ISNA(MATCH(IF(UPPER($M193)="UK","GB",$M193),'PRODUCT DATA'!$B$2:$B$58,0)))),NOT(IFERROR(COUNTIF(OFFSET('PRODUCT DATA'!$F$2,0,MATCH($AC193,'PRODUCT DATA'!$F$1:$NN$1,0)-1,114,1),$N193)&gt;0,FALSE()))),IF(UPPER(IFERROR(OFFSET('PRODUCT DATA'!$C$2,MATCH($N193,'PRODUCT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"),"")&amp;IF($C193="","Enter Quantity. ","")&amp;IF(AND($C193&lt;&gt;"",OR(NOT(ISNUMBER($C193)),$C193&lt;1,$C193&gt;999,MOD($C193,1)&lt;&gt;0)),"Quantity must be a whole number from 1 to 999 (use a quantity above 1 only for a genuine bulk order of identical items to ONE address — otherwise use a separate row per recipient). ","")&amp;IF($D193="","Enter Recipient Name. ","")&amp;IF(LEN($D193)&gt;35,"Recipient Name exceeds 35 characters. ","")&amp;IF($E193="","Enter Recipient Phone. ","")&amp;IF(AND($E193&lt;&gt;"",OR(LEN($E193)&lt;6,LEN($E193)&gt;20,NOT(IFERROR(ISNUMBER(1*$E193),FALSE())))),"Phone must be the LOCAL number for the destination country: digits only, no +, spaces, or country code, 6 to 20 digits. ","")&amp;IF(LEN($F193)&gt;35,"Recipient Company Name exceeds 35 characters. ","")&amp;IF($G193="","Enter Address Line 1. ","")&amp;IF(LEN($G193)&gt;35,"Address Line 1 exceeds the 35-character SAP limit. ","")&amp;IF(LEN($H193)&gt;35,"Address Line 2 exceeds the 35-character SAP limit. ","")&amp;IF(LEN($I193)&gt;35,"Address Line 3 exceeds the 35-character SAP limit. ","")&amp;IF($J193="","Enter Town. This must never be left blank, even if there is no conventional town name. ","")&amp;IF(LEN($J193)&gt;35,"Town exceeds 35 characters. ","")&amp;IF(AND($N193="IE",$K193=""),"County is required for deliveries within the Republic of Ireland. ","")&amp;IF(LEN($AB193)&gt;35,"County exceeds 35 characters. ","")&amp;IF(AND($L193="",AND($N193&lt;&gt;"AE",$N193&lt;&gt;"QA")),"Postcode is required for the selected country. If there is genuinely no postcode, enter the first 3 characters of the area (e.g. D15). ","")&amp;IF(LEN($L193)&gt;35,"Postcode exceeds 35 characters. ","")&amp;IF($AE193&lt;&gt;"",$AE193,"")&amp;IF(LEN($O193)&gt;40,"Gift Message Line 1 exceeds 40 characters. ","")&amp;IF(LEN($P193)&gt;40,"Gift Message Line 2 exceeds 40 characters. ","")&amp;IF(LEN($Q193)&gt;40,"Gift Message Line 3 exceeds 40 characters. ","")&amp;IF(LEN($R193)&gt;40,"Gift Message Line 4 exceeds 40 characters. ","")&amp;IF(LEN($S193)&gt;40,"Gift Message Line 5 exceeds 40 characters. ","")&amp;IF(LEN($T193)&gt;40,"Gift Message Line 6 exceeds 40 characters. ","")&amp;IF(LEN($U193)&gt;40,"Gift Message Line 7 exceeds 40 characters. ",""))</f>
        <v/>
      </c>
      <c r="Y193" s="44" t="str">
        <f t="shared" si="9"/>
        <v/>
      </c>
      <c r="Z193" s="44"/>
      <c r="AA193" s="44"/>
      <c r="AB193" s="32" t="str">
        <f t="shared" si="10"/>
        <v/>
      </c>
      <c r="AC193" s="32" t="str">
        <f>IF($A193="","",IFERROR(LEFT(INDEX('PRODUCT DATA'!$NO$2:$NO$25,MATCH($A193,'PRODUCT DATA'!$NP$2:$NP$25,0)),FIND("|",INDEX('PRODUCT DATA'!$NO$2:$NO$25,MATCH($A193,'PRODUCT DATA'!$NP$2:$NP$25,0)))-1),$A193))</f>
        <v/>
      </c>
      <c r="AD193" s="45"/>
      <c r="AE193" s="45" t="str">
        <f t="shared" si="11"/>
        <v/>
      </c>
    </row>
    <row r="194" spans="1:31" ht="15" customHeight="1" x14ac:dyDescent="0.25">
      <c r="A194" s="40"/>
      <c r="B194" s="43" t="str">
        <f>IF($A194="","",IFERROR(VLOOKUP($AC194,'PRODUCT DATA'!$NR$2:$NS$374,2,FALSE()),"UNKNOWN ITEM CODE - please check"))</f>
        <v/>
      </c>
      <c r="C194" s="39">
        <v>1</v>
      </c>
      <c r="D194" s="39"/>
      <c r="E194" s="40"/>
      <c r="F194" s="41"/>
      <c r="G194" s="39"/>
      <c r="H194" s="41"/>
      <c r="I194" s="41"/>
      <c r="J194" s="39"/>
      <c r="K194" s="41"/>
      <c r="L194" s="40"/>
      <c r="M194" s="40"/>
      <c r="N194" s="42" t="str">
        <f>IF($M194="","",IFERROR(INDEX('PRODUCT DATA'!$B$2:$B$58,MATCH(IF(UPPER($M194)="UK","GB",$M194),'PRODUCT DATA'!$B$2:$B$58,0)),IFERROR(INDEX('PRODUCT DATA'!$B$2:$B$58,MATCH(IF(UPPER($M194)="UK","GB",$M194),'PRODUCT DATA'!$A$2:$A$58,0)),"UNKNOWN COUNTRY - please check")))</f>
        <v/>
      </c>
      <c r="O194" s="41"/>
      <c r="P194" s="41"/>
      <c r="Q194" s="41"/>
      <c r="R194" s="41"/>
      <c r="S194" s="41"/>
      <c r="T194" s="41"/>
      <c r="U194" s="41"/>
      <c r="V194" s="43" t="str">
        <f t="shared" si="8"/>
        <v/>
      </c>
      <c r="W194" s="44" t="str">
        <f ca="1">IF(COUNTA($A194,$D194:$M194,$O194:$U194)=0,"",IF($A194="","Item Code; ","")&amp;IF(AND($A194&lt;&gt;"",ISNA(MATCH($AC194,'PRODUCT DATA'!$D$2:$D$394,0))),"Item Code; ","")&amp;IF($M194="","Country; ","")&amp;IF(AND($M194&lt;&gt;"",NOT(OR(NOT(ISNA(MATCH(IF(UPPER($M194)="UK","GB",$M194),'PRODUCT DATA'!$A$2:$A$58,0))),NOT(ISNA(MATCH(IF(UPPER($M194)="UK","GB",$M194),'PRODUCT DATA'!$B$2:$B$58,0)))))),"Country; ","")&amp;IF(AND($A194&lt;&gt;"",$M194&lt;&gt;"",NOT(ISNA(MATCH($AC194,'PRODUCT DATA'!$D$2:$D$394,0))),OR(NOT(ISNA(MATCH(IF(UPPER($M194)="UK","GB",$M194),'PRODUCT DATA'!$A$2:$A$58,0))),NOT(ISNA(MATCH(IF(UPPER($M194)="UK","GB",$M194),'PRODUCT DATA'!$B$2:$B$58,0)))),NOT(IFERROR(COUNTIF(OFFSET('PRODUCT DATA'!$F$2,0,MATCH($AC194,'PRODUCT DATA'!$F$1:$NN$1,0)-1,114,1),$N194)&gt;0,FALSE()))),IF(UPPER(IFERROR(OFFSET('PRODUCT DATA'!$C$2,MATCH($N194,'PRODUCT DATA'!$B$2:$B$58,0)-1,0),""))="NO","Alcohol Restriction; ","Item Code / Country combination; "),"")&amp;IF($C194="","Quantity; ","")&amp;IF(AND($C194&lt;&gt;"",OR(NOT(ISNUMBER($C194)),$C194&lt;1,$C194&gt;999,MOD($C194,1)&lt;&gt;0)),"Quantity; ","")&amp;IF($D194="","Recipient Name; ","")&amp;IF(LEN($D194)&gt;35,"Recipient Name; ","")&amp;IF($E194="","Recipient Phone; ","")&amp;IF(AND($E194&lt;&gt;"",OR(LEN($E194)&lt;6,LEN($E194)&gt;20,NOT(IFERROR(ISNUMBER(1*$E194),FALSE())))),"Recipient Phone; ","")&amp;IF(LEN($F194)&gt;35,"Recipient Company Name; ","")&amp;IF($G194="","Address Line 1; ","")&amp;IF(LEN($G194)&gt;35,"Address Line 1; ","")&amp;IF(LEN($H194)&gt;35,"Address Line 2; ","")&amp;IF(LEN($I194)&gt;35,"Address Line 3; ","")&amp;IF($J194="","Town; ","")&amp;IF(LEN($J194)&gt;35,"Town; ","")&amp;IF(AND($N194="IE",$K194=""),"County; ","")&amp;IF(LEN($AB194)&gt;35,"County; ","")&amp;IF(AND($L194="",AND($N194&lt;&gt;"AE",$N194&lt;&gt;"QA")),"Postcode; ","")&amp;IF(LEN($L194)&gt;35,"Postcode; ","")&amp;IF($AE194&lt;&gt;"","Postcode; ","")&amp;IF(LEN($O194)&gt;40,"Gift Message 1; ","")&amp;IF(LEN($P194)&gt;40,"Gift Message 2; ","")&amp;IF(LEN($Q194)&gt;40,"Gift Message 3; ","")&amp;IF(LEN($R194)&gt;40,"Gift Message 4; ","")&amp;IF(LEN($S194)&gt;40,"Gift Message 5; ","")&amp;IF(LEN($T194)&gt;40,"Gift Message 6; ","")&amp;IF(LEN($U194)&gt;40,"Gift Message 7; ",""))</f>
        <v/>
      </c>
      <c r="X194" s="44" t="str">
        <f ca="1">IF(COUNTA($A194,$D194:$M194,$O194:$U194)=0,"",IF($A194="","Enter the Item Code (hamper) - type it, paste it, or choose it from the dropdown. ","")&amp;IF(AND($A194&lt;&gt;"",ISNA(MATCH($AC194,'PRODUCT DATA'!$D$2:$D$394,0))),"This Item Code is not recognised. Check the code (case does not matter, but spelling and digits must match exactly) or choose it from the dropdown. ","")&amp;IF($M194="","Enter the Country after the Item Code - type or paste the name or the 2-letter code, or choose it from the dropdown. ","")&amp;IF(AND($M194&lt;&gt;"",NOT(OR(NOT(ISNA(MATCH(IF(UPPER($M194)="UK","GB",$M194),'PRODUCT DATA'!$A$2:$A$58,0))),NOT(ISNA(MATCH(IF(UPPER($M194)="UK","GB",$M194),'PRODUCT DATA'!$B$2:$B$58,0)))))),"This Country is not recognised as either a full name or a 2-letter code. Check the spelling (case does not matter) or choose it from the dropdown. ","")&amp;IF(AND($A194&lt;&gt;"",$M194&lt;&gt;"",NOT(ISNA(MATCH($AC194,'PRODUCT DATA'!$D$2:$D$394,0))),OR(NOT(ISNA(MATCH(IF(UPPER($M194)="UK","GB",$M194),'PRODUCT DATA'!$A$2:$A$58,0))),NOT(ISNA(MATCH(IF(UPPER($M194)="UK","GB",$M194),'PRODUCT DATA'!$B$2:$B$58,0)))),NOT(IFERROR(COUNTIF(OFFSET('PRODUCT DATA'!$F$2,0,MATCH($AC194,'PRODUCT DATA'!$F$1:$NN$1,0)-1,114,1),$N194)&gt;0,FALSE()))),IF(UPPER(IFERROR(OFFSET('PRODUCT DATA'!$C$2,MATCH($N194,'PRODUCT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"),"")&amp;IF($C194="","Enter Quantity. ","")&amp;IF(AND($C194&lt;&gt;"",OR(NOT(ISNUMBER($C194)),$C194&lt;1,$C194&gt;999,MOD($C194,1)&lt;&gt;0)),"Quantity must be a whole number from 1 to 999 (use a quantity above 1 only for a genuine bulk order of identical items to ONE address — otherwise use a separate row per recipient). ","")&amp;IF($D194="","Enter Recipient Name. ","")&amp;IF(LEN($D194)&gt;35,"Recipient Name exceeds 35 characters. ","")&amp;IF($E194="","Enter Recipient Phone. ","")&amp;IF(AND($E194&lt;&gt;"",OR(LEN($E194)&lt;6,LEN($E194)&gt;20,NOT(IFERROR(ISNUMBER(1*$E194),FALSE())))),"Phone must be the LOCAL number for the destination country: digits only, no +, spaces, or country code, 6 to 20 digits. ","")&amp;IF(LEN($F194)&gt;35,"Recipient Company Name exceeds 35 characters. ","")&amp;IF($G194="","Enter Address Line 1. ","")&amp;IF(LEN($G194)&gt;35,"Address Line 1 exceeds the 35-character SAP limit. ","")&amp;IF(LEN($H194)&gt;35,"Address Line 2 exceeds the 35-character SAP limit. ","")&amp;IF(LEN($I194)&gt;35,"Address Line 3 exceeds the 35-character SAP limit. ","")&amp;IF($J194="","Enter Town. This must never be left blank, even if there is no conventional town name. ","")&amp;IF(LEN($J194)&gt;35,"Town exceeds 35 characters. ","")&amp;IF(AND($N194="IE",$K194=""),"County is required for deliveries within the Republic of Ireland. ","")&amp;IF(LEN($AB194)&gt;35,"County exceeds 35 characters. ","")&amp;IF(AND($L194="",AND($N194&lt;&gt;"AE",$N194&lt;&gt;"QA")),"Postcode is required for the selected country. If there is genuinely no postcode, enter the first 3 characters of the area (e.g. D15). ","")&amp;IF(LEN($L194)&gt;35,"Postcode exceeds 35 characters. ","")&amp;IF($AE194&lt;&gt;"",$AE194,"")&amp;IF(LEN($O194)&gt;40,"Gift Message Line 1 exceeds 40 characters. ","")&amp;IF(LEN($P194)&gt;40,"Gift Message Line 2 exceeds 40 characters. ","")&amp;IF(LEN($Q194)&gt;40,"Gift Message Line 3 exceeds 40 characters. ","")&amp;IF(LEN($R194)&gt;40,"Gift Message Line 4 exceeds 40 characters. ","")&amp;IF(LEN($S194)&gt;40,"Gift Message Line 5 exceeds 40 characters. ","")&amp;IF(LEN($T194)&gt;40,"Gift Message Line 6 exceeds 40 characters. ","")&amp;IF(LEN($U194)&gt;40,"Gift Message Line 7 exceeds 40 characters. ",""))</f>
        <v/>
      </c>
      <c r="Y194" s="44" t="str">
        <f t="shared" si="9"/>
        <v/>
      </c>
      <c r="Z194" s="44"/>
      <c r="AA194" s="44"/>
      <c r="AB194" s="32" t="str">
        <f t="shared" si="10"/>
        <v/>
      </c>
      <c r="AC194" s="32" t="str">
        <f>IF($A194="","",IFERROR(LEFT(INDEX('PRODUCT DATA'!$NO$2:$NO$25,MATCH($A194,'PRODUCT DATA'!$NP$2:$NP$25,0)),FIND("|",INDEX('PRODUCT DATA'!$NO$2:$NO$25,MATCH($A194,'PRODUCT DATA'!$NP$2:$NP$25,0)))-1),$A194))</f>
        <v/>
      </c>
      <c r="AD194" s="45"/>
      <c r="AE194" s="45" t="str">
        <f t="shared" si="11"/>
        <v/>
      </c>
    </row>
    <row r="195" spans="1:31" ht="15" customHeight="1" x14ac:dyDescent="0.25">
      <c r="A195" s="40"/>
      <c r="B195" s="43" t="str">
        <f>IF($A195="","",IFERROR(VLOOKUP($AC195,'PRODUCT DATA'!$NR$2:$NS$374,2,FALSE()),"UNKNOWN ITEM CODE - please check"))</f>
        <v/>
      </c>
      <c r="C195" s="39">
        <v>1</v>
      </c>
      <c r="D195" s="39"/>
      <c r="E195" s="40"/>
      <c r="F195" s="41"/>
      <c r="G195" s="39"/>
      <c r="H195" s="41"/>
      <c r="I195" s="41"/>
      <c r="J195" s="39"/>
      <c r="K195" s="41"/>
      <c r="L195" s="40"/>
      <c r="M195" s="40"/>
      <c r="N195" s="42" t="str">
        <f>IF($M195="","",IFERROR(INDEX('PRODUCT DATA'!$B$2:$B$58,MATCH(IF(UPPER($M195)="UK","GB",$M195),'PRODUCT DATA'!$B$2:$B$58,0)),IFERROR(INDEX('PRODUCT DATA'!$B$2:$B$58,MATCH(IF(UPPER($M195)="UK","GB",$M195),'PRODUCT DATA'!$A$2:$A$58,0)),"UNKNOWN COUNTRY - please check")))</f>
        <v/>
      </c>
      <c r="O195" s="41"/>
      <c r="P195" s="41"/>
      <c r="Q195" s="41"/>
      <c r="R195" s="41"/>
      <c r="S195" s="41"/>
      <c r="T195" s="41"/>
      <c r="U195" s="41"/>
      <c r="V195" s="43" t="str">
        <f t="shared" si="8"/>
        <v/>
      </c>
      <c r="W195" s="44" t="str">
        <f ca="1">IF(COUNTA($A195,$D195:$M195,$O195:$U195)=0,"",IF($A195="","Item Code; ","")&amp;IF(AND($A195&lt;&gt;"",ISNA(MATCH($AC195,'PRODUCT DATA'!$D$2:$D$394,0))),"Item Code; ","")&amp;IF($M195="","Country; ","")&amp;IF(AND($M195&lt;&gt;"",NOT(OR(NOT(ISNA(MATCH(IF(UPPER($M195)="UK","GB",$M195),'PRODUCT DATA'!$A$2:$A$58,0))),NOT(ISNA(MATCH(IF(UPPER($M195)="UK","GB",$M195),'PRODUCT DATA'!$B$2:$B$58,0)))))),"Country; ","")&amp;IF(AND($A195&lt;&gt;"",$M195&lt;&gt;"",NOT(ISNA(MATCH($AC195,'PRODUCT DATA'!$D$2:$D$394,0))),OR(NOT(ISNA(MATCH(IF(UPPER($M195)="UK","GB",$M195),'PRODUCT DATA'!$A$2:$A$58,0))),NOT(ISNA(MATCH(IF(UPPER($M195)="UK","GB",$M195),'PRODUCT DATA'!$B$2:$B$58,0)))),NOT(IFERROR(COUNTIF(OFFSET('PRODUCT DATA'!$F$2,0,MATCH($AC195,'PRODUCT DATA'!$F$1:$NN$1,0)-1,114,1),$N195)&gt;0,FALSE()))),IF(UPPER(IFERROR(OFFSET('PRODUCT DATA'!$C$2,MATCH($N195,'PRODUCT DATA'!$B$2:$B$58,0)-1,0),""))="NO","Alcohol Restriction; ","Item Code / Country combination; "),"")&amp;IF($C195="","Quantity; ","")&amp;IF(AND($C195&lt;&gt;"",OR(NOT(ISNUMBER($C195)),$C195&lt;1,$C195&gt;999,MOD($C195,1)&lt;&gt;0)),"Quantity; ","")&amp;IF($D195="","Recipient Name; ","")&amp;IF(LEN($D195)&gt;35,"Recipient Name; ","")&amp;IF($E195="","Recipient Phone; ","")&amp;IF(AND($E195&lt;&gt;"",OR(LEN($E195)&lt;6,LEN($E195)&gt;20,NOT(IFERROR(ISNUMBER(1*$E195),FALSE())))),"Recipient Phone; ","")&amp;IF(LEN($F195)&gt;35,"Recipient Company Name; ","")&amp;IF($G195="","Address Line 1; ","")&amp;IF(LEN($G195)&gt;35,"Address Line 1; ","")&amp;IF(LEN($H195)&gt;35,"Address Line 2; ","")&amp;IF(LEN($I195)&gt;35,"Address Line 3; ","")&amp;IF($J195="","Town; ","")&amp;IF(LEN($J195)&gt;35,"Town; ","")&amp;IF(AND($N195="IE",$K195=""),"County; ","")&amp;IF(LEN($AB195)&gt;35,"County; ","")&amp;IF(AND($L195="",AND($N195&lt;&gt;"AE",$N195&lt;&gt;"QA")),"Postcode; ","")&amp;IF(LEN($L195)&gt;35,"Postcode; ","")&amp;IF($AE195&lt;&gt;"","Postcode; ","")&amp;IF(LEN($O195)&gt;40,"Gift Message 1; ","")&amp;IF(LEN($P195)&gt;40,"Gift Message 2; ","")&amp;IF(LEN($Q195)&gt;40,"Gift Message 3; ","")&amp;IF(LEN($R195)&gt;40,"Gift Message 4; ","")&amp;IF(LEN($S195)&gt;40,"Gift Message 5; ","")&amp;IF(LEN($T195)&gt;40,"Gift Message 6; ","")&amp;IF(LEN($U195)&gt;40,"Gift Message 7; ",""))</f>
        <v/>
      </c>
      <c r="X195" s="44" t="str">
        <f ca="1">IF(COUNTA($A195,$D195:$M195,$O195:$U195)=0,"",IF($A195="","Enter the Item Code (hamper) - type it, paste it, or choose it from the dropdown. ","")&amp;IF(AND($A195&lt;&gt;"",ISNA(MATCH($AC195,'PRODUCT DATA'!$D$2:$D$394,0))),"This Item Code is not recognised. Check the code (case does not matter, but spelling and digits must match exactly) or choose it from the dropdown. ","")&amp;IF($M195="","Enter the Country after the Item Code - type or paste the name or the 2-letter code, or choose it from the dropdown. ","")&amp;IF(AND($M195&lt;&gt;"",NOT(OR(NOT(ISNA(MATCH(IF(UPPER($M195)="UK","GB",$M195),'PRODUCT DATA'!$A$2:$A$58,0))),NOT(ISNA(MATCH(IF(UPPER($M195)="UK","GB",$M195),'PRODUCT DATA'!$B$2:$B$58,0)))))),"This Country is not recognised as either a full name or a 2-letter code. Check the spelling (case does not matter) or choose it from the dropdown. ","")&amp;IF(AND($A195&lt;&gt;"",$M195&lt;&gt;"",NOT(ISNA(MATCH($AC195,'PRODUCT DATA'!$D$2:$D$394,0))),OR(NOT(ISNA(MATCH(IF(UPPER($M195)="UK","GB",$M195),'PRODUCT DATA'!$A$2:$A$58,0))),NOT(ISNA(MATCH(IF(UPPER($M195)="UK","GB",$M195),'PRODUCT DATA'!$B$2:$B$58,0)))),NOT(IFERROR(COUNTIF(OFFSET('PRODUCT DATA'!$F$2,0,MATCH($AC195,'PRODUCT DATA'!$F$1:$NN$1,0)-1,114,1),$N195)&gt;0,FALSE()))),IF(UPPER(IFERROR(OFFSET('PRODUCT DATA'!$C$2,MATCH($N195,'PRODUCT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"),"")&amp;IF($C195="","Enter Quantity. ","")&amp;IF(AND($C195&lt;&gt;"",OR(NOT(ISNUMBER($C195)),$C195&lt;1,$C195&gt;999,MOD($C195,1)&lt;&gt;0)),"Quantity must be a whole number from 1 to 999 (use a quantity above 1 only for a genuine bulk order of identical items to ONE address — otherwise use a separate row per recipient). ","")&amp;IF($D195="","Enter Recipient Name. ","")&amp;IF(LEN($D195)&gt;35,"Recipient Name exceeds 35 characters. ","")&amp;IF($E195="","Enter Recipient Phone. ","")&amp;IF(AND($E195&lt;&gt;"",OR(LEN($E195)&lt;6,LEN($E195)&gt;20,NOT(IFERROR(ISNUMBER(1*$E195),FALSE())))),"Phone must be the LOCAL number for the destination country: digits only, no +, spaces, or country code, 6 to 20 digits. ","")&amp;IF(LEN($F195)&gt;35,"Recipient Company Name exceeds 35 characters. ","")&amp;IF($G195="","Enter Address Line 1. ","")&amp;IF(LEN($G195)&gt;35,"Address Line 1 exceeds the 35-character SAP limit. ","")&amp;IF(LEN($H195)&gt;35,"Address Line 2 exceeds the 35-character SAP limit. ","")&amp;IF(LEN($I195)&gt;35,"Address Line 3 exceeds the 35-character SAP limit. ","")&amp;IF($J195="","Enter Town. This must never be left blank, even if there is no conventional town name. ","")&amp;IF(LEN($J195)&gt;35,"Town exceeds 35 characters. ","")&amp;IF(AND($N195="IE",$K195=""),"County is required for deliveries within the Republic of Ireland. ","")&amp;IF(LEN($AB195)&gt;35,"County exceeds 35 characters. ","")&amp;IF(AND($L195="",AND($N195&lt;&gt;"AE",$N195&lt;&gt;"QA")),"Postcode is required for the selected country. If there is genuinely no postcode, enter the first 3 characters of the area (e.g. D15). ","")&amp;IF(LEN($L195)&gt;35,"Postcode exceeds 35 characters. ","")&amp;IF($AE195&lt;&gt;"",$AE195,"")&amp;IF(LEN($O195)&gt;40,"Gift Message Line 1 exceeds 40 characters. ","")&amp;IF(LEN($P195)&gt;40,"Gift Message Line 2 exceeds 40 characters. ","")&amp;IF(LEN($Q195)&gt;40,"Gift Message Line 3 exceeds 40 characters. ","")&amp;IF(LEN($R195)&gt;40,"Gift Message Line 4 exceeds 40 characters. ","")&amp;IF(LEN($S195)&gt;40,"Gift Message Line 5 exceeds 40 characters. ","")&amp;IF(LEN($T195)&gt;40,"Gift Message Line 6 exceeds 40 characters. ","")&amp;IF(LEN($U195)&gt;40,"Gift Message Line 7 exceeds 40 characters. ",""))</f>
        <v/>
      </c>
      <c r="Y195" s="44" t="str">
        <f t="shared" si="9"/>
        <v/>
      </c>
      <c r="Z195" s="44"/>
      <c r="AA195" s="44"/>
      <c r="AB195" s="32" t="str">
        <f t="shared" si="10"/>
        <v/>
      </c>
      <c r="AC195" s="32" t="str">
        <f>IF($A195="","",IFERROR(LEFT(INDEX('PRODUCT DATA'!$NO$2:$NO$25,MATCH($A195,'PRODUCT DATA'!$NP$2:$NP$25,0)),FIND("|",INDEX('PRODUCT DATA'!$NO$2:$NO$25,MATCH($A195,'PRODUCT DATA'!$NP$2:$NP$25,0)))-1),$A195))</f>
        <v/>
      </c>
      <c r="AD195" s="45"/>
      <c r="AE195" s="45" t="str">
        <f t="shared" si="11"/>
        <v/>
      </c>
    </row>
    <row r="196" spans="1:31" ht="15" customHeight="1" x14ac:dyDescent="0.25">
      <c r="A196" s="40"/>
      <c r="B196" s="43" t="str">
        <f>IF($A196="","",IFERROR(VLOOKUP($AC196,'PRODUCT DATA'!$NR$2:$NS$374,2,FALSE()),"UNKNOWN ITEM CODE - please check"))</f>
        <v/>
      </c>
      <c r="C196" s="39">
        <v>1</v>
      </c>
      <c r="D196" s="39"/>
      <c r="E196" s="40"/>
      <c r="F196" s="41"/>
      <c r="G196" s="39"/>
      <c r="H196" s="41"/>
      <c r="I196" s="41"/>
      <c r="J196" s="39"/>
      <c r="K196" s="41"/>
      <c r="L196" s="40"/>
      <c r="M196" s="40"/>
      <c r="N196" s="42" t="str">
        <f>IF($M196="","",IFERROR(INDEX('PRODUCT DATA'!$B$2:$B$58,MATCH(IF(UPPER($M196)="UK","GB",$M196),'PRODUCT DATA'!$B$2:$B$58,0)),IFERROR(INDEX('PRODUCT DATA'!$B$2:$B$58,MATCH(IF(UPPER($M196)="UK","GB",$M196),'PRODUCT DATA'!$A$2:$A$58,0)),"UNKNOWN COUNTRY - please check")))</f>
        <v/>
      </c>
      <c r="O196" s="41"/>
      <c r="P196" s="41"/>
      <c r="Q196" s="41"/>
      <c r="R196" s="41"/>
      <c r="S196" s="41"/>
      <c r="T196" s="41"/>
      <c r="U196" s="41"/>
      <c r="V196" s="43" t="str">
        <f t="shared" si="8"/>
        <v/>
      </c>
      <c r="W196" s="44" t="str">
        <f ca="1">IF(COUNTA($A196,$D196:$M196,$O196:$U196)=0,"",IF($A196="","Item Code; ","")&amp;IF(AND($A196&lt;&gt;"",ISNA(MATCH($AC196,'PRODUCT DATA'!$D$2:$D$394,0))),"Item Code; ","")&amp;IF($M196="","Country; ","")&amp;IF(AND($M196&lt;&gt;"",NOT(OR(NOT(ISNA(MATCH(IF(UPPER($M196)="UK","GB",$M196),'PRODUCT DATA'!$A$2:$A$58,0))),NOT(ISNA(MATCH(IF(UPPER($M196)="UK","GB",$M196),'PRODUCT DATA'!$B$2:$B$58,0)))))),"Country; ","")&amp;IF(AND($A196&lt;&gt;"",$M196&lt;&gt;"",NOT(ISNA(MATCH($AC196,'PRODUCT DATA'!$D$2:$D$394,0))),OR(NOT(ISNA(MATCH(IF(UPPER($M196)="UK","GB",$M196),'PRODUCT DATA'!$A$2:$A$58,0))),NOT(ISNA(MATCH(IF(UPPER($M196)="UK","GB",$M196),'PRODUCT DATA'!$B$2:$B$58,0)))),NOT(IFERROR(COUNTIF(OFFSET('PRODUCT DATA'!$F$2,0,MATCH($AC196,'PRODUCT DATA'!$F$1:$NN$1,0)-1,114,1),$N196)&gt;0,FALSE()))),IF(UPPER(IFERROR(OFFSET('PRODUCT DATA'!$C$2,MATCH($N196,'PRODUCT DATA'!$B$2:$B$58,0)-1,0),""))="NO","Alcohol Restriction; ","Item Code / Country combination; "),"")&amp;IF($C196="","Quantity; ","")&amp;IF(AND($C196&lt;&gt;"",OR(NOT(ISNUMBER($C196)),$C196&lt;1,$C196&gt;999,MOD($C196,1)&lt;&gt;0)),"Quantity; ","")&amp;IF($D196="","Recipient Name; ","")&amp;IF(LEN($D196)&gt;35,"Recipient Name; ","")&amp;IF($E196="","Recipient Phone; ","")&amp;IF(AND($E196&lt;&gt;"",OR(LEN($E196)&lt;6,LEN($E196)&gt;20,NOT(IFERROR(ISNUMBER(1*$E196),FALSE())))),"Recipient Phone; ","")&amp;IF(LEN($F196)&gt;35,"Recipient Company Name; ","")&amp;IF($G196="","Address Line 1; ","")&amp;IF(LEN($G196)&gt;35,"Address Line 1; ","")&amp;IF(LEN($H196)&gt;35,"Address Line 2; ","")&amp;IF(LEN($I196)&gt;35,"Address Line 3; ","")&amp;IF($J196="","Town; ","")&amp;IF(LEN($J196)&gt;35,"Town; ","")&amp;IF(AND($N196="IE",$K196=""),"County; ","")&amp;IF(LEN($AB196)&gt;35,"County; ","")&amp;IF(AND($L196="",AND($N196&lt;&gt;"AE",$N196&lt;&gt;"QA")),"Postcode; ","")&amp;IF(LEN($L196)&gt;35,"Postcode; ","")&amp;IF($AE196&lt;&gt;"","Postcode; ","")&amp;IF(LEN($O196)&gt;40,"Gift Message 1; ","")&amp;IF(LEN($P196)&gt;40,"Gift Message 2; ","")&amp;IF(LEN($Q196)&gt;40,"Gift Message 3; ","")&amp;IF(LEN($R196)&gt;40,"Gift Message 4; ","")&amp;IF(LEN($S196)&gt;40,"Gift Message 5; ","")&amp;IF(LEN($T196)&gt;40,"Gift Message 6; ","")&amp;IF(LEN($U196)&gt;40,"Gift Message 7; ",""))</f>
        <v/>
      </c>
      <c r="X196" s="44" t="str">
        <f ca="1">IF(COUNTA($A196,$D196:$M196,$O196:$U196)=0,"",IF($A196="","Enter the Item Code (hamper) - type it, paste it, or choose it from the dropdown. ","")&amp;IF(AND($A196&lt;&gt;"",ISNA(MATCH($AC196,'PRODUCT DATA'!$D$2:$D$394,0))),"This Item Code is not recognised. Check the code (case does not matter, but spelling and digits must match exactly) or choose it from the dropdown. ","")&amp;IF($M196="","Enter the Country after the Item Code - type or paste the name or the 2-letter code, or choose it from the dropdown. ","")&amp;IF(AND($M196&lt;&gt;"",NOT(OR(NOT(ISNA(MATCH(IF(UPPER($M196)="UK","GB",$M196),'PRODUCT DATA'!$A$2:$A$58,0))),NOT(ISNA(MATCH(IF(UPPER($M196)="UK","GB",$M196),'PRODUCT DATA'!$B$2:$B$58,0)))))),"This Country is not recognised as either a full name or a 2-letter code. Check the spelling (case does not matter) or choose it from the dropdown. ","")&amp;IF(AND($A196&lt;&gt;"",$M196&lt;&gt;"",NOT(ISNA(MATCH($AC196,'PRODUCT DATA'!$D$2:$D$394,0))),OR(NOT(ISNA(MATCH(IF(UPPER($M196)="UK","GB",$M196),'PRODUCT DATA'!$A$2:$A$58,0))),NOT(ISNA(MATCH(IF(UPPER($M196)="UK","GB",$M196),'PRODUCT DATA'!$B$2:$B$58,0)))),NOT(IFERROR(COUNTIF(OFFSET('PRODUCT DATA'!$F$2,0,MATCH($AC196,'PRODUCT DATA'!$F$1:$NN$1,0)-1,114,1),$N196)&gt;0,FALSE()))),IF(UPPER(IFERROR(OFFSET('PRODUCT DATA'!$C$2,MATCH($N196,'PRODUCT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"),"")&amp;IF($C196="","Enter Quantity. ","")&amp;IF(AND($C196&lt;&gt;"",OR(NOT(ISNUMBER($C196)),$C196&lt;1,$C196&gt;999,MOD($C196,1)&lt;&gt;0)),"Quantity must be a whole number from 1 to 999 (use a quantity above 1 only for a genuine bulk order of identical items to ONE address — otherwise use a separate row per recipient). ","")&amp;IF($D196="","Enter Recipient Name. ","")&amp;IF(LEN($D196)&gt;35,"Recipient Name exceeds 35 characters. ","")&amp;IF($E196="","Enter Recipient Phone. ","")&amp;IF(AND($E196&lt;&gt;"",OR(LEN($E196)&lt;6,LEN($E196)&gt;20,NOT(IFERROR(ISNUMBER(1*$E196),FALSE())))),"Phone must be the LOCAL number for the destination country: digits only, no +, spaces, or country code, 6 to 20 digits. ","")&amp;IF(LEN($F196)&gt;35,"Recipient Company Name exceeds 35 characters. ","")&amp;IF($G196="","Enter Address Line 1. ","")&amp;IF(LEN($G196)&gt;35,"Address Line 1 exceeds the 35-character SAP limit. ","")&amp;IF(LEN($H196)&gt;35,"Address Line 2 exceeds the 35-character SAP limit. ","")&amp;IF(LEN($I196)&gt;35,"Address Line 3 exceeds the 35-character SAP limit. ","")&amp;IF($J196="","Enter Town. This must never be left blank, even if there is no conventional town name. ","")&amp;IF(LEN($J196)&gt;35,"Town exceeds 35 characters. ","")&amp;IF(AND($N196="IE",$K196=""),"County is required for deliveries within the Republic of Ireland. ","")&amp;IF(LEN($AB196)&gt;35,"County exceeds 35 characters. ","")&amp;IF(AND($L196="",AND($N196&lt;&gt;"AE",$N196&lt;&gt;"QA")),"Postcode is required for the selected country. If there is genuinely no postcode, enter the first 3 characters of the area (e.g. D15). ","")&amp;IF(LEN($L196)&gt;35,"Postcode exceeds 35 characters. ","")&amp;IF($AE196&lt;&gt;"",$AE196,"")&amp;IF(LEN($O196)&gt;40,"Gift Message Line 1 exceeds 40 characters. ","")&amp;IF(LEN($P196)&gt;40,"Gift Message Line 2 exceeds 40 characters. ","")&amp;IF(LEN($Q196)&gt;40,"Gift Message Line 3 exceeds 40 characters. ","")&amp;IF(LEN($R196)&gt;40,"Gift Message Line 4 exceeds 40 characters. ","")&amp;IF(LEN($S196)&gt;40,"Gift Message Line 5 exceeds 40 characters. ","")&amp;IF(LEN($T196)&gt;40,"Gift Message Line 6 exceeds 40 characters. ","")&amp;IF(LEN($U196)&gt;40,"Gift Message Line 7 exceeds 40 characters. ",""))</f>
        <v/>
      </c>
      <c r="Y196" s="44" t="str">
        <f t="shared" si="9"/>
        <v/>
      </c>
      <c r="Z196" s="44"/>
      <c r="AA196" s="44"/>
      <c r="AB196" s="32" t="str">
        <f t="shared" si="10"/>
        <v/>
      </c>
      <c r="AC196" s="32" t="str">
        <f>IF($A196="","",IFERROR(LEFT(INDEX('PRODUCT DATA'!$NO$2:$NO$25,MATCH($A196,'PRODUCT DATA'!$NP$2:$NP$25,0)),FIND("|",INDEX('PRODUCT DATA'!$NO$2:$NO$25,MATCH($A196,'PRODUCT DATA'!$NP$2:$NP$25,0)))-1),$A196))</f>
        <v/>
      </c>
      <c r="AD196" s="45"/>
      <c r="AE196" s="45" t="str">
        <f t="shared" si="11"/>
        <v/>
      </c>
    </row>
    <row r="197" spans="1:31" ht="15" customHeight="1" x14ac:dyDescent="0.25">
      <c r="A197" s="40"/>
      <c r="B197" s="43" t="str">
        <f>IF($A197="","",IFERROR(VLOOKUP($AC197,'PRODUCT DATA'!$NR$2:$NS$374,2,FALSE()),"UNKNOWN ITEM CODE - please check"))</f>
        <v/>
      </c>
      <c r="C197" s="39">
        <v>1</v>
      </c>
      <c r="D197" s="39"/>
      <c r="E197" s="40"/>
      <c r="F197" s="41"/>
      <c r="G197" s="39"/>
      <c r="H197" s="41"/>
      <c r="I197" s="41"/>
      <c r="J197" s="39"/>
      <c r="K197" s="41"/>
      <c r="L197" s="40"/>
      <c r="M197" s="40"/>
      <c r="N197" s="42" t="str">
        <f>IF($M197="","",IFERROR(INDEX('PRODUCT DATA'!$B$2:$B$58,MATCH(IF(UPPER($M197)="UK","GB",$M197),'PRODUCT DATA'!$B$2:$B$58,0)),IFERROR(INDEX('PRODUCT DATA'!$B$2:$B$58,MATCH(IF(UPPER($M197)="UK","GB",$M197),'PRODUCT DATA'!$A$2:$A$58,0)),"UNKNOWN COUNTRY - please check")))</f>
        <v/>
      </c>
      <c r="O197" s="41"/>
      <c r="P197" s="41"/>
      <c r="Q197" s="41"/>
      <c r="R197" s="41"/>
      <c r="S197" s="41"/>
      <c r="T197" s="41"/>
      <c r="U197" s="41"/>
      <c r="V197" s="43" t="str">
        <f t="shared" si="8"/>
        <v/>
      </c>
      <c r="W197" s="44" t="str">
        <f ca="1">IF(COUNTA($A197,$D197:$M197,$O197:$U197)=0,"",IF($A197="","Item Code; ","")&amp;IF(AND($A197&lt;&gt;"",ISNA(MATCH($AC197,'PRODUCT DATA'!$D$2:$D$394,0))),"Item Code; ","")&amp;IF($M197="","Country; ","")&amp;IF(AND($M197&lt;&gt;"",NOT(OR(NOT(ISNA(MATCH(IF(UPPER($M197)="UK","GB",$M197),'PRODUCT DATA'!$A$2:$A$58,0))),NOT(ISNA(MATCH(IF(UPPER($M197)="UK","GB",$M197),'PRODUCT DATA'!$B$2:$B$58,0)))))),"Country; ","")&amp;IF(AND($A197&lt;&gt;"",$M197&lt;&gt;"",NOT(ISNA(MATCH($AC197,'PRODUCT DATA'!$D$2:$D$394,0))),OR(NOT(ISNA(MATCH(IF(UPPER($M197)="UK","GB",$M197),'PRODUCT DATA'!$A$2:$A$58,0))),NOT(ISNA(MATCH(IF(UPPER($M197)="UK","GB",$M197),'PRODUCT DATA'!$B$2:$B$58,0)))),NOT(IFERROR(COUNTIF(OFFSET('PRODUCT DATA'!$F$2,0,MATCH($AC197,'PRODUCT DATA'!$F$1:$NN$1,0)-1,114,1),$N197)&gt;0,FALSE()))),IF(UPPER(IFERROR(OFFSET('PRODUCT DATA'!$C$2,MATCH($N197,'PRODUCT DATA'!$B$2:$B$58,0)-1,0),""))="NO","Alcohol Restriction; ","Item Code / Country combination; "),"")&amp;IF($C197="","Quantity; ","")&amp;IF(AND($C197&lt;&gt;"",OR(NOT(ISNUMBER($C197)),$C197&lt;1,$C197&gt;999,MOD($C197,1)&lt;&gt;0)),"Quantity; ","")&amp;IF($D197="","Recipient Name; ","")&amp;IF(LEN($D197)&gt;35,"Recipient Name; ","")&amp;IF($E197="","Recipient Phone; ","")&amp;IF(AND($E197&lt;&gt;"",OR(LEN($E197)&lt;6,LEN($E197)&gt;20,NOT(IFERROR(ISNUMBER(1*$E197),FALSE())))),"Recipient Phone; ","")&amp;IF(LEN($F197)&gt;35,"Recipient Company Name; ","")&amp;IF($G197="","Address Line 1; ","")&amp;IF(LEN($G197)&gt;35,"Address Line 1; ","")&amp;IF(LEN($H197)&gt;35,"Address Line 2; ","")&amp;IF(LEN($I197)&gt;35,"Address Line 3; ","")&amp;IF($J197="","Town; ","")&amp;IF(LEN($J197)&gt;35,"Town; ","")&amp;IF(AND($N197="IE",$K197=""),"County; ","")&amp;IF(LEN($AB197)&gt;35,"County; ","")&amp;IF(AND($L197="",AND($N197&lt;&gt;"AE",$N197&lt;&gt;"QA")),"Postcode; ","")&amp;IF(LEN($L197)&gt;35,"Postcode; ","")&amp;IF($AE197&lt;&gt;"","Postcode; ","")&amp;IF(LEN($O197)&gt;40,"Gift Message 1; ","")&amp;IF(LEN($P197)&gt;40,"Gift Message 2; ","")&amp;IF(LEN($Q197)&gt;40,"Gift Message 3; ","")&amp;IF(LEN($R197)&gt;40,"Gift Message 4; ","")&amp;IF(LEN($S197)&gt;40,"Gift Message 5; ","")&amp;IF(LEN($T197)&gt;40,"Gift Message 6; ","")&amp;IF(LEN($U197)&gt;40,"Gift Message 7; ",""))</f>
        <v/>
      </c>
      <c r="X197" s="44" t="str">
        <f ca="1">IF(COUNTA($A197,$D197:$M197,$O197:$U197)=0,"",IF($A197="","Enter the Item Code (hamper) - type it, paste it, or choose it from the dropdown. ","")&amp;IF(AND($A197&lt;&gt;"",ISNA(MATCH($AC197,'PRODUCT DATA'!$D$2:$D$394,0))),"This Item Code is not recognised. Check the code (case does not matter, but spelling and digits must match exactly) or choose it from the dropdown. ","")&amp;IF($M197="","Enter the Country after the Item Code - type or paste the name or the 2-letter code, or choose it from the dropdown. ","")&amp;IF(AND($M197&lt;&gt;"",NOT(OR(NOT(ISNA(MATCH(IF(UPPER($M197)="UK","GB",$M197),'PRODUCT DATA'!$A$2:$A$58,0))),NOT(ISNA(MATCH(IF(UPPER($M197)="UK","GB",$M197),'PRODUCT DATA'!$B$2:$B$58,0)))))),"This Country is not recognised as either a full name or a 2-letter code. Check the spelling (case does not matter) or choose it from the dropdown. ","")&amp;IF(AND($A197&lt;&gt;"",$M197&lt;&gt;"",NOT(ISNA(MATCH($AC197,'PRODUCT DATA'!$D$2:$D$394,0))),OR(NOT(ISNA(MATCH(IF(UPPER($M197)="UK","GB",$M197),'PRODUCT DATA'!$A$2:$A$58,0))),NOT(ISNA(MATCH(IF(UPPER($M197)="UK","GB",$M197),'PRODUCT DATA'!$B$2:$B$58,0)))),NOT(IFERROR(COUNTIF(OFFSET('PRODUCT DATA'!$F$2,0,MATCH($AC197,'PRODUCT DATA'!$F$1:$NN$1,0)-1,114,1),$N197)&gt;0,FALSE()))),IF(UPPER(IFERROR(OFFSET('PRODUCT DATA'!$C$2,MATCH($N197,'PRODUCT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"),"")&amp;IF($C197="","Enter Quantity. ","")&amp;IF(AND($C197&lt;&gt;"",OR(NOT(ISNUMBER($C197)),$C197&lt;1,$C197&gt;999,MOD($C197,1)&lt;&gt;0)),"Quantity must be a whole number from 1 to 999 (use a quantity above 1 only for a genuine bulk order of identical items to ONE address — otherwise use a separate row per recipient). ","")&amp;IF($D197="","Enter Recipient Name. ","")&amp;IF(LEN($D197)&gt;35,"Recipient Name exceeds 35 characters. ","")&amp;IF($E197="","Enter Recipient Phone. ","")&amp;IF(AND($E197&lt;&gt;"",OR(LEN($E197)&lt;6,LEN($E197)&gt;20,NOT(IFERROR(ISNUMBER(1*$E197),FALSE())))),"Phone must be the LOCAL number for the destination country: digits only, no +, spaces, or country code, 6 to 20 digits. ","")&amp;IF(LEN($F197)&gt;35,"Recipient Company Name exceeds 35 characters. ","")&amp;IF($G197="","Enter Address Line 1. ","")&amp;IF(LEN($G197)&gt;35,"Address Line 1 exceeds the 35-character SAP limit. ","")&amp;IF(LEN($H197)&gt;35,"Address Line 2 exceeds the 35-character SAP limit. ","")&amp;IF(LEN($I197)&gt;35,"Address Line 3 exceeds the 35-character SAP limit. ","")&amp;IF($J197="","Enter Town. This must never be left blank, even if there is no conventional town name. ","")&amp;IF(LEN($J197)&gt;35,"Town exceeds 35 characters. ","")&amp;IF(AND($N197="IE",$K197=""),"County is required for deliveries within the Republic of Ireland. ","")&amp;IF(LEN($AB197)&gt;35,"County exceeds 35 characters. ","")&amp;IF(AND($L197="",AND($N197&lt;&gt;"AE",$N197&lt;&gt;"QA")),"Postcode is required for the selected country. If there is genuinely no postcode, enter the first 3 characters of the area (e.g. D15). ","")&amp;IF(LEN($L197)&gt;35,"Postcode exceeds 35 characters. ","")&amp;IF($AE197&lt;&gt;"",$AE197,"")&amp;IF(LEN($O197)&gt;40,"Gift Message Line 1 exceeds 40 characters. ","")&amp;IF(LEN($P197)&gt;40,"Gift Message Line 2 exceeds 40 characters. ","")&amp;IF(LEN($Q197)&gt;40,"Gift Message Line 3 exceeds 40 characters. ","")&amp;IF(LEN($R197)&gt;40,"Gift Message Line 4 exceeds 40 characters. ","")&amp;IF(LEN($S197)&gt;40,"Gift Message Line 5 exceeds 40 characters. ","")&amp;IF(LEN($T197)&gt;40,"Gift Message Line 6 exceeds 40 characters. ","")&amp;IF(LEN($U197)&gt;40,"Gift Message Line 7 exceeds 40 characters. ",""))</f>
        <v/>
      </c>
      <c r="Y197" s="44" t="str">
        <f t="shared" si="9"/>
        <v/>
      </c>
      <c r="Z197" s="44"/>
      <c r="AA197" s="44"/>
      <c r="AB197" s="32" t="str">
        <f t="shared" si="10"/>
        <v/>
      </c>
      <c r="AC197" s="32" t="str">
        <f>IF($A197="","",IFERROR(LEFT(INDEX('PRODUCT DATA'!$NO$2:$NO$25,MATCH($A197,'PRODUCT DATA'!$NP$2:$NP$25,0)),FIND("|",INDEX('PRODUCT DATA'!$NO$2:$NO$25,MATCH($A197,'PRODUCT DATA'!$NP$2:$NP$25,0)))-1),$A197))</f>
        <v/>
      </c>
      <c r="AD197" s="45"/>
      <c r="AE197" s="45" t="str">
        <f t="shared" si="11"/>
        <v/>
      </c>
    </row>
    <row r="198" spans="1:31" ht="15" customHeight="1" x14ac:dyDescent="0.25">
      <c r="A198" s="40"/>
      <c r="B198" s="43" t="str">
        <f>IF($A198="","",IFERROR(VLOOKUP($AC198,'PRODUCT DATA'!$NR$2:$NS$374,2,FALSE()),"UNKNOWN ITEM CODE - please check"))</f>
        <v/>
      </c>
      <c r="C198" s="39">
        <v>1</v>
      </c>
      <c r="D198" s="39"/>
      <c r="E198" s="40"/>
      <c r="F198" s="41"/>
      <c r="G198" s="39"/>
      <c r="H198" s="41"/>
      <c r="I198" s="41"/>
      <c r="J198" s="39"/>
      <c r="K198" s="41"/>
      <c r="L198" s="40"/>
      <c r="M198" s="40"/>
      <c r="N198" s="42" t="str">
        <f>IF($M198="","",IFERROR(INDEX('PRODUCT DATA'!$B$2:$B$58,MATCH(IF(UPPER($M198)="UK","GB",$M198),'PRODUCT DATA'!$B$2:$B$58,0)),IFERROR(INDEX('PRODUCT DATA'!$B$2:$B$58,MATCH(IF(UPPER($M198)="UK","GB",$M198),'PRODUCT DATA'!$A$2:$A$58,0)),"UNKNOWN COUNTRY - please check")))</f>
        <v/>
      </c>
      <c r="O198" s="41"/>
      <c r="P198" s="41"/>
      <c r="Q198" s="41"/>
      <c r="R198" s="41"/>
      <c r="S198" s="41"/>
      <c r="T198" s="41"/>
      <c r="U198" s="41"/>
      <c r="V198" s="43" t="str">
        <f t="shared" ref="V198:V261" si="12">IF(COUNTA($A198,$D198:$M198,$O198:$U198)=0,"",IF($X198="","OK","FIX"))</f>
        <v/>
      </c>
      <c r="W198" s="44" t="str">
        <f ca="1">IF(COUNTA($A198,$D198:$M198,$O198:$U198)=0,"",IF($A198="","Item Code; ","")&amp;IF(AND($A198&lt;&gt;"",ISNA(MATCH($AC198,'PRODUCT DATA'!$D$2:$D$394,0))),"Item Code; ","")&amp;IF($M198="","Country; ","")&amp;IF(AND($M198&lt;&gt;"",NOT(OR(NOT(ISNA(MATCH(IF(UPPER($M198)="UK","GB",$M198),'PRODUCT DATA'!$A$2:$A$58,0))),NOT(ISNA(MATCH(IF(UPPER($M198)="UK","GB",$M198),'PRODUCT DATA'!$B$2:$B$58,0)))))),"Country; ","")&amp;IF(AND($A198&lt;&gt;"",$M198&lt;&gt;"",NOT(ISNA(MATCH($AC198,'PRODUCT DATA'!$D$2:$D$394,0))),OR(NOT(ISNA(MATCH(IF(UPPER($M198)="UK","GB",$M198),'PRODUCT DATA'!$A$2:$A$58,0))),NOT(ISNA(MATCH(IF(UPPER($M198)="UK","GB",$M198),'PRODUCT DATA'!$B$2:$B$58,0)))),NOT(IFERROR(COUNTIF(OFFSET('PRODUCT DATA'!$F$2,0,MATCH($AC198,'PRODUCT DATA'!$F$1:$NN$1,0)-1,114,1),$N198)&gt;0,FALSE()))),IF(UPPER(IFERROR(OFFSET('PRODUCT DATA'!$C$2,MATCH($N198,'PRODUCT DATA'!$B$2:$B$58,0)-1,0),""))="NO","Alcohol Restriction; ","Item Code / Country combination; "),"")&amp;IF($C198="","Quantity; ","")&amp;IF(AND($C198&lt;&gt;"",OR(NOT(ISNUMBER($C198)),$C198&lt;1,$C198&gt;999,MOD($C198,1)&lt;&gt;0)),"Quantity; ","")&amp;IF($D198="","Recipient Name; ","")&amp;IF(LEN($D198)&gt;35,"Recipient Name; ","")&amp;IF($E198="","Recipient Phone; ","")&amp;IF(AND($E198&lt;&gt;"",OR(LEN($E198)&lt;6,LEN($E198)&gt;20,NOT(IFERROR(ISNUMBER(1*$E198),FALSE())))),"Recipient Phone; ","")&amp;IF(LEN($F198)&gt;35,"Recipient Company Name; ","")&amp;IF($G198="","Address Line 1; ","")&amp;IF(LEN($G198)&gt;35,"Address Line 1; ","")&amp;IF(LEN($H198)&gt;35,"Address Line 2; ","")&amp;IF(LEN($I198)&gt;35,"Address Line 3; ","")&amp;IF($J198="","Town; ","")&amp;IF(LEN($J198)&gt;35,"Town; ","")&amp;IF(AND($N198="IE",$K198=""),"County; ","")&amp;IF(LEN($AB198)&gt;35,"County; ","")&amp;IF(AND($L198="",AND($N198&lt;&gt;"AE",$N198&lt;&gt;"QA")),"Postcode; ","")&amp;IF(LEN($L198)&gt;35,"Postcode; ","")&amp;IF($AE198&lt;&gt;"","Postcode; ","")&amp;IF(LEN($O198)&gt;40,"Gift Message 1; ","")&amp;IF(LEN($P198)&gt;40,"Gift Message 2; ","")&amp;IF(LEN($Q198)&gt;40,"Gift Message 3; ","")&amp;IF(LEN($R198)&gt;40,"Gift Message 4; ","")&amp;IF(LEN($S198)&gt;40,"Gift Message 5; ","")&amp;IF(LEN($T198)&gt;40,"Gift Message 6; ","")&amp;IF(LEN($U198)&gt;40,"Gift Message 7; ",""))</f>
        <v/>
      </c>
      <c r="X198" s="44" t="str">
        <f ca="1">IF(COUNTA($A198,$D198:$M198,$O198:$U198)=0,"",IF($A198="","Enter the Item Code (hamper) - type it, paste it, or choose it from the dropdown. ","")&amp;IF(AND($A198&lt;&gt;"",ISNA(MATCH($AC198,'PRODUCT DATA'!$D$2:$D$394,0))),"This Item Code is not recognised. Check the code (case does not matter, but spelling and digits must match exactly) or choose it from the dropdown. ","")&amp;IF($M198="","Enter the Country after the Item Code - type or paste the name or the 2-letter code, or choose it from the dropdown. ","")&amp;IF(AND($M198&lt;&gt;"",NOT(OR(NOT(ISNA(MATCH(IF(UPPER($M198)="UK","GB",$M198),'PRODUCT DATA'!$A$2:$A$58,0))),NOT(ISNA(MATCH(IF(UPPER($M198)="UK","GB",$M198),'PRODUCT DATA'!$B$2:$B$58,0)))))),"This Country is not recognised as either a full name or a 2-letter code. Check the spelling (case does not matter) or choose it from the dropdown. ","")&amp;IF(AND($A198&lt;&gt;"",$M198&lt;&gt;"",NOT(ISNA(MATCH($AC198,'PRODUCT DATA'!$D$2:$D$394,0))),OR(NOT(ISNA(MATCH(IF(UPPER($M198)="UK","GB",$M198),'PRODUCT DATA'!$A$2:$A$58,0))),NOT(ISNA(MATCH(IF(UPPER($M198)="UK","GB",$M198),'PRODUCT DATA'!$B$2:$B$58,0)))),NOT(IFERROR(COUNTIF(OFFSET('PRODUCT DATA'!$F$2,0,MATCH($AC198,'PRODUCT DATA'!$F$1:$NN$1,0)-1,114,1),$N198)&gt;0,FALSE()))),IF(UPPER(IFERROR(OFFSET('PRODUCT DATA'!$C$2,MATCH($N198,'PRODUCT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"),"")&amp;IF($C198="","Enter Quantity. ","")&amp;IF(AND($C198&lt;&gt;"",OR(NOT(ISNUMBER($C198)),$C198&lt;1,$C198&gt;999,MOD($C198,1)&lt;&gt;0)),"Quantity must be a whole number from 1 to 999 (use a quantity above 1 only for a genuine bulk order of identical items to ONE address — otherwise use a separate row per recipient). ","")&amp;IF($D198="","Enter Recipient Name. ","")&amp;IF(LEN($D198)&gt;35,"Recipient Name exceeds 35 characters. ","")&amp;IF($E198="","Enter Recipient Phone. ","")&amp;IF(AND($E198&lt;&gt;"",OR(LEN($E198)&lt;6,LEN($E198)&gt;20,NOT(IFERROR(ISNUMBER(1*$E198),FALSE())))),"Phone must be the LOCAL number for the destination country: digits only, no +, spaces, or country code, 6 to 20 digits. ","")&amp;IF(LEN($F198)&gt;35,"Recipient Company Name exceeds 35 characters. ","")&amp;IF($G198="","Enter Address Line 1. ","")&amp;IF(LEN($G198)&gt;35,"Address Line 1 exceeds the 35-character SAP limit. ","")&amp;IF(LEN($H198)&gt;35,"Address Line 2 exceeds the 35-character SAP limit. ","")&amp;IF(LEN($I198)&gt;35,"Address Line 3 exceeds the 35-character SAP limit. ","")&amp;IF($J198="","Enter Town. This must never be left blank, even if there is no conventional town name. ","")&amp;IF(LEN($J198)&gt;35,"Town exceeds 35 characters. ","")&amp;IF(AND($N198="IE",$K198=""),"County is required for deliveries within the Republic of Ireland. ","")&amp;IF(LEN($AB198)&gt;35,"County exceeds 35 characters. ","")&amp;IF(AND($L198="",AND($N198&lt;&gt;"AE",$N198&lt;&gt;"QA")),"Postcode is required for the selected country. If there is genuinely no postcode, enter the first 3 characters of the area (e.g. D15). ","")&amp;IF(LEN($L198)&gt;35,"Postcode exceeds 35 characters. ","")&amp;IF($AE198&lt;&gt;"",$AE198,"")&amp;IF(LEN($O198)&gt;40,"Gift Message Line 1 exceeds 40 characters. ","")&amp;IF(LEN($P198)&gt;40,"Gift Message Line 2 exceeds 40 characters. ","")&amp;IF(LEN($Q198)&gt;40,"Gift Message Line 3 exceeds 40 characters. ","")&amp;IF(LEN($R198)&gt;40,"Gift Message Line 4 exceeds 40 characters. ","")&amp;IF(LEN($S198)&gt;40,"Gift Message Line 5 exceeds 40 characters. ","")&amp;IF(LEN($T198)&gt;40,"Gift Message Line 6 exceeds 40 characters. ","")&amp;IF(LEN($U198)&gt;40,"Gift Message Line 7 exceeds 40 characters. ",""))</f>
        <v/>
      </c>
      <c r="Y198" s="44" t="str">
        <f t="shared" ref="Y198:Y261" si="13">IF(AND(NOT(COUNTA($A198,$D198:$M198,$O198:$U198)=0),ISNUMBER($C198),$C198&gt;1),"Quantity is more than 1 - confirm this is a genuine bulk order to ONE address before SAP entry. ","")&amp;IF(AND(NOT(COUNTA($A198,$D198:$M198,$O198:$U198)=0),AND($O198="",$P198="",$Q198="",$R198="",$S198="",$T198="",$U198="")),"No gift message entered - add our standard message before this goes to SAP. ","")&amp;IF(AND(NOT(COUNTA($A198,$D198:$M198,$O198:$U198)=0),AND($N198&lt;&gt;"AT",$N198&lt;&gt;"BE",$N198&lt;&gt;"BG",$N198&lt;&gt;"CY",$N198&lt;&gt;"CZ",$N198&lt;&gt;"DE",$N198&lt;&gt;"DK",$N198&lt;&gt;"EE",$N198&lt;&gt;"ES",$N198&lt;&gt;"FI",$N198&lt;&gt;"FR",$N198&lt;&gt;"GB",$N198&lt;&gt;"GR",$N198&lt;&gt;"HR",$N198&lt;&gt;"HU",$N198&lt;&gt;"IC",$N198&lt;&gt;"IE",$N198&lt;&gt;"IT",$N198&lt;&gt;"LT",$N198&lt;&gt;"LU",$N198&lt;&gt;"LV",$N198&lt;&gt;"MT",$N198&lt;&gt;"NL",$N198&lt;&gt;"PL",$N198&lt;&gt;"PT",$N198&lt;&gt;"RO",$N198&lt;&gt;"SE",$N198&lt;&gt;"SI",$N198&lt;&gt;"SK",$N198&lt;&gt;"VA"),$K198&lt;&gt;""),"Non-EU/UK/Ireland delivery with County filled in - check the SAP Town/Address-3 field-swap rule (State goes in Town, City goes in Address Line 3) before SAP entry. ","")&amp;IF($AA198&lt;&gt;"",$AA198&amp;" ","")</f>
        <v/>
      </c>
      <c r="Z198" s="44"/>
      <c r="AA198" s="44"/>
      <c r="AB198" s="32" t="str">
        <f t="shared" ref="AB198:AB261" si="14">IF(TRIM($K198)="","",IF(LEFT(UPPER(TRIM($K198)),4)="CO. ",TRIM(MID(TRIM($K198),5,255)),IF(LEFT(UPPER(TRIM($K198)),3)="CO ",TRIM(MID(TRIM($K198),4,255)),IF(LEFT(UPPER(TRIM($K198)),7)="COUNTY ",TRIM(MID(TRIM($K198),8,255)),TRIM($K198)))))</f>
        <v/>
      </c>
      <c r="AC198" s="32" t="str">
        <f>IF($A198="","",IFERROR(LEFT(INDEX('PRODUCT DATA'!$NO$2:$NO$25,MATCH($A198,'PRODUCT DATA'!$NP$2:$NP$25,0)),FIND("|",INDEX('PRODUCT DATA'!$NO$2:$NO$25,MATCH($A198,'PRODUCT DATA'!$NP$2:$NP$25,0)))-1),$A198))</f>
        <v/>
      </c>
      <c r="AD198" s="45"/>
      <c r="AE198" s="45" t="str">
        <f t="shared" ref="AE198:AE261" si="15">IF(OR($L198="",$N198=""),"",IF($N198="US",IF(OR(AND(LEN((SUBSTITUTE(TRIM($L198)," ","")))=5,ISNUMBER(VALUE((SUBSTITUTE(TRIM($L198)," ",""))))),AND(LEN((SUBSTITUTE(TRIM($L198)," ","")))=9,ISNUMBER(VALUE((SUBSTITUTE(TRIM($L198)," ",""))))),AND(LEN((SUBSTITUTE(TRIM($L198)," ","")))=10,MID((SUBSTITUTE(TRIM($L198)," ","")),6,1)="-",ISNUMBER(VALUE(LEFT((SUBSTITUTE(TRIM($L198)," ","")),5))),ISNUMBER(VALUE(RIGHT((SUBSTITUTE(TRIM($L198)," ","")),4))))),"","Postcode '"&amp;$L198&amp;"' doesn't look like a valid "&amp;$N198&amp;" postcode - please check it. "),IF($N198="CA",IF(AND(LEN((SUBSTITUTE(TRIM($L198)," ","")))=6,AND(CODE(UPPER(MID((SUBSTITUTE(TRIM($L198)," ","")),1,1)))&gt;=65,CODE(UPPER(MID((SUBSTITUTE(TRIM($L198)," ","")),1,1)))&lt;=90),ISNUMBER(VALUE(MID((SUBSTITUTE(TRIM($L198)," ","")),2,1))),AND(CODE(UPPER(MID((SUBSTITUTE(TRIM($L198)," ","")),3,1)))&gt;=65,CODE(UPPER(MID((SUBSTITUTE(TRIM($L198)," ","")),3,1)))&lt;=90),ISNUMBER(VALUE(MID((SUBSTITUTE(TRIM($L198)," ","")),4,1))),AND(CODE(UPPER(MID((SUBSTITUTE(TRIM($L198)," ","")),5,1)))&gt;=65,CODE(UPPER(MID((SUBSTITUTE(TRIM($L198)," ","")),5,1)))&lt;=90),ISNUMBER(VALUE(MID((SUBSTITUTE(TRIM($L198)," ","")),6,1)))),"","Postcode '"&amp;$L198&amp;"' doesn't look like a valid "&amp;$N198&amp;" postcode - please check it. "),IF($N198="NL",IF(AND(LEN((SUBSTITUTE(TRIM($L198)," ","")))=6,ISNUMBER(VALUE(LEFT((SUBSTITUTE(TRIM($L198)," ","")),4))),AND(CODE(UPPER(MID((SUBSTITUTE(TRIM($L198)," ","")),5,1)))&gt;=65,CODE(UPPER(MID((SUBSTITUTE(TRIM($L198)," ","")),5,1)))&lt;=90),AND(CODE(UPPER(MID((SUBSTITUTE(TRIM($L198)," ","")),6,1)))&gt;=65,CODE(UPPER(MID((SUBSTITUTE(TRIM($L198)," ","")),6,1)))&lt;=90)),"","Postcode '"&amp;$L198&amp;"' doesn't look like a valid "&amp;$N198&amp;" postcode - please check it. "),IF($N198="IE",IF(AND(LEN((SUBSTITUTE(TRIM($L198)," ","")))=7,AND(CODE(UPPER(MID((SUBSTITUTE(TRIM($L198)," ","")),1,1)))&gt;=65,CODE(UPPER(MID((SUBSTITUTE(TRIM($L198)," ","")),1,1)))&lt;=90),ISNUMBER(VALUE(MID((SUBSTITUTE(TRIM($L198)," ","")),2,1))),OR(ISNUMBER(VALUE(MID((SUBSTITUTE(TRIM($L198)," ","")),3,1))),AND(CODE(UPPER(MID((SUBSTITUTE(TRIM($L198)," ","")),3,1)))&gt;=65,CODE(UPPER(MID((SUBSTITUTE(TRIM($L198)," ","")),3,1)))&lt;=90)),OR(ISNUMBER(VALUE(MID((SUBSTITUTE(TRIM($L198)," ","")),4,1))),AND(CODE(UPPER(MID((SUBSTITUTE(TRIM($L198)," ","")),4,1)))&gt;=65,CODE(UPPER(MID((SUBSTITUTE(TRIM($L198)," ","")),4,1)))&lt;=90)),OR(ISNUMBER(VALUE(MID((SUBSTITUTE(TRIM($L198)," ","")),5,1))),AND(CODE(UPPER(MID((SUBSTITUTE(TRIM($L198)," ","")),5,1)))&gt;=65,CODE(UPPER(MID((SUBSTITUTE(TRIM($L198)," ","")),5,1)))&lt;=90)),OR(ISNUMBER(VALUE(MID((SUBSTITUTE(TRIM($L198)," ","")),6,1))),AND(CODE(UPPER(MID((SUBSTITUTE(TRIM($L198)," ","")),6,1)))&gt;=65,CODE(UPPER(MID((SUBSTITUTE(TRIM($L198)," ","")),6,1)))&lt;=90)),OR(ISNUMBER(VALUE(MID((SUBSTITUTE(TRIM($L198)," ","")),7,1))),AND(CODE(UPPER(MID((SUBSTITUTE(TRIM($L198)," ","")),7,1)))&gt;=65,CODE(UPPER(MID((SUBSTITUTE(TRIM($L198)," ","")),7,1)))&lt;=90))),"","Postcode '"&amp;$L198&amp;"' doesn't look like a valid "&amp;$N198&amp;" postcode - please check it. "),IF($N198="GB",IF(AND(OR(LEN((SUBSTITUTE(TRIM($L198)," ","")))=5,LEN((SUBSTITUTE(TRIM($L198)," ","")))=6,LEN((SUBSTITUTE(TRIM($L198)," ","")))=7),AND(ISNUMBER(VALUE(MID((SUBSTITUTE(TRIM($L198)," ","")),LEN((SUBSTITUTE(TRIM($L198)," ","")))-2,1))),AND(CODE(UPPER(MID((SUBSTITUTE(TRIM($L198)," ","")),LEN((SUBSTITUTE(TRIM($L198)," ","")))-1,1)))&gt;=65,CODE(UPPER(MID((SUBSTITUTE(TRIM($L198)," ","")),LEN((SUBSTITUTE(TRIM($L198)," ","")))-1,1)))&lt;=90),AND(CODE(UPPER(MID((SUBSTITUTE(TRIM($L198)," ","")),LEN((SUBSTITUTE(TRIM($L198)," ",""))),1)))&gt;=65,CODE(UPPER(MID((SUBSTITUTE(TRIM($L198)," ","")),LEN((SUBSTITUTE(TRIM($L198)," ",""))),1)))&lt;=90)),IF(LEN((SUBSTITUTE(TRIM($L198)," ","")))-3=2,AND(AND(CODE(UPPER(MID((SUBSTITUTE(TRIM($L198)," ","")),1,1)))&gt;=65,CODE(UPPER(MID((SUBSTITUTE(TRIM($L198)," ","")),1,1)))&lt;=90),ISNUMBER(VALUE(MID((SUBSTITUTE(TRIM($L198)," ","")),2,1)))),IF(LEN((SUBSTITUTE(TRIM($L198)," ","")))-3=3,OR(AND(AND(CODE(UPPER(MID((SUBSTITUTE(TRIM($L198)," ","")),1,1)))&gt;=65,CODE(UPPER(MID((SUBSTITUTE(TRIM($L198)," ","")),1,1)))&lt;=90),ISNUMBER(VALUE(MID((SUBSTITUTE(TRIM($L198)," ","")),2,1))),OR(ISNUMBER(VALUE(MID((SUBSTITUTE(TRIM($L198)," ","")),3,1))),AND(CODE(UPPER(MID((SUBSTITUTE(TRIM($L198)," ","")),3,1)))&gt;=65,CODE(UPPER(MID((SUBSTITUTE(TRIM($L198)," ","")),3,1)))&lt;=90))),AND(AND(CODE(UPPER(MID((SUBSTITUTE(TRIM($L198)," ","")),1,1)))&gt;=65,CODE(UPPER(MID((SUBSTITUTE(TRIM($L198)," ","")),1,1)))&lt;=90),AND(CODE(UPPER(MID((SUBSTITUTE(TRIM($L198)," ","")),2,1)))&gt;=65,CODE(UPPER(MID((SUBSTITUTE(TRIM($L198)," ","")),2,1)))&lt;=90),ISNUMBER(VALUE(MID((SUBSTITUTE(TRIM($L198)," ","")),3,1))))),AND(AND(CODE(UPPER(MID((SUBSTITUTE(TRIM($L198)," ","")),1,1)))&gt;=65,CODE(UPPER(MID((SUBSTITUTE(TRIM($L198)," ","")),1,1)))&lt;=90),AND(CODE(UPPER(MID((SUBSTITUTE(TRIM($L198)," ","")),2,1)))&gt;=65,CODE(UPPER(MID((SUBSTITUTE(TRIM($L198)," ","")),2,1)))&lt;=90),ISNUMBER(VALUE(MID((SUBSTITUTE(TRIM($L198)," ","")),3,1))),OR(ISNUMBER(VALUE(MID((SUBSTITUTE(TRIM($L198)," ","")),4,1))),AND(CODE(UPPER(MID((SUBSTITUTE(TRIM($L198)," ","")),4,1)))&gt;=65,CODE(UPPER(MID((SUBSTITUTE(TRIM($L198)," ","")),4,1)))&lt;=90)))))),"","Postcode '"&amp;$L198&amp;"' doesn't look like a valid "&amp;$N198&amp;" postcode - please check it. "),""))))))</f>
        <v/>
      </c>
    </row>
    <row r="199" spans="1:31" ht="15" customHeight="1" x14ac:dyDescent="0.25">
      <c r="A199" s="40"/>
      <c r="B199" s="43" t="str">
        <f>IF($A199="","",IFERROR(VLOOKUP($AC199,'PRODUCT DATA'!$NR$2:$NS$374,2,FALSE()),"UNKNOWN ITEM CODE - please check"))</f>
        <v/>
      </c>
      <c r="C199" s="39">
        <v>1</v>
      </c>
      <c r="D199" s="39"/>
      <c r="E199" s="40"/>
      <c r="F199" s="41"/>
      <c r="G199" s="39"/>
      <c r="H199" s="41"/>
      <c r="I199" s="41"/>
      <c r="J199" s="39"/>
      <c r="K199" s="41"/>
      <c r="L199" s="40"/>
      <c r="M199" s="40"/>
      <c r="N199" s="42" t="str">
        <f>IF($M199="","",IFERROR(INDEX('PRODUCT DATA'!$B$2:$B$58,MATCH(IF(UPPER($M199)="UK","GB",$M199),'PRODUCT DATA'!$B$2:$B$58,0)),IFERROR(INDEX('PRODUCT DATA'!$B$2:$B$58,MATCH(IF(UPPER($M199)="UK","GB",$M199),'PRODUCT DATA'!$A$2:$A$58,0)),"UNKNOWN COUNTRY - please check")))</f>
        <v/>
      </c>
      <c r="O199" s="41"/>
      <c r="P199" s="41"/>
      <c r="Q199" s="41"/>
      <c r="R199" s="41"/>
      <c r="S199" s="41"/>
      <c r="T199" s="41"/>
      <c r="U199" s="41"/>
      <c r="V199" s="43" t="str">
        <f t="shared" si="12"/>
        <v/>
      </c>
      <c r="W199" s="44" t="str">
        <f ca="1">IF(COUNTA($A199,$D199:$M199,$O199:$U199)=0,"",IF($A199="","Item Code; ","")&amp;IF(AND($A199&lt;&gt;"",ISNA(MATCH($AC199,'PRODUCT DATA'!$D$2:$D$394,0))),"Item Code; ","")&amp;IF($M199="","Country; ","")&amp;IF(AND($M199&lt;&gt;"",NOT(OR(NOT(ISNA(MATCH(IF(UPPER($M199)="UK","GB",$M199),'PRODUCT DATA'!$A$2:$A$58,0))),NOT(ISNA(MATCH(IF(UPPER($M199)="UK","GB",$M199),'PRODUCT DATA'!$B$2:$B$58,0)))))),"Country; ","")&amp;IF(AND($A199&lt;&gt;"",$M199&lt;&gt;"",NOT(ISNA(MATCH($AC199,'PRODUCT DATA'!$D$2:$D$394,0))),OR(NOT(ISNA(MATCH(IF(UPPER($M199)="UK","GB",$M199),'PRODUCT DATA'!$A$2:$A$58,0))),NOT(ISNA(MATCH(IF(UPPER($M199)="UK","GB",$M199),'PRODUCT DATA'!$B$2:$B$58,0)))),NOT(IFERROR(COUNTIF(OFFSET('PRODUCT DATA'!$F$2,0,MATCH($AC199,'PRODUCT DATA'!$F$1:$NN$1,0)-1,114,1),$N199)&gt;0,FALSE()))),IF(UPPER(IFERROR(OFFSET('PRODUCT DATA'!$C$2,MATCH($N199,'PRODUCT DATA'!$B$2:$B$58,0)-1,0),""))="NO","Alcohol Restriction; ","Item Code / Country combination; "),"")&amp;IF($C199="","Quantity; ","")&amp;IF(AND($C199&lt;&gt;"",OR(NOT(ISNUMBER($C199)),$C199&lt;1,$C199&gt;999,MOD($C199,1)&lt;&gt;0)),"Quantity; ","")&amp;IF($D199="","Recipient Name; ","")&amp;IF(LEN($D199)&gt;35,"Recipient Name; ","")&amp;IF($E199="","Recipient Phone; ","")&amp;IF(AND($E199&lt;&gt;"",OR(LEN($E199)&lt;6,LEN($E199)&gt;20,NOT(IFERROR(ISNUMBER(1*$E199),FALSE())))),"Recipient Phone; ","")&amp;IF(LEN($F199)&gt;35,"Recipient Company Name; ","")&amp;IF($G199="","Address Line 1; ","")&amp;IF(LEN($G199)&gt;35,"Address Line 1; ","")&amp;IF(LEN($H199)&gt;35,"Address Line 2; ","")&amp;IF(LEN($I199)&gt;35,"Address Line 3; ","")&amp;IF($J199="","Town; ","")&amp;IF(LEN($J199)&gt;35,"Town; ","")&amp;IF(AND($N199="IE",$K199=""),"County; ","")&amp;IF(LEN($AB199)&gt;35,"County; ","")&amp;IF(AND($L199="",AND($N199&lt;&gt;"AE",$N199&lt;&gt;"QA")),"Postcode; ","")&amp;IF(LEN($L199)&gt;35,"Postcode; ","")&amp;IF($AE199&lt;&gt;"","Postcode; ","")&amp;IF(LEN($O199)&gt;40,"Gift Message 1; ","")&amp;IF(LEN($P199)&gt;40,"Gift Message 2; ","")&amp;IF(LEN($Q199)&gt;40,"Gift Message 3; ","")&amp;IF(LEN($R199)&gt;40,"Gift Message 4; ","")&amp;IF(LEN($S199)&gt;40,"Gift Message 5; ","")&amp;IF(LEN($T199)&gt;40,"Gift Message 6; ","")&amp;IF(LEN($U199)&gt;40,"Gift Message 7; ",""))</f>
        <v/>
      </c>
      <c r="X199" s="44" t="str">
        <f ca="1">IF(COUNTA($A199,$D199:$M199,$O199:$U199)=0,"",IF($A199="","Enter the Item Code (hamper) - type it, paste it, or choose it from the dropdown. ","")&amp;IF(AND($A199&lt;&gt;"",ISNA(MATCH($AC199,'PRODUCT DATA'!$D$2:$D$394,0))),"This Item Code is not recognised. Check the code (case does not matter, but spelling and digits must match exactly) or choose it from the dropdown. ","")&amp;IF($M199="","Enter the Country after the Item Code - type or paste the name or the 2-letter code, or choose it from the dropdown. ","")&amp;IF(AND($M199&lt;&gt;"",NOT(OR(NOT(ISNA(MATCH(IF(UPPER($M199)="UK","GB",$M199),'PRODUCT DATA'!$A$2:$A$58,0))),NOT(ISNA(MATCH(IF(UPPER($M199)="UK","GB",$M199),'PRODUCT DATA'!$B$2:$B$58,0)))))),"This Country is not recognised as either a full name or a 2-letter code. Check the spelling (case does not matter) or choose it from the dropdown. ","")&amp;IF(AND($A199&lt;&gt;"",$M199&lt;&gt;"",NOT(ISNA(MATCH($AC199,'PRODUCT DATA'!$D$2:$D$394,0))),OR(NOT(ISNA(MATCH(IF(UPPER($M199)="UK","GB",$M199),'PRODUCT DATA'!$A$2:$A$58,0))),NOT(ISNA(MATCH(IF(UPPER($M199)="UK","GB",$M199),'PRODUCT DATA'!$B$2:$B$58,0)))),NOT(IFERROR(COUNTIF(OFFSET('PRODUCT DATA'!$F$2,0,MATCH($AC199,'PRODUCT DATA'!$F$1:$NN$1,0)-1,114,1),$N199)&gt;0,FALSE()))),IF(UPPER(IFERROR(OFFSET('PRODUCT DATA'!$C$2,MATCH($N199,'PRODUCT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"),"")&amp;IF($C199="","Enter Quantity. ","")&amp;IF(AND($C199&lt;&gt;"",OR(NOT(ISNUMBER($C199)),$C199&lt;1,$C199&gt;999,MOD($C199,1)&lt;&gt;0)),"Quantity must be a whole number from 1 to 999 (use a quantity above 1 only for a genuine bulk order of identical items to ONE address — otherwise use a separate row per recipient). ","")&amp;IF($D199="","Enter Recipient Name. ","")&amp;IF(LEN($D199)&gt;35,"Recipient Name exceeds 35 characters. ","")&amp;IF($E199="","Enter Recipient Phone. ","")&amp;IF(AND($E199&lt;&gt;"",OR(LEN($E199)&lt;6,LEN($E199)&gt;20,NOT(IFERROR(ISNUMBER(1*$E199),FALSE())))),"Phone must be the LOCAL number for the destination country: digits only, no +, spaces, or country code, 6 to 20 digits. ","")&amp;IF(LEN($F199)&gt;35,"Recipient Company Name exceeds 35 characters. ","")&amp;IF($G199="","Enter Address Line 1. ","")&amp;IF(LEN($G199)&gt;35,"Address Line 1 exceeds the 35-character SAP limit. ","")&amp;IF(LEN($H199)&gt;35,"Address Line 2 exceeds the 35-character SAP limit. ","")&amp;IF(LEN($I199)&gt;35,"Address Line 3 exceeds the 35-character SAP limit. ","")&amp;IF($J199="","Enter Town. This must never be left blank, even if there is no conventional town name. ","")&amp;IF(LEN($J199)&gt;35,"Town exceeds 35 characters. ","")&amp;IF(AND($N199="IE",$K199=""),"County is required for deliveries within the Republic of Ireland. ","")&amp;IF(LEN($AB199)&gt;35,"County exceeds 35 characters. ","")&amp;IF(AND($L199="",AND($N199&lt;&gt;"AE",$N199&lt;&gt;"QA")),"Postcode is required for the selected country. If there is genuinely no postcode, enter the first 3 characters of the area (e.g. D15). ","")&amp;IF(LEN($L199)&gt;35,"Postcode exceeds 35 characters. ","")&amp;IF($AE199&lt;&gt;"",$AE199,"")&amp;IF(LEN($O199)&gt;40,"Gift Message Line 1 exceeds 40 characters. ","")&amp;IF(LEN($P199)&gt;40,"Gift Message Line 2 exceeds 40 characters. ","")&amp;IF(LEN($Q199)&gt;40,"Gift Message Line 3 exceeds 40 characters. ","")&amp;IF(LEN($R199)&gt;40,"Gift Message Line 4 exceeds 40 characters. ","")&amp;IF(LEN($S199)&gt;40,"Gift Message Line 5 exceeds 40 characters. ","")&amp;IF(LEN($T199)&gt;40,"Gift Message Line 6 exceeds 40 characters. ","")&amp;IF(LEN($U199)&gt;40,"Gift Message Line 7 exceeds 40 characters. ",""))</f>
        <v/>
      </c>
      <c r="Y199" s="44" t="str">
        <f t="shared" si="13"/>
        <v/>
      </c>
      <c r="Z199" s="44"/>
      <c r="AA199" s="44"/>
      <c r="AB199" s="32" t="str">
        <f t="shared" si="14"/>
        <v/>
      </c>
      <c r="AC199" s="32" t="str">
        <f>IF($A199="","",IFERROR(LEFT(INDEX('PRODUCT DATA'!$NO$2:$NO$25,MATCH($A199,'PRODUCT DATA'!$NP$2:$NP$25,0)),FIND("|",INDEX('PRODUCT DATA'!$NO$2:$NO$25,MATCH($A199,'PRODUCT DATA'!$NP$2:$NP$25,0)))-1),$A199))</f>
        <v/>
      </c>
      <c r="AD199" s="45"/>
      <c r="AE199" s="45" t="str">
        <f t="shared" si="15"/>
        <v/>
      </c>
    </row>
    <row r="200" spans="1:31" ht="15" customHeight="1" x14ac:dyDescent="0.25">
      <c r="A200" s="40"/>
      <c r="B200" s="43" t="str">
        <f>IF($A200="","",IFERROR(VLOOKUP($AC200,'PRODUCT DATA'!$NR$2:$NS$374,2,FALSE()),"UNKNOWN ITEM CODE - please check"))</f>
        <v/>
      </c>
      <c r="C200" s="39">
        <v>1</v>
      </c>
      <c r="D200" s="39"/>
      <c r="E200" s="40"/>
      <c r="F200" s="41"/>
      <c r="G200" s="39"/>
      <c r="H200" s="41"/>
      <c r="I200" s="41"/>
      <c r="J200" s="39"/>
      <c r="K200" s="41"/>
      <c r="L200" s="40"/>
      <c r="M200" s="40"/>
      <c r="N200" s="42" t="str">
        <f>IF($M200="","",IFERROR(INDEX('PRODUCT DATA'!$B$2:$B$58,MATCH(IF(UPPER($M200)="UK","GB",$M200),'PRODUCT DATA'!$B$2:$B$58,0)),IFERROR(INDEX('PRODUCT DATA'!$B$2:$B$58,MATCH(IF(UPPER($M200)="UK","GB",$M200),'PRODUCT DATA'!$A$2:$A$58,0)),"UNKNOWN COUNTRY - please check")))</f>
        <v/>
      </c>
      <c r="O200" s="41"/>
      <c r="P200" s="41"/>
      <c r="Q200" s="41"/>
      <c r="R200" s="41"/>
      <c r="S200" s="41"/>
      <c r="T200" s="41"/>
      <c r="U200" s="41"/>
      <c r="V200" s="43" t="str">
        <f t="shared" si="12"/>
        <v/>
      </c>
      <c r="W200" s="44" t="str">
        <f ca="1">IF(COUNTA($A200,$D200:$M200,$O200:$U200)=0,"",IF($A200="","Item Code; ","")&amp;IF(AND($A200&lt;&gt;"",ISNA(MATCH($AC200,'PRODUCT DATA'!$D$2:$D$394,0))),"Item Code; ","")&amp;IF($M200="","Country; ","")&amp;IF(AND($M200&lt;&gt;"",NOT(OR(NOT(ISNA(MATCH(IF(UPPER($M200)="UK","GB",$M200),'PRODUCT DATA'!$A$2:$A$58,0))),NOT(ISNA(MATCH(IF(UPPER($M200)="UK","GB",$M200),'PRODUCT DATA'!$B$2:$B$58,0)))))),"Country; ","")&amp;IF(AND($A200&lt;&gt;"",$M200&lt;&gt;"",NOT(ISNA(MATCH($AC200,'PRODUCT DATA'!$D$2:$D$394,0))),OR(NOT(ISNA(MATCH(IF(UPPER($M200)="UK","GB",$M200),'PRODUCT DATA'!$A$2:$A$58,0))),NOT(ISNA(MATCH(IF(UPPER($M200)="UK","GB",$M200),'PRODUCT DATA'!$B$2:$B$58,0)))),NOT(IFERROR(COUNTIF(OFFSET('PRODUCT DATA'!$F$2,0,MATCH($AC200,'PRODUCT DATA'!$F$1:$NN$1,0)-1,114,1),$N200)&gt;0,FALSE()))),IF(UPPER(IFERROR(OFFSET('PRODUCT DATA'!$C$2,MATCH($N200,'PRODUCT DATA'!$B$2:$B$58,0)-1,0),""))="NO","Alcohol Restriction; ","Item Code / Country combination; "),"")&amp;IF($C200="","Quantity; ","")&amp;IF(AND($C200&lt;&gt;"",OR(NOT(ISNUMBER($C200)),$C200&lt;1,$C200&gt;999,MOD($C200,1)&lt;&gt;0)),"Quantity; ","")&amp;IF($D200="","Recipient Name; ","")&amp;IF(LEN($D200)&gt;35,"Recipient Name; ","")&amp;IF($E200="","Recipient Phone; ","")&amp;IF(AND($E200&lt;&gt;"",OR(LEN($E200)&lt;6,LEN($E200)&gt;20,NOT(IFERROR(ISNUMBER(1*$E200),FALSE())))),"Recipient Phone; ","")&amp;IF(LEN($F200)&gt;35,"Recipient Company Name; ","")&amp;IF($G200="","Address Line 1; ","")&amp;IF(LEN($G200)&gt;35,"Address Line 1; ","")&amp;IF(LEN($H200)&gt;35,"Address Line 2; ","")&amp;IF(LEN($I200)&gt;35,"Address Line 3; ","")&amp;IF($J200="","Town; ","")&amp;IF(LEN($J200)&gt;35,"Town; ","")&amp;IF(AND($N200="IE",$K200=""),"County; ","")&amp;IF(LEN($AB200)&gt;35,"County; ","")&amp;IF(AND($L200="",AND($N200&lt;&gt;"AE",$N200&lt;&gt;"QA")),"Postcode; ","")&amp;IF(LEN($L200)&gt;35,"Postcode; ","")&amp;IF($AE200&lt;&gt;"","Postcode; ","")&amp;IF(LEN($O200)&gt;40,"Gift Message 1; ","")&amp;IF(LEN($P200)&gt;40,"Gift Message 2; ","")&amp;IF(LEN($Q200)&gt;40,"Gift Message 3; ","")&amp;IF(LEN($R200)&gt;40,"Gift Message 4; ","")&amp;IF(LEN($S200)&gt;40,"Gift Message 5; ","")&amp;IF(LEN($T200)&gt;40,"Gift Message 6; ","")&amp;IF(LEN($U200)&gt;40,"Gift Message 7; ",""))</f>
        <v/>
      </c>
      <c r="X200" s="44" t="str">
        <f ca="1">IF(COUNTA($A200,$D200:$M200,$O200:$U200)=0,"",IF($A200="","Enter the Item Code (hamper) - type it, paste it, or choose it from the dropdown. ","")&amp;IF(AND($A200&lt;&gt;"",ISNA(MATCH($AC200,'PRODUCT DATA'!$D$2:$D$394,0))),"This Item Code is not recognised. Check the code (case does not matter, but spelling and digits must match exactly) or choose it from the dropdown. ","")&amp;IF($M200="","Enter the Country after the Item Code - type or paste the name or the 2-letter code, or choose it from the dropdown. ","")&amp;IF(AND($M200&lt;&gt;"",NOT(OR(NOT(ISNA(MATCH(IF(UPPER($M200)="UK","GB",$M200),'PRODUCT DATA'!$A$2:$A$58,0))),NOT(ISNA(MATCH(IF(UPPER($M200)="UK","GB",$M200),'PRODUCT DATA'!$B$2:$B$58,0)))))),"This Country is not recognised as either a full name or a 2-letter code. Check the spelling (case does not matter) or choose it from the dropdown. ","")&amp;IF(AND($A200&lt;&gt;"",$M200&lt;&gt;"",NOT(ISNA(MATCH($AC200,'PRODUCT DATA'!$D$2:$D$394,0))),OR(NOT(ISNA(MATCH(IF(UPPER($M200)="UK","GB",$M200),'PRODUCT DATA'!$A$2:$A$58,0))),NOT(ISNA(MATCH(IF(UPPER($M200)="UK","GB",$M200),'PRODUCT DATA'!$B$2:$B$58,0)))),NOT(IFERROR(COUNTIF(OFFSET('PRODUCT DATA'!$F$2,0,MATCH($AC200,'PRODUCT DATA'!$F$1:$NN$1,0)-1,114,1),$N200)&gt;0,FALSE()))),IF(UPPER(IFERROR(OFFSET('PRODUCT DATA'!$C$2,MATCH($N200,'PRODUCT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"),"")&amp;IF($C200="","Enter Quantity. ","")&amp;IF(AND($C200&lt;&gt;"",OR(NOT(ISNUMBER($C200)),$C200&lt;1,$C200&gt;999,MOD($C200,1)&lt;&gt;0)),"Quantity must be a whole number from 1 to 999 (use a quantity above 1 only for a genuine bulk order of identical items to ONE address — otherwise use a separate row per recipient). ","")&amp;IF($D200="","Enter Recipient Name. ","")&amp;IF(LEN($D200)&gt;35,"Recipient Name exceeds 35 characters. ","")&amp;IF($E200="","Enter Recipient Phone. ","")&amp;IF(AND($E200&lt;&gt;"",OR(LEN($E200)&lt;6,LEN($E200)&gt;20,NOT(IFERROR(ISNUMBER(1*$E200),FALSE())))),"Phone must be the LOCAL number for the destination country: digits only, no +, spaces, or country code, 6 to 20 digits. ","")&amp;IF(LEN($F200)&gt;35,"Recipient Company Name exceeds 35 characters. ","")&amp;IF($G200="","Enter Address Line 1. ","")&amp;IF(LEN($G200)&gt;35,"Address Line 1 exceeds the 35-character SAP limit. ","")&amp;IF(LEN($H200)&gt;35,"Address Line 2 exceeds the 35-character SAP limit. ","")&amp;IF(LEN($I200)&gt;35,"Address Line 3 exceeds the 35-character SAP limit. ","")&amp;IF($J200="","Enter Town. This must never be left blank, even if there is no conventional town name. ","")&amp;IF(LEN($J200)&gt;35,"Town exceeds 35 characters. ","")&amp;IF(AND($N200="IE",$K200=""),"County is required for deliveries within the Republic of Ireland. ","")&amp;IF(LEN($AB200)&gt;35,"County exceeds 35 characters. ","")&amp;IF(AND($L200="",AND($N200&lt;&gt;"AE",$N200&lt;&gt;"QA")),"Postcode is required for the selected country. If there is genuinely no postcode, enter the first 3 characters of the area (e.g. D15). ","")&amp;IF(LEN($L200)&gt;35,"Postcode exceeds 35 characters. ","")&amp;IF($AE200&lt;&gt;"",$AE200,"")&amp;IF(LEN($O200)&gt;40,"Gift Message Line 1 exceeds 40 characters. ","")&amp;IF(LEN($P200)&gt;40,"Gift Message Line 2 exceeds 40 characters. ","")&amp;IF(LEN($Q200)&gt;40,"Gift Message Line 3 exceeds 40 characters. ","")&amp;IF(LEN($R200)&gt;40,"Gift Message Line 4 exceeds 40 characters. ","")&amp;IF(LEN($S200)&gt;40,"Gift Message Line 5 exceeds 40 characters. ","")&amp;IF(LEN($T200)&gt;40,"Gift Message Line 6 exceeds 40 characters. ","")&amp;IF(LEN($U200)&gt;40,"Gift Message Line 7 exceeds 40 characters. ",""))</f>
        <v/>
      </c>
      <c r="Y200" s="44" t="str">
        <f t="shared" si="13"/>
        <v/>
      </c>
      <c r="Z200" s="44"/>
      <c r="AA200" s="44"/>
      <c r="AB200" s="32" t="str">
        <f t="shared" si="14"/>
        <v/>
      </c>
      <c r="AC200" s="32" t="str">
        <f>IF($A200="","",IFERROR(LEFT(INDEX('PRODUCT DATA'!$NO$2:$NO$25,MATCH($A200,'PRODUCT DATA'!$NP$2:$NP$25,0)),FIND("|",INDEX('PRODUCT DATA'!$NO$2:$NO$25,MATCH($A200,'PRODUCT DATA'!$NP$2:$NP$25,0)))-1),$A200))</f>
        <v/>
      </c>
      <c r="AD200" s="45"/>
      <c r="AE200" s="45" t="str">
        <f t="shared" si="15"/>
        <v/>
      </c>
    </row>
    <row r="201" spans="1:31" ht="15" customHeight="1" x14ac:dyDescent="0.25">
      <c r="A201" s="40"/>
      <c r="B201" s="43" t="str">
        <f>IF($A201="","",IFERROR(VLOOKUP($AC201,'PRODUCT DATA'!$NR$2:$NS$374,2,FALSE()),"UNKNOWN ITEM CODE - please check"))</f>
        <v/>
      </c>
      <c r="C201" s="39">
        <v>1</v>
      </c>
      <c r="D201" s="39"/>
      <c r="E201" s="40"/>
      <c r="F201" s="41"/>
      <c r="G201" s="39"/>
      <c r="H201" s="41"/>
      <c r="I201" s="41"/>
      <c r="J201" s="39"/>
      <c r="K201" s="41"/>
      <c r="L201" s="40"/>
      <c r="M201" s="40"/>
      <c r="N201" s="42" t="str">
        <f>IF($M201="","",IFERROR(INDEX('PRODUCT DATA'!$B$2:$B$58,MATCH(IF(UPPER($M201)="UK","GB",$M201),'PRODUCT DATA'!$B$2:$B$58,0)),IFERROR(INDEX('PRODUCT DATA'!$B$2:$B$58,MATCH(IF(UPPER($M201)="UK","GB",$M201),'PRODUCT DATA'!$A$2:$A$58,0)),"UNKNOWN COUNTRY - please check")))</f>
        <v/>
      </c>
      <c r="O201" s="41"/>
      <c r="P201" s="41"/>
      <c r="Q201" s="41"/>
      <c r="R201" s="41"/>
      <c r="S201" s="41"/>
      <c r="T201" s="41"/>
      <c r="U201" s="41"/>
      <c r="V201" s="43" t="str">
        <f t="shared" si="12"/>
        <v/>
      </c>
      <c r="W201" s="44" t="str">
        <f ca="1">IF(COUNTA($A201,$D201:$M201,$O201:$U201)=0,"",IF($A201="","Item Code; ","")&amp;IF(AND($A201&lt;&gt;"",ISNA(MATCH($AC201,'PRODUCT DATA'!$D$2:$D$394,0))),"Item Code; ","")&amp;IF($M201="","Country; ","")&amp;IF(AND($M201&lt;&gt;"",NOT(OR(NOT(ISNA(MATCH(IF(UPPER($M201)="UK","GB",$M201),'PRODUCT DATA'!$A$2:$A$58,0))),NOT(ISNA(MATCH(IF(UPPER($M201)="UK","GB",$M201),'PRODUCT DATA'!$B$2:$B$58,0)))))),"Country; ","")&amp;IF(AND($A201&lt;&gt;"",$M201&lt;&gt;"",NOT(ISNA(MATCH($AC201,'PRODUCT DATA'!$D$2:$D$394,0))),OR(NOT(ISNA(MATCH(IF(UPPER($M201)="UK","GB",$M201),'PRODUCT DATA'!$A$2:$A$58,0))),NOT(ISNA(MATCH(IF(UPPER($M201)="UK","GB",$M201),'PRODUCT DATA'!$B$2:$B$58,0)))),NOT(IFERROR(COUNTIF(OFFSET('PRODUCT DATA'!$F$2,0,MATCH($AC201,'PRODUCT DATA'!$F$1:$NN$1,0)-1,114,1),$N201)&gt;0,FALSE()))),IF(UPPER(IFERROR(OFFSET('PRODUCT DATA'!$C$2,MATCH($N201,'PRODUCT DATA'!$B$2:$B$58,0)-1,0),""))="NO","Alcohol Restriction; ","Item Code / Country combination; "),"")&amp;IF($C201="","Quantity; ","")&amp;IF(AND($C201&lt;&gt;"",OR(NOT(ISNUMBER($C201)),$C201&lt;1,$C201&gt;999,MOD($C201,1)&lt;&gt;0)),"Quantity; ","")&amp;IF($D201="","Recipient Name; ","")&amp;IF(LEN($D201)&gt;35,"Recipient Name; ","")&amp;IF($E201="","Recipient Phone; ","")&amp;IF(AND($E201&lt;&gt;"",OR(LEN($E201)&lt;6,LEN($E201)&gt;20,NOT(IFERROR(ISNUMBER(1*$E201),FALSE())))),"Recipient Phone; ","")&amp;IF(LEN($F201)&gt;35,"Recipient Company Name; ","")&amp;IF($G201="","Address Line 1; ","")&amp;IF(LEN($G201)&gt;35,"Address Line 1; ","")&amp;IF(LEN($H201)&gt;35,"Address Line 2; ","")&amp;IF(LEN($I201)&gt;35,"Address Line 3; ","")&amp;IF($J201="","Town; ","")&amp;IF(LEN($J201)&gt;35,"Town; ","")&amp;IF(AND($N201="IE",$K201=""),"County; ","")&amp;IF(LEN($AB201)&gt;35,"County; ","")&amp;IF(AND($L201="",AND($N201&lt;&gt;"AE",$N201&lt;&gt;"QA")),"Postcode; ","")&amp;IF(LEN($L201)&gt;35,"Postcode; ","")&amp;IF($AE201&lt;&gt;"","Postcode; ","")&amp;IF(LEN($O201)&gt;40,"Gift Message 1; ","")&amp;IF(LEN($P201)&gt;40,"Gift Message 2; ","")&amp;IF(LEN($Q201)&gt;40,"Gift Message 3; ","")&amp;IF(LEN($R201)&gt;40,"Gift Message 4; ","")&amp;IF(LEN($S201)&gt;40,"Gift Message 5; ","")&amp;IF(LEN($T201)&gt;40,"Gift Message 6; ","")&amp;IF(LEN($U201)&gt;40,"Gift Message 7; ",""))</f>
        <v/>
      </c>
      <c r="X201" s="44" t="str">
        <f ca="1">IF(COUNTA($A201,$D201:$M201,$O201:$U201)=0,"",IF($A201="","Enter the Item Code (hamper) - type it, paste it, or choose it from the dropdown. ","")&amp;IF(AND($A201&lt;&gt;"",ISNA(MATCH($AC201,'PRODUCT DATA'!$D$2:$D$394,0))),"This Item Code is not recognised. Check the code (case does not matter, but spelling and digits must match exactly) or choose it from the dropdown. ","")&amp;IF($M201="","Enter the Country after the Item Code - type or paste the name or the 2-letter code, or choose it from the dropdown. ","")&amp;IF(AND($M201&lt;&gt;"",NOT(OR(NOT(ISNA(MATCH(IF(UPPER($M201)="UK","GB",$M201),'PRODUCT DATA'!$A$2:$A$58,0))),NOT(ISNA(MATCH(IF(UPPER($M201)="UK","GB",$M201),'PRODUCT DATA'!$B$2:$B$58,0)))))),"This Country is not recognised as either a full name or a 2-letter code. Check the spelling (case does not matter) or choose it from the dropdown. ","")&amp;IF(AND($A201&lt;&gt;"",$M201&lt;&gt;"",NOT(ISNA(MATCH($AC201,'PRODUCT DATA'!$D$2:$D$394,0))),OR(NOT(ISNA(MATCH(IF(UPPER($M201)="UK","GB",$M201),'PRODUCT DATA'!$A$2:$A$58,0))),NOT(ISNA(MATCH(IF(UPPER($M201)="UK","GB",$M201),'PRODUCT DATA'!$B$2:$B$58,0)))),NOT(IFERROR(COUNTIF(OFFSET('PRODUCT DATA'!$F$2,0,MATCH($AC201,'PRODUCT DATA'!$F$1:$NN$1,0)-1,114,1),$N201)&gt;0,FALSE()))),IF(UPPER(IFERROR(OFFSET('PRODUCT DATA'!$C$2,MATCH($N201,'PRODUCT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"),"")&amp;IF($C201="","Enter Quantity. ","")&amp;IF(AND($C201&lt;&gt;"",OR(NOT(ISNUMBER($C201)),$C201&lt;1,$C201&gt;999,MOD($C201,1)&lt;&gt;0)),"Quantity must be a whole number from 1 to 999 (use a quantity above 1 only for a genuine bulk order of identical items to ONE address — otherwise use a separate row per recipient). ","")&amp;IF($D201="","Enter Recipient Name. ","")&amp;IF(LEN($D201)&gt;35,"Recipient Name exceeds 35 characters. ","")&amp;IF($E201="","Enter Recipient Phone. ","")&amp;IF(AND($E201&lt;&gt;"",OR(LEN($E201)&lt;6,LEN($E201)&gt;20,NOT(IFERROR(ISNUMBER(1*$E201),FALSE())))),"Phone must be the LOCAL number for the destination country: digits only, no +, spaces, or country code, 6 to 20 digits. ","")&amp;IF(LEN($F201)&gt;35,"Recipient Company Name exceeds 35 characters. ","")&amp;IF($G201="","Enter Address Line 1. ","")&amp;IF(LEN($G201)&gt;35,"Address Line 1 exceeds the 35-character SAP limit. ","")&amp;IF(LEN($H201)&gt;35,"Address Line 2 exceeds the 35-character SAP limit. ","")&amp;IF(LEN($I201)&gt;35,"Address Line 3 exceeds the 35-character SAP limit. ","")&amp;IF($J201="","Enter Town. This must never be left blank, even if there is no conventional town name. ","")&amp;IF(LEN($J201)&gt;35,"Town exceeds 35 characters. ","")&amp;IF(AND($N201="IE",$K201=""),"County is required for deliveries within the Republic of Ireland. ","")&amp;IF(LEN($AB201)&gt;35,"County exceeds 35 characters. ","")&amp;IF(AND($L201="",AND($N201&lt;&gt;"AE",$N201&lt;&gt;"QA")),"Postcode is required for the selected country. If there is genuinely no postcode, enter the first 3 characters of the area (e.g. D15). ","")&amp;IF(LEN($L201)&gt;35,"Postcode exceeds 35 characters. ","")&amp;IF($AE201&lt;&gt;"",$AE201,"")&amp;IF(LEN($O201)&gt;40,"Gift Message Line 1 exceeds 40 characters. ","")&amp;IF(LEN($P201)&gt;40,"Gift Message Line 2 exceeds 40 characters. ","")&amp;IF(LEN($Q201)&gt;40,"Gift Message Line 3 exceeds 40 characters. ","")&amp;IF(LEN($R201)&gt;40,"Gift Message Line 4 exceeds 40 characters. ","")&amp;IF(LEN($S201)&gt;40,"Gift Message Line 5 exceeds 40 characters. ","")&amp;IF(LEN($T201)&gt;40,"Gift Message Line 6 exceeds 40 characters. ","")&amp;IF(LEN($U201)&gt;40,"Gift Message Line 7 exceeds 40 characters. ",""))</f>
        <v/>
      </c>
      <c r="Y201" s="44" t="str">
        <f t="shared" si="13"/>
        <v/>
      </c>
      <c r="Z201" s="44"/>
      <c r="AA201" s="44"/>
      <c r="AB201" s="32" t="str">
        <f t="shared" si="14"/>
        <v/>
      </c>
      <c r="AC201" s="32" t="str">
        <f>IF($A201="","",IFERROR(LEFT(INDEX('PRODUCT DATA'!$NO$2:$NO$25,MATCH($A201,'PRODUCT DATA'!$NP$2:$NP$25,0)),FIND("|",INDEX('PRODUCT DATA'!$NO$2:$NO$25,MATCH($A201,'PRODUCT DATA'!$NP$2:$NP$25,0)))-1),$A201))</f>
        <v/>
      </c>
      <c r="AD201" s="45"/>
      <c r="AE201" s="45" t="str">
        <f t="shared" si="15"/>
        <v/>
      </c>
    </row>
    <row r="202" spans="1:31" ht="15" customHeight="1" x14ac:dyDescent="0.25">
      <c r="A202" s="40"/>
      <c r="B202" s="43" t="str">
        <f>IF($A202="","",IFERROR(VLOOKUP($AC202,'PRODUCT DATA'!$NR$2:$NS$374,2,FALSE()),"UNKNOWN ITEM CODE - please check"))</f>
        <v/>
      </c>
      <c r="C202" s="39">
        <v>1</v>
      </c>
      <c r="D202" s="39"/>
      <c r="E202" s="40"/>
      <c r="F202" s="41"/>
      <c r="G202" s="39"/>
      <c r="H202" s="41"/>
      <c r="I202" s="41"/>
      <c r="J202" s="39"/>
      <c r="K202" s="41"/>
      <c r="L202" s="40"/>
      <c r="M202" s="40"/>
      <c r="N202" s="42" t="str">
        <f>IF($M202="","",IFERROR(INDEX('PRODUCT DATA'!$B$2:$B$58,MATCH(IF(UPPER($M202)="UK","GB",$M202),'PRODUCT DATA'!$B$2:$B$58,0)),IFERROR(INDEX('PRODUCT DATA'!$B$2:$B$58,MATCH(IF(UPPER($M202)="UK","GB",$M202),'PRODUCT DATA'!$A$2:$A$58,0)),"UNKNOWN COUNTRY - please check")))</f>
        <v/>
      </c>
      <c r="O202" s="41"/>
      <c r="P202" s="41"/>
      <c r="Q202" s="41"/>
      <c r="R202" s="41"/>
      <c r="S202" s="41"/>
      <c r="T202" s="41"/>
      <c r="U202" s="41"/>
      <c r="V202" s="43" t="str">
        <f t="shared" si="12"/>
        <v/>
      </c>
      <c r="W202" s="44" t="str">
        <f ca="1">IF(COUNTA($A202,$D202:$M202,$O202:$U202)=0,"",IF($A202="","Item Code; ","")&amp;IF(AND($A202&lt;&gt;"",ISNA(MATCH($AC202,'PRODUCT DATA'!$D$2:$D$394,0))),"Item Code; ","")&amp;IF($M202="","Country; ","")&amp;IF(AND($M202&lt;&gt;"",NOT(OR(NOT(ISNA(MATCH(IF(UPPER($M202)="UK","GB",$M202),'PRODUCT DATA'!$A$2:$A$58,0))),NOT(ISNA(MATCH(IF(UPPER($M202)="UK","GB",$M202),'PRODUCT DATA'!$B$2:$B$58,0)))))),"Country; ","")&amp;IF(AND($A202&lt;&gt;"",$M202&lt;&gt;"",NOT(ISNA(MATCH($AC202,'PRODUCT DATA'!$D$2:$D$394,0))),OR(NOT(ISNA(MATCH(IF(UPPER($M202)="UK","GB",$M202),'PRODUCT DATA'!$A$2:$A$58,0))),NOT(ISNA(MATCH(IF(UPPER($M202)="UK","GB",$M202),'PRODUCT DATA'!$B$2:$B$58,0)))),NOT(IFERROR(COUNTIF(OFFSET('PRODUCT DATA'!$F$2,0,MATCH($AC202,'PRODUCT DATA'!$F$1:$NN$1,0)-1,114,1),$N202)&gt;0,FALSE()))),IF(UPPER(IFERROR(OFFSET('PRODUCT DATA'!$C$2,MATCH($N202,'PRODUCT DATA'!$B$2:$B$58,0)-1,0),""))="NO","Alcohol Restriction; ","Item Code / Country combination; "),"")&amp;IF($C202="","Quantity; ","")&amp;IF(AND($C202&lt;&gt;"",OR(NOT(ISNUMBER($C202)),$C202&lt;1,$C202&gt;999,MOD($C202,1)&lt;&gt;0)),"Quantity; ","")&amp;IF($D202="","Recipient Name; ","")&amp;IF(LEN($D202)&gt;35,"Recipient Name; ","")&amp;IF($E202="","Recipient Phone; ","")&amp;IF(AND($E202&lt;&gt;"",OR(LEN($E202)&lt;6,LEN($E202)&gt;20,NOT(IFERROR(ISNUMBER(1*$E202),FALSE())))),"Recipient Phone; ","")&amp;IF(LEN($F202)&gt;35,"Recipient Company Name; ","")&amp;IF($G202="","Address Line 1; ","")&amp;IF(LEN($G202)&gt;35,"Address Line 1; ","")&amp;IF(LEN($H202)&gt;35,"Address Line 2; ","")&amp;IF(LEN($I202)&gt;35,"Address Line 3; ","")&amp;IF($J202="","Town; ","")&amp;IF(LEN($J202)&gt;35,"Town; ","")&amp;IF(AND($N202="IE",$K202=""),"County; ","")&amp;IF(LEN($AB202)&gt;35,"County; ","")&amp;IF(AND($L202="",AND($N202&lt;&gt;"AE",$N202&lt;&gt;"QA")),"Postcode; ","")&amp;IF(LEN($L202)&gt;35,"Postcode; ","")&amp;IF($AE202&lt;&gt;"","Postcode; ","")&amp;IF(LEN($O202)&gt;40,"Gift Message 1; ","")&amp;IF(LEN($P202)&gt;40,"Gift Message 2; ","")&amp;IF(LEN($Q202)&gt;40,"Gift Message 3; ","")&amp;IF(LEN($R202)&gt;40,"Gift Message 4; ","")&amp;IF(LEN($S202)&gt;40,"Gift Message 5; ","")&amp;IF(LEN($T202)&gt;40,"Gift Message 6; ","")&amp;IF(LEN($U202)&gt;40,"Gift Message 7; ",""))</f>
        <v/>
      </c>
      <c r="X202" s="44" t="str">
        <f ca="1">IF(COUNTA($A202,$D202:$M202,$O202:$U202)=0,"",IF($A202="","Enter the Item Code (hamper) - type it, paste it, or choose it from the dropdown. ","")&amp;IF(AND($A202&lt;&gt;"",ISNA(MATCH($AC202,'PRODUCT DATA'!$D$2:$D$394,0))),"This Item Code is not recognised. Check the code (case does not matter, but spelling and digits must match exactly) or choose it from the dropdown. ","")&amp;IF($M202="","Enter the Country after the Item Code - type or paste the name or the 2-letter code, or choose it from the dropdown. ","")&amp;IF(AND($M202&lt;&gt;"",NOT(OR(NOT(ISNA(MATCH(IF(UPPER($M202)="UK","GB",$M202),'PRODUCT DATA'!$A$2:$A$58,0))),NOT(ISNA(MATCH(IF(UPPER($M202)="UK","GB",$M202),'PRODUCT DATA'!$B$2:$B$58,0)))))),"This Country is not recognised as either a full name or a 2-letter code. Check the spelling (case does not matter) or choose it from the dropdown. ","")&amp;IF(AND($A202&lt;&gt;"",$M202&lt;&gt;"",NOT(ISNA(MATCH($AC202,'PRODUCT DATA'!$D$2:$D$394,0))),OR(NOT(ISNA(MATCH(IF(UPPER($M202)="UK","GB",$M202),'PRODUCT DATA'!$A$2:$A$58,0))),NOT(ISNA(MATCH(IF(UPPER($M202)="UK","GB",$M202),'PRODUCT DATA'!$B$2:$B$58,0)))),NOT(IFERROR(COUNTIF(OFFSET('PRODUCT DATA'!$F$2,0,MATCH($AC202,'PRODUCT DATA'!$F$1:$NN$1,0)-1,114,1),$N202)&gt;0,FALSE()))),IF(UPPER(IFERROR(OFFSET('PRODUCT DATA'!$C$2,MATCH($N202,'PRODUCT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"),"")&amp;IF($C202="","Enter Quantity. ","")&amp;IF(AND($C202&lt;&gt;"",OR(NOT(ISNUMBER($C202)),$C202&lt;1,$C202&gt;999,MOD($C202,1)&lt;&gt;0)),"Quantity must be a whole number from 1 to 999 (use a quantity above 1 only for a genuine bulk order of identical items to ONE address — otherwise use a separate row per recipient). ","")&amp;IF($D202="","Enter Recipient Name. ","")&amp;IF(LEN($D202)&gt;35,"Recipient Name exceeds 35 characters. ","")&amp;IF($E202="","Enter Recipient Phone. ","")&amp;IF(AND($E202&lt;&gt;"",OR(LEN($E202)&lt;6,LEN($E202)&gt;20,NOT(IFERROR(ISNUMBER(1*$E202),FALSE())))),"Phone must be the LOCAL number for the destination country: digits only, no +, spaces, or country code, 6 to 20 digits. ","")&amp;IF(LEN($F202)&gt;35,"Recipient Company Name exceeds 35 characters. ","")&amp;IF($G202="","Enter Address Line 1. ","")&amp;IF(LEN($G202)&gt;35,"Address Line 1 exceeds the 35-character SAP limit. ","")&amp;IF(LEN($H202)&gt;35,"Address Line 2 exceeds the 35-character SAP limit. ","")&amp;IF(LEN($I202)&gt;35,"Address Line 3 exceeds the 35-character SAP limit. ","")&amp;IF($J202="","Enter Town. This must never be left blank, even if there is no conventional town name. ","")&amp;IF(LEN($J202)&gt;35,"Town exceeds 35 characters. ","")&amp;IF(AND($N202="IE",$K202=""),"County is required for deliveries within the Republic of Ireland. ","")&amp;IF(LEN($AB202)&gt;35,"County exceeds 35 characters. ","")&amp;IF(AND($L202="",AND($N202&lt;&gt;"AE",$N202&lt;&gt;"QA")),"Postcode is required for the selected country. If there is genuinely no postcode, enter the first 3 characters of the area (e.g. D15). ","")&amp;IF(LEN($L202)&gt;35,"Postcode exceeds 35 characters. ","")&amp;IF($AE202&lt;&gt;"",$AE202,"")&amp;IF(LEN($O202)&gt;40,"Gift Message Line 1 exceeds 40 characters. ","")&amp;IF(LEN($P202)&gt;40,"Gift Message Line 2 exceeds 40 characters. ","")&amp;IF(LEN($Q202)&gt;40,"Gift Message Line 3 exceeds 40 characters. ","")&amp;IF(LEN($R202)&gt;40,"Gift Message Line 4 exceeds 40 characters. ","")&amp;IF(LEN($S202)&gt;40,"Gift Message Line 5 exceeds 40 characters. ","")&amp;IF(LEN($T202)&gt;40,"Gift Message Line 6 exceeds 40 characters. ","")&amp;IF(LEN($U202)&gt;40,"Gift Message Line 7 exceeds 40 characters. ",""))</f>
        <v/>
      </c>
      <c r="Y202" s="44" t="str">
        <f t="shared" si="13"/>
        <v/>
      </c>
      <c r="Z202" s="44"/>
      <c r="AA202" s="44"/>
      <c r="AB202" s="32" t="str">
        <f t="shared" si="14"/>
        <v/>
      </c>
      <c r="AC202" s="32" t="str">
        <f>IF($A202="","",IFERROR(LEFT(INDEX('PRODUCT DATA'!$NO$2:$NO$25,MATCH($A202,'PRODUCT DATA'!$NP$2:$NP$25,0)),FIND("|",INDEX('PRODUCT DATA'!$NO$2:$NO$25,MATCH($A202,'PRODUCT DATA'!$NP$2:$NP$25,0)))-1),$A202))</f>
        <v/>
      </c>
      <c r="AD202" s="45"/>
      <c r="AE202" s="45" t="str">
        <f t="shared" si="15"/>
        <v/>
      </c>
    </row>
    <row r="203" spans="1:31" ht="15" customHeight="1" x14ac:dyDescent="0.25">
      <c r="A203" s="40"/>
      <c r="B203" s="43" t="str">
        <f>IF($A203="","",IFERROR(VLOOKUP($AC203,'PRODUCT DATA'!$NR$2:$NS$374,2,FALSE()),"UNKNOWN ITEM CODE - please check"))</f>
        <v/>
      </c>
      <c r="C203" s="39">
        <v>1</v>
      </c>
      <c r="D203" s="39"/>
      <c r="E203" s="40"/>
      <c r="F203" s="41"/>
      <c r="G203" s="39"/>
      <c r="H203" s="41"/>
      <c r="I203" s="41"/>
      <c r="J203" s="39"/>
      <c r="K203" s="41"/>
      <c r="L203" s="40"/>
      <c r="M203" s="40"/>
      <c r="N203" s="42" t="str">
        <f>IF($M203="","",IFERROR(INDEX('PRODUCT DATA'!$B$2:$B$58,MATCH(IF(UPPER($M203)="UK","GB",$M203),'PRODUCT DATA'!$B$2:$B$58,0)),IFERROR(INDEX('PRODUCT DATA'!$B$2:$B$58,MATCH(IF(UPPER($M203)="UK","GB",$M203),'PRODUCT DATA'!$A$2:$A$58,0)),"UNKNOWN COUNTRY - please check")))</f>
        <v/>
      </c>
      <c r="O203" s="41"/>
      <c r="P203" s="41"/>
      <c r="Q203" s="41"/>
      <c r="R203" s="41"/>
      <c r="S203" s="41"/>
      <c r="T203" s="41"/>
      <c r="U203" s="41"/>
      <c r="V203" s="43" t="str">
        <f t="shared" si="12"/>
        <v/>
      </c>
      <c r="W203" s="44" t="str">
        <f ca="1">IF(COUNTA($A203,$D203:$M203,$O203:$U203)=0,"",IF($A203="","Item Code; ","")&amp;IF(AND($A203&lt;&gt;"",ISNA(MATCH($AC203,'PRODUCT DATA'!$D$2:$D$394,0))),"Item Code; ","")&amp;IF($M203="","Country; ","")&amp;IF(AND($M203&lt;&gt;"",NOT(OR(NOT(ISNA(MATCH(IF(UPPER($M203)="UK","GB",$M203),'PRODUCT DATA'!$A$2:$A$58,0))),NOT(ISNA(MATCH(IF(UPPER($M203)="UK","GB",$M203),'PRODUCT DATA'!$B$2:$B$58,0)))))),"Country; ","")&amp;IF(AND($A203&lt;&gt;"",$M203&lt;&gt;"",NOT(ISNA(MATCH($AC203,'PRODUCT DATA'!$D$2:$D$394,0))),OR(NOT(ISNA(MATCH(IF(UPPER($M203)="UK","GB",$M203),'PRODUCT DATA'!$A$2:$A$58,0))),NOT(ISNA(MATCH(IF(UPPER($M203)="UK","GB",$M203),'PRODUCT DATA'!$B$2:$B$58,0)))),NOT(IFERROR(COUNTIF(OFFSET('PRODUCT DATA'!$F$2,0,MATCH($AC203,'PRODUCT DATA'!$F$1:$NN$1,0)-1,114,1),$N203)&gt;0,FALSE()))),IF(UPPER(IFERROR(OFFSET('PRODUCT DATA'!$C$2,MATCH($N203,'PRODUCT DATA'!$B$2:$B$58,0)-1,0),""))="NO","Alcohol Restriction; ","Item Code / Country combination; "),"")&amp;IF($C203="","Quantity; ","")&amp;IF(AND($C203&lt;&gt;"",OR(NOT(ISNUMBER($C203)),$C203&lt;1,$C203&gt;999,MOD($C203,1)&lt;&gt;0)),"Quantity; ","")&amp;IF($D203="","Recipient Name; ","")&amp;IF(LEN($D203)&gt;35,"Recipient Name; ","")&amp;IF($E203="","Recipient Phone; ","")&amp;IF(AND($E203&lt;&gt;"",OR(LEN($E203)&lt;6,LEN($E203)&gt;20,NOT(IFERROR(ISNUMBER(1*$E203),FALSE())))),"Recipient Phone; ","")&amp;IF(LEN($F203)&gt;35,"Recipient Company Name; ","")&amp;IF($G203="","Address Line 1; ","")&amp;IF(LEN($G203)&gt;35,"Address Line 1; ","")&amp;IF(LEN($H203)&gt;35,"Address Line 2; ","")&amp;IF(LEN($I203)&gt;35,"Address Line 3; ","")&amp;IF($J203="","Town; ","")&amp;IF(LEN($J203)&gt;35,"Town; ","")&amp;IF(AND($N203="IE",$K203=""),"County; ","")&amp;IF(LEN($AB203)&gt;35,"County; ","")&amp;IF(AND($L203="",AND($N203&lt;&gt;"AE",$N203&lt;&gt;"QA")),"Postcode; ","")&amp;IF(LEN($L203)&gt;35,"Postcode; ","")&amp;IF($AE203&lt;&gt;"","Postcode; ","")&amp;IF(LEN($O203)&gt;40,"Gift Message 1; ","")&amp;IF(LEN($P203)&gt;40,"Gift Message 2; ","")&amp;IF(LEN($Q203)&gt;40,"Gift Message 3; ","")&amp;IF(LEN($R203)&gt;40,"Gift Message 4; ","")&amp;IF(LEN($S203)&gt;40,"Gift Message 5; ","")&amp;IF(LEN($T203)&gt;40,"Gift Message 6; ","")&amp;IF(LEN($U203)&gt;40,"Gift Message 7; ",""))</f>
        <v/>
      </c>
      <c r="X203" s="44" t="str">
        <f ca="1">IF(COUNTA($A203,$D203:$M203,$O203:$U203)=0,"",IF($A203="","Enter the Item Code (hamper) - type it, paste it, or choose it from the dropdown. ","")&amp;IF(AND($A203&lt;&gt;"",ISNA(MATCH($AC203,'PRODUCT DATA'!$D$2:$D$394,0))),"This Item Code is not recognised. Check the code (case does not matter, but spelling and digits must match exactly) or choose it from the dropdown. ","")&amp;IF($M203="","Enter the Country after the Item Code - type or paste the name or the 2-letter code, or choose it from the dropdown. ","")&amp;IF(AND($M203&lt;&gt;"",NOT(OR(NOT(ISNA(MATCH(IF(UPPER($M203)="UK","GB",$M203),'PRODUCT DATA'!$A$2:$A$58,0))),NOT(ISNA(MATCH(IF(UPPER($M203)="UK","GB",$M203),'PRODUCT DATA'!$B$2:$B$58,0)))))),"This Country is not recognised as either a full name or a 2-letter code. Check the spelling (case does not matter) or choose it from the dropdown. ","")&amp;IF(AND($A203&lt;&gt;"",$M203&lt;&gt;"",NOT(ISNA(MATCH($AC203,'PRODUCT DATA'!$D$2:$D$394,0))),OR(NOT(ISNA(MATCH(IF(UPPER($M203)="UK","GB",$M203),'PRODUCT DATA'!$A$2:$A$58,0))),NOT(ISNA(MATCH(IF(UPPER($M203)="UK","GB",$M203),'PRODUCT DATA'!$B$2:$B$58,0)))),NOT(IFERROR(COUNTIF(OFFSET('PRODUCT DATA'!$F$2,0,MATCH($AC203,'PRODUCT DATA'!$F$1:$NN$1,0)-1,114,1),$N203)&gt;0,FALSE()))),IF(UPPER(IFERROR(OFFSET('PRODUCT DATA'!$C$2,MATCH($N203,'PRODUCT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"),"")&amp;IF($C203="","Enter Quantity. ","")&amp;IF(AND($C203&lt;&gt;"",OR(NOT(ISNUMBER($C203)),$C203&lt;1,$C203&gt;999,MOD($C203,1)&lt;&gt;0)),"Quantity must be a whole number from 1 to 999 (use a quantity above 1 only for a genuine bulk order of identical items to ONE address — otherwise use a separate row per recipient). ","")&amp;IF($D203="","Enter Recipient Name. ","")&amp;IF(LEN($D203)&gt;35,"Recipient Name exceeds 35 characters. ","")&amp;IF($E203="","Enter Recipient Phone. ","")&amp;IF(AND($E203&lt;&gt;"",OR(LEN($E203)&lt;6,LEN($E203)&gt;20,NOT(IFERROR(ISNUMBER(1*$E203),FALSE())))),"Phone must be the LOCAL number for the destination country: digits only, no +, spaces, or country code, 6 to 20 digits. ","")&amp;IF(LEN($F203)&gt;35,"Recipient Company Name exceeds 35 characters. ","")&amp;IF($G203="","Enter Address Line 1. ","")&amp;IF(LEN($G203)&gt;35,"Address Line 1 exceeds the 35-character SAP limit. ","")&amp;IF(LEN($H203)&gt;35,"Address Line 2 exceeds the 35-character SAP limit. ","")&amp;IF(LEN($I203)&gt;35,"Address Line 3 exceeds the 35-character SAP limit. ","")&amp;IF($J203="","Enter Town. This must never be left blank, even if there is no conventional town name. ","")&amp;IF(LEN($J203)&gt;35,"Town exceeds 35 characters. ","")&amp;IF(AND($N203="IE",$K203=""),"County is required for deliveries within the Republic of Ireland. ","")&amp;IF(LEN($AB203)&gt;35,"County exceeds 35 characters. ","")&amp;IF(AND($L203="",AND($N203&lt;&gt;"AE",$N203&lt;&gt;"QA")),"Postcode is required for the selected country. If there is genuinely no postcode, enter the first 3 characters of the area (e.g. D15). ","")&amp;IF(LEN($L203)&gt;35,"Postcode exceeds 35 characters. ","")&amp;IF($AE203&lt;&gt;"",$AE203,"")&amp;IF(LEN($O203)&gt;40,"Gift Message Line 1 exceeds 40 characters. ","")&amp;IF(LEN($P203)&gt;40,"Gift Message Line 2 exceeds 40 characters. ","")&amp;IF(LEN($Q203)&gt;40,"Gift Message Line 3 exceeds 40 characters. ","")&amp;IF(LEN($R203)&gt;40,"Gift Message Line 4 exceeds 40 characters. ","")&amp;IF(LEN($S203)&gt;40,"Gift Message Line 5 exceeds 40 characters. ","")&amp;IF(LEN($T203)&gt;40,"Gift Message Line 6 exceeds 40 characters. ","")&amp;IF(LEN($U203)&gt;40,"Gift Message Line 7 exceeds 40 characters. ",""))</f>
        <v/>
      </c>
      <c r="Y203" s="44" t="str">
        <f t="shared" si="13"/>
        <v/>
      </c>
      <c r="Z203" s="44"/>
      <c r="AA203" s="44"/>
      <c r="AB203" s="32" t="str">
        <f t="shared" si="14"/>
        <v/>
      </c>
      <c r="AC203" s="32" t="str">
        <f>IF($A203="","",IFERROR(LEFT(INDEX('PRODUCT DATA'!$NO$2:$NO$25,MATCH($A203,'PRODUCT DATA'!$NP$2:$NP$25,0)),FIND("|",INDEX('PRODUCT DATA'!$NO$2:$NO$25,MATCH($A203,'PRODUCT DATA'!$NP$2:$NP$25,0)))-1),$A203))</f>
        <v/>
      </c>
      <c r="AD203" s="45"/>
      <c r="AE203" s="45" t="str">
        <f t="shared" si="15"/>
        <v/>
      </c>
    </row>
    <row r="204" spans="1:31" ht="15" customHeight="1" x14ac:dyDescent="0.25">
      <c r="A204" s="40"/>
      <c r="B204" s="43" t="str">
        <f>IF($A204="","",IFERROR(VLOOKUP($AC204,'PRODUCT DATA'!$NR$2:$NS$374,2,FALSE()),"UNKNOWN ITEM CODE - please check"))</f>
        <v/>
      </c>
      <c r="C204" s="39">
        <v>1</v>
      </c>
      <c r="D204" s="39"/>
      <c r="E204" s="40"/>
      <c r="F204" s="41"/>
      <c r="G204" s="39"/>
      <c r="H204" s="41"/>
      <c r="I204" s="41"/>
      <c r="J204" s="39"/>
      <c r="K204" s="41"/>
      <c r="L204" s="40"/>
      <c r="M204" s="40"/>
      <c r="N204" s="42" t="str">
        <f>IF($M204="","",IFERROR(INDEX('PRODUCT DATA'!$B$2:$B$58,MATCH(IF(UPPER($M204)="UK","GB",$M204),'PRODUCT DATA'!$B$2:$B$58,0)),IFERROR(INDEX('PRODUCT DATA'!$B$2:$B$58,MATCH(IF(UPPER($M204)="UK","GB",$M204),'PRODUCT DATA'!$A$2:$A$58,0)),"UNKNOWN COUNTRY - please check")))</f>
        <v/>
      </c>
      <c r="O204" s="41"/>
      <c r="P204" s="41"/>
      <c r="Q204" s="41"/>
      <c r="R204" s="41"/>
      <c r="S204" s="41"/>
      <c r="T204" s="41"/>
      <c r="U204" s="41"/>
      <c r="V204" s="43" t="str">
        <f t="shared" si="12"/>
        <v/>
      </c>
      <c r="W204" s="44" t="str">
        <f ca="1">IF(COUNTA($A204,$D204:$M204,$O204:$U204)=0,"",IF($A204="","Item Code; ","")&amp;IF(AND($A204&lt;&gt;"",ISNA(MATCH($AC204,'PRODUCT DATA'!$D$2:$D$394,0))),"Item Code; ","")&amp;IF($M204="","Country; ","")&amp;IF(AND($M204&lt;&gt;"",NOT(OR(NOT(ISNA(MATCH(IF(UPPER($M204)="UK","GB",$M204),'PRODUCT DATA'!$A$2:$A$58,0))),NOT(ISNA(MATCH(IF(UPPER($M204)="UK","GB",$M204),'PRODUCT DATA'!$B$2:$B$58,0)))))),"Country; ","")&amp;IF(AND($A204&lt;&gt;"",$M204&lt;&gt;"",NOT(ISNA(MATCH($AC204,'PRODUCT DATA'!$D$2:$D$394,0))),OR(NOT(ISNA(MATCH(IF(UPPER($M204)="UK","GB",$M204),'PRODUCT DATA'!$A$2:$A$58,0))),NOT(ISNA(MATCH(IF(UPPER($M204)="UK","GB",$M204),'PRODUCT DATA'!$B$2:$B$58,0)))),NOT(IFERROR(COUNTIF(OFFSET('PRODUCT DATA'!$F$2,0,MATCH($AC204,'PRODUCT DATA'!$F$1:$NN$1,0)-1,114,1),$N204)&gt;0,FALSE()))),IF(UPPER(IFERROR(OFFSET('PRODUCT DATA'!$C$2,MATCH($N204,'PRODUCT DATA'!$B$2:$B$58,0)-1,0),""))="NO","Alcohol Restriction; ","Item Code / Country combination; "),"")&amp;IF($C204="","Quantity; ","")&amp;IF(AND($C204&lt;&gt;"",OR(NOT(ISNUMBER($C204)),$C204&lt;1,$C204&gt;999,MOD($C204,1)&lt;&gt;0)),"Quantity; ","")&amp;IF($D204="","Recipient Name; ","")&amp;IF(LEN($D204)&gt;35,"Recipient Name; ","")&amp;IF($E204="","Recipient Phone; ","")&amp;IF(AND($E204&lt;&gt;"",OR(LEN($E204)&lt;6,LEN($E204)&gt;20,NOT(IFERROR(ISNUMBER(1*$E204),FALSE())))),"Recipient Phone; ","")&amp;IF(LEN($F204)&gt;35,"Recipient Company Name; ","")&amp;IF($G204="","Address Line 1; ","")&amp;IF(LEN($G204)&gt;35,"Address Line 1; ","")&amp;IF(LEN($H204)&gt;35,"Address Line 2; ","")&amp;IF(LEN($I204)&gt;35,"Address Line 3; ","")&amp;IF($J204="","Town; ","")&amp;IF(LEN($J204)&gt;35,"Town; ","")&amp;IF(AND($N204="IE",$K204=""),"County; ","")&amp;IF(LEN($AB204)&gt;35,"County; ","")&amp;IF(AND($L204="",AND($N204&lt;&gt;"AE",$N204&lt;&gt;"QA")),"Postcode; ","")&amp;IF(LEN($L204)&gt;35,"Postcode; ","")&amp;IF($AE204&lt;&gt;"","Postcode; ","")&amp;IF(LEN($O204)&gt;40,"Gift Message 1; ","")&amp;IF(LEN($P204)&gt;40,"Gift Message 2; ","")&amp;IF(LEN($Q204)&gt;40,"Gift Message 3; ","")&amp;IF(LEN($R204)&gt;40,"Gift Message 4; ","")&amp;IF(LEN($S204)&gt;40,"Gift Message 5; ","")&amp;IF(LEN($T204)&gt;40,"Gift Message 6; ","")&amp;IF(LEN($U204)&gt;40,"Gift Message 7; ",""))</f>
        <v/>
      </c>
      <c r="X204" s="44" t="str">
        <f ca="1">IF(COUNTA($A204,$D204:$M204,$O204:$U204)=0,"",IF($A204="","Enter the Item Code (hamper) - type it, paste it, or choose it from the dropdown. ","")&amp;IF(AND($A204&lt;&gt;"",ISNA(MATCH($AC204,'PRODUCT DATA'!$D$2:$D$394,0))),"This Item Code is not recognised. Check the code (case does not matter, but spelling and digits must match exactly) or choose it from the dropdown. ","")&amp;IF($M204="","Enter the Country after the Item Code - type or paste the name or the 2-letter code, or choose it from the dropdown. ","")&amp;IF(AND($M204&lt;&gt;"",NOT(OR(NOT(ISNA(MATCH(IF(UPPER($M204)="UK","GB",$M204),'PRODUCT DATA'!$A$2:$A$58,0))),NOT(ISNA(MATCH(IF(UPPER($M204)="UK","GB",$M204),'PRODUCT DATA'!$B$2:$B$58,0)))))),"This Country is not recognised as either a full name or a 2-letter code. Check the spelling (case does not matter) or choose it from the dropdown. ","")&amp;IF(AND($A204&lt;&gt;"",$M204&lt;&gt;"",NOT(ISNA(MATCH($AC204,'PRODUCT DATA'!$D$2:$D$394,0))),OR(NOT(ISNA(MATCH(IF(UPPER($M204)="UK","GB",$M204),'PRODUCT DATA'!$A$2:$A$58,0))),NOT(ISNA(MATCH(IF(UPPER($M204)="UK","GB",$M204),'PRODUCT DATA'!$B$2:$B$58,0)))),NOT(IFERROR(COUNTIF(OFFSET('PRODUCT DATA'!$F$2,0,MATCH($AC204,'PRODUCT DATA'!$F$1:$NN$1,0)-1,114,1),$N204)&gt;0,FALSE()))),IF(UPPER(IFERROR(OFFSET('PRODUCT DATA'!$C$2,MATCH($N204,'PRODUCT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"),"")&amp;IF($C204="","Enter Quantity. ","")&amp;IF(AND($C204&lt;&gt;"",OR(NOT(ISNUMBER($C204)),$C204&lt;1,$C204&gt;999,MOD($C204,1)&lt;&gt;0)),"Quantity must be a whole number from 1 to 999 (use a quantity above 1 only for a genuine bulk order of identical items to ONE address — otherwise use a separate row per recipient). ","")&amp;IF($D204="","Enter Recipient Name. ","")&amp;IF(LEN($D204)&gt;35,"Recipient Name exceeds 35 characters. ","")&amp;IF($E204="","Enter Recipient Phone. ","")&amp;IF(AND($E204&lt;&gt;"",OR(LEN($E204)&lt;6,LEN($E204)&gt;20,NOT(IFERROR(ISNUMBER(1*$E204),FALSE())))),"Phone must be the LOCAL number for the destination country: digits only, no +, spaces, or country code, 6 to 20 digits. ","")&amp;IF(LEN($F204)&gt;35,"Recipient Company Name exceeds 35 characters. ","")&amp;IF($G204="","Enter Address Line 1. ","")&amp;IF(LEN($G204)&gt;35,"Address Line 1 exceeds the 35-character SAP limit. ","")&amp;IF(LEN($H204)&gt;35,"Address Line 2 exceeds the 35-character SAP limit. ","")&amp;IF(LEN($I204)&gt;35,"Address Line 3 exceeds the 35-character SAP limit. ","")&amp;IF($J204="","Enter Town. This must never be left blank, even if there is no conventional town name. ","")&amp;IF(LEN($J204)&gt;35,"Town exceeds 35 characters. ","")&amp;IF(AND($N204="IE",$K204=""),"County is required for deliveries within the Republic of Ireland. ","")&amp;IF(LEN($AB204)&gt;35,"County exceeds 35 characters. ","")&amp;IF(AND($L204="",AND($N204&lt;&gt;"AE",$N204&lt;&gt;"QA")),"Postcode is required for the selected country. If there is genuinely no postcode, enter the first 3 characters of the area (e.g. D15). ","")&amp;IF(LEN($L204)&gt;35,"Postcode exceeds 35 characters. ","")&amp;IF($AE204&lt;&gt;"",$AE204,"")&amp;IF(LEN($O204)&gt;40,"Gift Message Line 1 exceeds 40 characters. ","")&amp;IF(LEN($P204)&gt;40,"Gift Message Line 2 exceeds 40 characters. ","")&amp;IF(LEN($Q204)&gt;40,"Gift Message Line 3 exceeds 40 characters. ","")&amp;IF(LEN($R204)&gt;40,"Gift Message Line 4 exceeds 40 characters. ","")&amp;IF(LEN($S204)&gt;40,"Gift Message Line 5 exceeds 40 characters. ","")&amp;IF(LEN($T204)&gt;40,"Gift Message Line 6 exceeds 40 characters. ","")&amp;IF(LEN($U204)&gt;40,"Gift Message Line 7 exceeds 40 characters. ",""))</f>
        <v/>
      </c>
      <c r="Y204" s="44" t="str">
        <f t="shared" si="13"/>
        <v/>
      </c>
      <c r="Z204" s="44"/>
      <c r="AA204" s="44"/>
      <c r="AB204" s="32" t="str">
        <f t="shared" si="14"/>
        <v/>
      </c>
      <c r="AC204" s="32" t="str">
        <f>IF($A204="","",IFERROR(LEFT(INDEX('PRODUCT DATA'!$NO$2:$NO$25,MATCH($A204,'PRODUCT DATA'!$NP$2:$NP$25,0)),FIND("|",INDEX('PRODUCT DATA'!$NO$2:$NO$25,MATCH($A204,'PRODUCT DATA'!$NP$2:$NP$25,0)))-1),$A204))</f>
        <v/>
      </c>
      <c r="AD204" s="45"/>
      <c r="AE204" s="45" t="str">
        <f t="shared" si="15"/>
        <v/>
      </c>
    </row>
    <row r="205" spans="1:31" ht="15" customHeight="1" x14ac:dyDescent="0.25">
      <c r="A205" s="40"/>
      <c r="B205" s="43" t="str">
        <f>IF($A205="","",IFERROR(VLOOKUP($AC205,'PRODUCT DATA'!$NR$2:$NS$374,2,FALSE()),"UNKNOWN ITEM CODE - please check"))</f>
        <v/>
      </c>
      <c r="C205" s="39">
        <v>1</v>
      </c>
      <c r="D205" s="39"/>
      <c r="E205" s="40"/>
      <c r="F205" s="41"/>
      <c r="G205" s="39"/>
      <c r="H205" s="41"/>
      <c r="I205" s="41"/>
      <c r="J205" s="39"/>
      <c r="K205" s="41"/>
      <c r="L205" s="40"/>
      <c r="M205" s="40"/>
      <c r="N205" s="42" t="str">
        <f>IF($M205="","",IFERROR(INDEX('PRODUCT DATA'!$B$2:$B$58,MATCH(IF(UPPER($M205)="UK","GB",$M205),'PRODUCT DATA'!$B$2:$B$58,0)),IFERROR(INDEX('PRODUCT DATA'!$B$2:$B$58,MATCH(IF(UPPER($M205)="UK","GB",$M205),'PRODUCT DATA'!$A$2:$A$58,0)),"UNKNOWN COUNTRY - please check")))</f>
        <v/>
      </c>
      <c r="O205" s="41"/>
      <c r="P205" s="41"/>
      <c r="Q205" s="41"/>
      <c r="R205" s="41"/>
      <c r="S205" s="41"/>
      <c r="T205" s="41"/>
      <c r="U205" s="41"/>
      <c r="V205" s="43" t="str">
        <f t="shared" si="12"/>
        <v/>
      </c>
      <c r="W205" s="44" t="str">
        <f ca="1">IF(COUNTA($A205,$D205:$M205,$O205:$U205)=0,"",IF($A205="","Item Code; ","")&amp;IF(AND($A205&lt;&gt;"",ISNA(MATCH($AC205,'PRODUCT DATA'!$D$2:$D$394,0))),"Item Code; ","")&amp;IF($M205="","Country; ","")&amp;IF(AND($M205&lt;&gt;"",NOT(OR(NOT(ISNA(MATCH(IF(UPPER($M205)="UK","GB",$M205),'PRODUCT DATA'!$A$2:$A$58,0))),NOT(ISNA(MATCH(IF(UPPER($M205)="UK","GB",$M205),'PRODUCT DATA'!$B$2:$B$58,0)))))),"Country; ","")&amp;IF(AND($A205&lt;&gt;"",$M205&lt;&gt;"",NOT(ISNA(MATCH($AC205,'PRODUCT DATA'!$D$2:$D$394,0))),OR(NOT(ISNA(MATCH(IF(UPPER($M205)="UK","GB",$M205),'PRODUCT DATA'!$A$2:$A$58,0))),NOT(ISNA(MATCH(IF(UPPER($M205)="UK","GB",$M205),'PRODUCT DATA'!$B$2:$B$58,0)))),NOT(IFERROR(COUNTIF(OFFSET('PRODUCT DATA'!$F$2,0,MATCH($AC205,'PRODUCT DATA'!$F$1:$NN$1,0)-1,114,1),$N205)&gt;0,FALSE()))),IF(UPPER(IFERROR(OFFSET('PRODUCT DATA'!$C$2,MATCH($N205,'PRODUCT DATA'!$B$2:$B$58,0)-1,0),""))="NO","Alcohol Restriction; ","Item Code / Country combination; "),"")&amp;IF($C205="","Quantity; ","")&amp;IF(AND($C205&lt;&gt;"",OR(NOT(ISNUMBER($C205)),$C205&lt;1,$C205&gt;999,MOD($C205,1)&lt;&gt;0)),"Quantity; ","")&amp;IF($D205="","Recipient Name; ","")&amp;IF(LEN($D205)&gt;35,"Recipient Name; ","")&amp;IF($E205="","Recipient Phone; ","")&amp;IF(AND($E205&lt;&gt;"",OR(LEN($E205)&lt;6,LEN($E205)&gt;20,NOT(IFERROR(ISNUMBER(1*$E205),FALSE())))),"Recipient Phone; ","")&amp;IF(LEN($F205)&gt;35,"Recipient Company Name; ","")&amp;IF($G205="","Address Line 1; ","")&amp;IF(LEN($G205)&gt;35,"Address Line 1; ","")&amp;IF(LEN($H205)&gt;35,"Address Line 2; ","")&amp;IF(LEN($I205)&gt;35,"Address Line 3; ","")&amp;IF($J205="","Town; ","")&amp;IF(LEN($J205)&gt;35,"Town; ","")&amp;IF(AND($N205="IE",$K205=""),"County; ","")&amp;IF(LEN($AB205)&gt;35,"County; ","")&amp;IF(AND($L205="",AND($N205&lt;&gt;"AE",$N205&lt;&gt;"QA")),"Postcode; ","")&amp;IF(LEN($L205)&gt;35,"Postcode; ","")&amp;IF($AE205&lt;&gt;"","Postcode; ","")&amp;IF(LEN($O205)&gt;40,"Gift Message 1; ","")&amp;IF(LEN($P205)&gt;40,"Gift Message 2; ","")&amp;IF(LEN($Q205)&gt;40,"Gift Message 3; ","")&amp;IF(LEN($R205)&gt;40,"Gift Message 4; ","")&amp;IF(LEN($S205)&gt;40,"Gift Message 5; ","")&amp;IF(LEN($T205)&gt;40,"Gift Message 6; ","")&amp;IF(LEN($U205)&gt;40,"Gift Message 7; ",""))</f>
        <v/>
      </c>
      <c r="X205" s="44" t="str">
        <f ca="1">IF(COUNTA($A205,$D205:$M205,$O205:$U205)=0,"",IF($A205="","Enter the Item Code (hamper) - type it, paste it, or choose it from the dropdown. ","")&amp;IF(AND($A205&lt;&gt;"",ISNA(MATCH($AC205,'PRODUCT DATA'!$D$2:$D$394,0))),"This Item Code is not recognised. Check the code (case does not matter, but spelling and digits must match exactly) or choose it from the dropdown. ","")&amp;IF($M205="","Enter the Country after the Item Code - type or paste the name or the 2-letter code, or choose it from the dropdown. ","")&amp;IF(AND($M205&lt;&gt;"",NOT(OR(NOT(ISNA(MATCH(IF(UPPER($M205)="UK","GB",$M205),'PRODUCT DATA'!$A$2:$A$58,0))),NOT(ISNA(MATCH(IF(UPPER($M205)="UK","GB",$M205),'PRODUCT DATA'!$B$2:$B$58,0)))))),"This Country is not recognised as either a full name or a 2-letter code. Check the spelling (case does not matter) or choose it from the dropdown. ","")&amp;IF(AND($A205&lt;&gt;"",$M205&lt;&gt;"",NOT(ISNA(MATCH($AC205,'PRODUCT DATA'!$D$2:$D$394,0))),OR(NOT(ISNA(MATCH(IF(UPPER($M205)="UK","GB",$M205),'PRODUCT DATA'!$A$2:$A$58,0))),NOT(ISNA(MATCH(IF(UPPER($M205)="UK","GB",$M205),'PRODUCT DATA'!$B$2:$B$58,0)))),NOT(IFERROR(COUNTIF(OFFSET('PRODUCT DATA'!$F$2,0,MATCH($AC205,'PRODUCT DATA'!$F$1:$NN$1,0)-1,114,1),$N205)&gt;0,FALSE()))),IF(UPPER(IFERROR(OFFSET('PRODUCT DATA'!$C$2,MATCH($N205,'PRODUCT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"),"")&amp;IF($C205="","Enter Quantity. ","")&amp;IF(AND($C205&lt;&gt;"",OR(NOT(ISNUMBER($C205)),$C205&lt;1,$C205&gt;999,MOD($C205,1)&lt;&gt;0)),"Quantity must be a whole number from 1 to 999 (use a quantity above 1 only for a genuine bulk order of identical items to ONE address — otherwise use a separate row per recipient). ","")&amp;IF($D205="","Enter Recipient Name. ","")&amp;IF(LEN($D205)&gt;35,"Recipient Name exceeds 35 characters. ","")&amp;IF($E205="","Enter Recipient Phone. ","")&amp;IF(AND($E205&lt;&gt;"",OR(LEN($E205)&lt;6,LEN($E205)&gt;20,NOT(IFERROR(ISNUMBER(1*$E205),FALSE())))),"Phone must be the LOCAL number for the destination country: digits only, no +, spaces, or country code, 6 to 20 digits. ","")&amp;IF(LEN($F205)&gt;35,"Recipient Company Name exceeds 35 characters. ","")&amp;IF($G205="","Enter Address Line 1. ","")&amp;IF(LEN($G205)&gt;35,"Address Line 1 exceeds the 35-character SAP limit. ","")&amp;IF(LEN($H205)&gt;35,"Address Line 2 exceeds the 35-character SAP limit. ","")&amp;IF(LEN($I205)&gt;35,"Address Line 3 exceeds the 35-character SAP limit. ","")&amp;IF($J205="","Enter Town. This must never be left blank, even if there is no conventional town name. ","")&amp;IF(LEN($J205)&gt;35,"Town exceeds 35 characters. ","")&amp;IF(AND($N205="IE",$K205=""),"County is required for deliveries within the Republic of Ireland. ","")&amp;IF(LEN($AB205)&gt;35,"County exceeds 35 characters. ","")&amp;IF(AND($L205="",AND($N205&lt;&gt;"AE",$N205&lt;&gt;"QA")),"Postcode is required for the selected country. If there is genuinely no postcode, enter the first 3 characters of the area (e.g. D15). ","")&amp;IF(LEN($L205)&gt;35,"Postcode exceeds 35 characters. ","")&amp;IF($AE205&lt;&gt;"",$AE205,"")&amp;IF(LEN($O205)&gt;40,"Gift Message Line 1 exceeds 40 characters. ","")&amp;IF(LEN($P205)&gt;40,"Gift Message Line 2 exceeds 40 characters. ","")&amp;IF(LEN($Q205)&gt;40,"Gift Message Line 3 exceeds 40 characters. ","")&amp;IF(LEN($R205)&gt;40,"Gift Message Line 4 exceeds 40 characters. ","")&amp;IF(LEN($S205)&gt;40,"Gift Message Line 5 exceeds 40 characters. ","")&amp;IF(LEN($T205)&gt;40,"Gift Message Line 6 exceeds 40 characters. ","")&amp;IF(LEN($U205)&gt;40,"Gift Message Line 7 exceeds 40 characters. ",""))</f>
        <v/>
      </c>
      <c r="Y205" s="44" t="str">
        <f t="shared" si="13"/>
        <v/>
      </c>
      <c r="Z205" s="44"/>
      <c r="AA205" s="44"/>
      <c r="AB205" s="32" t="str">
        <f t="shared" si="14"/>
        <v/>
      </c>
      <c r="AC205" s="32" t="str">
        <f>IF($A205="","",IFERROR(LEFT(INDEX('PRODUCT DATA'!$NO$2:$NO$25,MATCH($A205,'PRODUCT DATA'!$NP$2:$NP$25,0)),FIND("|",INDEX('PRODUCT DATA'!$NO$2:$NO$25,MATCH($A205,'PRODUCT DATA'!$NP$2:$NP$25,0)))-1),$A205))</f>
        <v/>
      </c>
      <c r="AD205" s="45"/>
      <c r="AE205" s="45" t="str">
        <f t="shared" si="15"/>
        <v/>
      </c>
    </row>
    <row r="206" spans="1:31" ht="15" customHeight="1" x14ac:dyDescent="0.25">
      <c r="A206" s="40"/>
      <c r="B206" s="43" t="str">
        <f>IF($A206="","",IFERROR(VLOOKUP($AC206,'PRODUCT DATA'!$NR$2:$NS$374,2,FALSE()),"UNKNOWN ITEM CODE - please check"))</f>
        <v/>
      </c>
      <c r="C206" s="39">
        <v>1</v>
      </c>
      <c r="D206" s="39"/>
      <c r="E206" s="40"/>
      <c r="F206" s="41"/>
      <c r="G206" s="39"/>
      <c r="H206" s="41"/>
      <c r="I206" s="41"/>
      <c r="J206" s="39"/>
      <c r="K206" s="41"/>
      <c r="L206" s="40"/>
      <c r="M206" s="40"/>
      <c r="N206" s="42" t="str">
        <f>IF($M206="","",IFERROR(INDEX('PRODUCT DATA'!$B$2:$B$58,MATCH(IF(UPPER($M206)="UK","GB",$M206),'PRODUCT DATA'!$B$2:$B$58,0)),IFERROR(INDEX('PRODUCT DATA'!$B$2:$B$58,MATCH(IF(UPPER($M206)="UK","GB",$M206),'PRODUCT DATA'!$A$2:$A$58,0)),"UNKNOWN COUNTRY - please check")))</f>
        <v/>
      </c>
      <c r="O206" s="41"/>
      <c r="P206" s="41"/>
      <c r="Q206" s="41"/>
      <c r="R206" s="41"/>
      <c r="S206" s="41"/>
      <c r="T206" s="41"/>
      <c r="U206" s="41"/>
      <c r="V206" s="43" t="str">
        <f t="shared" si="12"/>
        <v/>
      </c>
      <c r="W206" s="44" t="str">
        <f ca="1">IF(COUNTA($A206,$D206:$M206,$O206:$U206)=0,"",IF($A206="","Item Code; ","")&amp;IF(AND($A206&lt;&gt;"",ISNA(MATCH($AC206,'PRODUCT DATA'!$D$2:$D$394,0))),"Item Code; ","")&amp;IF($M206="","Country; ","")&amp;IF(AND($M206&lt;&gt;"",NOT(OR(NOT(ISNA(MATCH(IF(UPPER($M206)="UK","GB",$M206),'PRODUCT DATA'!$A$2:$A$58,0))),NOT(ISNA(MATCH(IF(UPPER($M206)="UK","GB",$M206),'PRODUCT DATA'!$B$2:$B$58,0)))))),"Country; ","")&amp;IF(AND($A206&lt;&gt;"",$M206&lt;&gt;"",NOT(ISNA(MATCH($AC206,'PRODUCT DATA'!$D$2:$D$394,0))),OR(NOT(ISNA(MATCH(IF(UPPER($M206)="UK","GB",$M206),'PRODUCT DATA'!$A$2:$A$58,0))),NOT(ISNA(MATCH(IF(UPPER($M206)="UK","GB",$M206),'PRODUCT DATA'!$B$2:$B$58,0)))),NOT(IFERROR(COUNTIF(OFFSET('PRODUCT DATA'!$F$2,0,MATCH($AC206,'PRODUCT DATA'!$F$1:$NN$1,0)-1,114,1),$N206)&gt;0,FALSE()))),IF(UPPER(IFERROR(OFFSET('PRODUCT DATA'!$C$2,MATCH($N206,'PRODUCT DATA'!$B$2:$B$58,0)-1,0),""))="NO","Alcohol Restriction; ","Item Code / Country combination; "),"")&amp;IF($C206="","Quantity; ","")&amp;IF(AND($C206&lt;&gt;"",OR(NOT(ISNUMBER($C206)),$C206&lt;1,$C206&gt;999,MOD($C206,1)&lt;&gt;0)),"Quantity; ","")&amp;IF($D206="","Recipient Name; ","")&amp;IF(LEN($D206)&gt;35,"Recipient Name; ","")&amp;IF($E206="","Recipient Phone; ","")&amp;IF(AND($E206&lt;&gt;"",OR(LEN($E206)&lt;6,LEN($E206)&gt;20,NOT(IFERROR(ISNUMBER(1*$E206),FALSE())))),"Recipient Phone; ","")&amp;IF(LEN($F206)&gt;35,"Recipient Company Name; ","")&amp;IF($G206="","Address Line 1; ","")&amp;IF(LEN($G206)&gt;35,"Address Line 1; ","")&amp;IF(LEN($H206)&gt;35,"Address Line 2; ","")&amp;IF(LEN($I206)&gt;35,"Address Line 3; ","")&amp;IF($J206="","Town; ","")&amp;IF(LEN($J206)&gt;35,"Town; ","")&amp;IF(AND($N206="IE",$K206=""),"County; ","")&amp;IF(LEN($AB206)&gt;35,"County; ","")&amp;IF(AND($L206="",AND($N206&lt;&gt;"AE",$N206&lt;&gt;"QA")),"Postcode; ","")&amp;IF(LEN($L206)&gt;35,"Postcode; ","")&amp;IF($AE206&lt;&gt;"","Postcode; ","")&amp;IF(LEN($O206)&gt;40,"Gift Message 1; ","")&amp;IF(LEN($P206)&gt;40,"Gift Message 2; ","")&amp;IF(LEN($Q206)&gt;40,"Gift Message 3; ","")&amp;IF(LEN($R206)&gt;40,"Gift Message 4; ","")&amp;IF(LEN($S206)&gt;40,"Gift Message 5; ","")&amp;IF(LEN($T206)&gt;40,"Gift Message 6; ","")&amp;IF(LEN($U206)&gt;40,"Gift Message 7; ",""))</f>
        <v/>
      </c>
      <c r="X206" s="44" t="str">
        <f ca="1">IF(COUNTA($A206,$D206:$M206,$O206:$U206)=0,"",IF($A206="","Enter the Item Code (hamper) - type it, paste it, or choose it from the dropdown. ","")&amp;IF(AND($A206&lt;&gt;"",ISNA(MATCH($AC206,'PRODUCT DATA'!$D$2:$D$394,0))),"This Item Code is not recognised. Check the code (case does not matter, but spelling and digits must match exactly) or choose it from the dropdown. ","")&amp;IF($M206="","Enter the Country after the Item Code - type or paste the name or the 2-letter code, or choose it from the dropdown. ","")&amp;IF(AND($M206&lt;&gt;"",NOT(OR(NOT(ISNA(MATCH(IF(UPPER($M206)="UK","GB",$M206),'PRODUCT DATA'!$A$2:$A$58,0))),NOT(ISNA(MATCH(IF(UPPER($M206)="UK","GB",$M206),'PRODUCT DATA'!$B$2:$B$58,0)))))),"This Country is not recognised as either a full name or a 2-letter code. Check the spelling (case does not matter) or choose it from the dropdown. ","")&amp;IF(AND($A206&lt;&gt;"",$M206&lt;&gt;"",NOT(ISNA(MATCH($AC206,'PRODUCT DATA'!$D$2:$D$394,0))),OR(NOT(ISNA(MATCH(IF(UPPER($M206)="UK","GB",$M206),'PRODUCT DATA'!$A$2:$A$58,0))),NOT(ISNA(MATCH(IF(UPPER($M206)="UK","GB",$M206),'PRODUCT DATA'!$B$2:$B$58,0)))),NOT(IFERROR(COUNTIF(OFFSET('PRODUCT DATA'!$F$2,0,MATCH($AC206,'PRODUCT DATA'!$F$1:$NN$1,0)-1,114,1),$N206)&gt;0,FALSE()))),IF(UPPER(IFERROR(OFFSET('PRODUCT DATA'!$C$2,MATCH($N206,'PRODUCT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"),"")&amp;IF($C206="","Enter Quantity. ","")&amp;IF(AND($C206&lt;&gt;"",OR(NOT(ISNUMBER($C206)),$C206&lt;1,$C206&gt;999,MOD($C206,1)&lt;&gt;0)),"Quantity must be a whole number from 1 to 999 (use a quantity above 1 only for a genuine bulk order of identical items to ONE address — otherwise use a separate row per recipient). ","")&amp;IF($D206="","Enter Recipient Name. ","")&amp;IF(LEN($D206)&gt;35,"Recipient Name exceeds 35 characters. ","")&amp;IF($E206="","Enter Recipient Phone. ","")&amp;IF(AND($E206&lt;&gt;"",OR(LEN($E206)&lt;6,LEN($E206)&gt;20,NOT(IFERROR(ISNUMBER(1*$E206),FALSE())))),"Phone must be the LOCAL number for the destination country: digits only, no +, spaces, or country code, 6 to 20 digits. ","")&amp;IF(LEN($F206)&gt;35,"Recipient Company Name exceeds 35 characters. ","")&amp;IF($G206="","Enter Address Line 1. ","")&amp;IF(LEN($G206)&gt;35,"Address Line 1 exceeds the 35-character SAP limit. ","")&amp;IF(LEN($H206)&gt;35,"Address Line 2 exceeds the 35-character SAP limit. ","")&amp;IF(LEN($I206)&gt;35,"Address Line 3 exceeds the 35-character SAP limit. ","")&amp;IF($J206="","Enter Town. This must never be left blank, even if there is no conventional town name. ","")&amp;IF(LEN($J206)&gt;35,"Town exceeds 35 characters. ","")&amp;IF(AND($N206="IE",$K206=""),"County is required for deliveries within the Republic of Ireland. ","")&amp;IF(LEN($AB206)&gt;35,"County exceeds 35 characters. ","")&amp;IF(AND($L206="",AND($N206&lt;&gt;"AE",$N206&lt;&gt;"QA")),"Postcode is required for the selected country. If there is genuinely no postcode, enter the first 3 characters of the area (e.g. D15). ","")&amp;IF(LEN($L206)&gt;35,"Postcode exceeds 35 characters. ","")&amp;IF($AE206&lt;&gt;"",$AE206,"")&amp;IF(LEN($O206)&gt;40,"Gift Message Line 1 exceeds 40 characters. ","")&amp;IF(LEN($P206)&gt;40,"Gift Message Line 2 exceeds 40 characters. ","")&amp;IF(LEN($Q206)&gt;40,"Gift Message Line 3 exceeds 40 characters. ","")&amp;IF(LEN($R206)&gt;40,"Gift Message Line 4 exceeds 40 characters. ","")&amp;IF(LEN($S206)&gt;40,"Gift Message Line 5 exceeds 40 characters. ","")&amp;IF(LEN($T206)&gt;40,"Gift Message Line 6 exceeds 40 characters. ","")&amp;IF(LEN($U206)&gt;40,"Gift Message Line 7 exceeds 40 characters. ",""))</f>
        <v/>
      </c>
      <c r="Y206" s="44" t="str">
        <f t="shared" si="13"/>
        <v/>
      </c>
      <c r="Z206" s="44"/>
      <c r="AA206" s="44"/>
      <c r="AB206" s="32" t="str">
        <f t="shared" si="14"/>
        <v/>
      </c>
      <c r="AC206" s="32" t="str">
        <f>IF($A206="","",IFERROR(LEFT(INDEX('PRODUCT DATA'!$NO$2:$NO$25,MATCH($A206,'PRODUCT DATA'!$NP$2:$NP$25,0)),FIND("|",INDEX('PRODUCT DATA'!$NO$2:$NO$25,MATCH($A206,'PRODUCT DATA'!$NP$2:$NP$25,0)))-1),$A206))</f>
        <v/>
      </c>
      <c r="AD206" s="45"/>
      <c r="AE206" s="45" t="str">
        <f t="shared" si="15"/>
        <v/>
      </c>
    </row>
    <row r="207" spans="1:31" ht="15" customHeight="1" x14ac:dyDescent="0.25">
      <c r="A207" s="40"/>
      <c r="B207" s="43" t="str">
        <f>IF($A207="","",IFERROR(VLOOKUP($AC207,'PRODUCT DATA'!$NR$2:$NS$374,2,FALSE()),"UNKNOWN ITEM CODE - please check"))</f>
        <v/>
      </c>
      <c r="C207" s="39">
        <v>1</v>
      </c>
      <c r="D207" s="39"/>
      <c r="E207" s="40"/>
      <c r="F207" s="41"/>
      <c r="G207" s="39"/>
      <c r="H207" s="41"/>
      <c r="I207" s="41"/>
      <c r="J207" s="39"/>
      <c r="K207" s="41"/>
      <c r="L207" s="40"/>
      <c r="M207" s="40"/>
      <c r="N207" s="42" t="str">
        <f>IF($M207="","",IFERROR(INDEX('PRODUCT DATA'!$B$2:$B$58,MATCH(IF(UPPER($M207)="UK","GB",$M207),'PRODUCT DATA'!$B$2:$B$58,0)),IFERROR(INDEX('PRODUCT DATA'!$B$2:$B$58,MATCH(IF(UPPER($M207)="UK","GB",$M207),'PRODUCT DATA'!$A$2:$A$58,0)),"UNKNOWN COUNTRY - please check")))</f>
        <v/>
      </c>
      <c r="O207" s="41"/>
      <c r="P207" s="41"/>
      <c r="Q207" s="41"/>
      <c r="R207" s="41"/>
      <c r="S207" s="41"/>
      <c r="T207" s="41"/>
      <c r="U207" s="41"/>
      <c r="V207" s="43" t="str">
        <f t="shared" si="12"/>
        <v/>
      </c>
      <c r="W207" s="44" t="str">
        <f ca="1">IF(COUNTA($A207,$D207:$M207,$O207:$U207)=0,"",IF($A207="","Item Code; ","")&amp;IF(AND($A207&lt;&gt;"",ISNA(MATCH($AC207,'PRODUCT DATA'!$D$2:$D$394,0))),"Item Code; ","")&amp;IF($M207="","Country; ","")&amp;IF(AND($M207&lt;&gt;"",NOT(OR(NOT(ISNA(MATCH(IF(UPPER($M207)="UK","GB",$M207),'PRODUCT DATA'!$A$2:$A$58,0))),NOT(ISNA(MATCH(IF(UPPER($M207)="UK","GB",$M207),'PRODUCT DATA'!$B$2:$B$58,0)))))),"Country; ","")&amp;IF(AND($A207&lt;&gt;"",$M207&lt;&gt;"",NOT(ISNA(MATCH($AC207,'PRODUCT DATA'!$D$2:$D$394,0))),OR(NOT(ISNA(MATCH(IF(UPPER($M207)="UK","GB",$M207),'PRODUCT DATA'!$A$2:$A$58,0))),NOT(ISNA(MATCH(IF(UPPER($M207)="UK","GB",$M207),'PRODUCT DATA'!$B$2:$B$58,0)))),NOT(IFERROR(COUNTIF(OFFSET('PRODUCT DATA'!$F$2,0,MATCH($AC207,'PRODUCT DATA'!$F$1:$NN$1,0)-1,114,1),$N207)&gt;0,FALSE()))),IF(UPPER(IFERROR(OFFSET('PRODUCT DATA'!$C$2,MATCH($N207,'PRODUCT DATA'!$B$2:$B$58,0)-1,0),""))="NO","Alcohol Restriction; ","Item Code / Country combination; "),"")&amp;IF($C207="","Quantity; ","")&amp;IF(AND($C207&lt;&gt;"",OR(NOT(ISNUMBER($C207)),$C207&lt;1,$C207&gt;999,MOD($C207,1)&lt;&gt;0)),"Quantity; ","")&amp;IF($D207="","Recipient Name; ","")&amp;IF(LEN($D207)&gt;35,"Recipient Name; ","")&amp;IF($E207="","Recipient Phone; ","")&amp;IF(AND($E207&lt;&gt;"",OR(LEN($E207)&lt;6,LEN($E207)&gt;20,NOT(IFERROR(ISNUMBER(1*$E207),FALSE())))),"Recipient Phone; ","")&amp;IF(LEN($F207)&gt;35,"Recipient Company Name; ","")&amp;IF($G207="","Address Line 1; ","")&amp;IF(LEN($G207)&gt;35,"Address Line 1; ","")&amp;IF(LEN($H207)&gt;35,"Address Line 2; ","")&amp;IF(LEN($I207)&gt;35,"Address Line 3; ","")&amp;IF($J207="","Town; ","")&amp;IF(LEN($J207)&gt;35,"Town; ","")&amp;IF(AND($N207="IE",$K207=""),"County; ","")&amp;IF(LEN($AB207)&gt;35,"County; ","")&amp;IF(AND($L207="",AND($N207&lt;&gt;"AE",$N207&lt;&gt;"QA")),"Postcode; ","")&amp;IF(LEN($L207)&gt;35,"Postcode; ","")&amp;IF($AE207&lt;&gt;"","Postcode; ","")&amp;IF(LEN($O207)&gt;40,"Gift Message 1; ","")&amp;IF(LEN($P207)&gt;40,"Gift Message 2; ","")&amp;IF(LEN($Q207)&gt;40,"Gift Message 3; ","")&amp;IF(LEN($R207)&gt;40,"Gift Message 4; ","")&amp;IF(LEN($S207)&gt;40,"Gift Message 5; ","")&amp;IF(LEN($T207)&gt;40,"Gift Message 6; ","")&amp;IF(LEN($U207)&gt;40,"Gift Message 7; ",""))</f>
        <v/>
      </c>
      <c r="X207" s="44" t="str">
        <f ca="1">IF(COUNTA($A207,$D207:$M207,$O207:$U207)=0,"",IF($A207="","Enter the Item Code (hamper) - type it, paste it, or choose it from the dropdown. ","")&amp;IF(AND($A207&lt;&gt;"",ISNA(MATCH($AC207,'PRODUCT DATA'!$D$2:$D$394,0))),"This Item Code is not recognised. Check the code (case does not matter, but spelling and digits must match exactly) or choose it from the dropdown. ","")&amp;IF($M207="","Enter the Country after the Item Code - type or paste the name or the 2-letter code, or choose it from the dropdown. ","")&amp;IF(AND($M207&lt;&gt;"",NOT(OR(NOT(ISNA(MATCH(IF(UPPER($M207)="UK","GB",$M207),'PRODUCT DATA'!$A$2:$A$58,0))),NOT(ISNA(MATCH(IF(UPPER($M207)="UK","GB",$M207),'PRODUCT DATA'!$B$2:$B$58,0)))))),"This Country is not recognised as either a full name or a 2-letter code. Check the spelling (case does not matter) or choose it from the dropdown. ","")&amp;IF(AND($A207&lt;&gt;"",$M207&lt;&gt;"",NOT(ISNA(MATCH($AC207,'PRODUCT DATA'!$D$2:$D$394,0))),OR(NOT(ISNA(MATCH(IF(UPPER($M207)="UK","GB",$M207),'PRODUCT DATA'!$A$2:$A$58,0))),NOT(ISNA(MATCH(IF(UPPER($M207)="UK","GB",$M207),'PRODUCT DATA'!$B$2:$B$58,0)))),NOT(IFERROR(COUNTIF(OFFSET('PRODUCT DATA'!$F$2,0,MATCH($AC207,'PRODUCT DATA'!$F$1:$NN$1,0)-1,114,1),$N207)&gt;0,FALSE()))),IF(UPPER(IFERROR(OFFSET('PRODUCT DATA'!$C$2,MATCH($N207,'PRODUCT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"),"")&amp;IF($C207="","Enter Quantity. ","")&amp;IF(AND($C207&lt;&gt;"",OR(NOT(ISNUMBER($C207)),$C207&lt;1,$C207&gt;999,MOD($C207,1)&lt;&gt;0)),"Quantity must be a whole number from 1 to 999 (use a quantity above 1 only for a genuine bulk order of identical items to ONE address — otherwise use a separate row per recipient). ","")&amp;IF($D207="","Enter Recipient Name. ","")&amp;IF(LEN($D207)&gt;35,"Recipient Name exceeds 35 characters. ","")&amp;IF($E207="","Enter Recipient Phone. ","")&amp;IF(AND($E207&lt;&gt;"",OR(LEN($E207)&lt;6,LEN($E207)&gt;20,NOT(IFERROR(ISNUMBER(1*$E207),FALSE())))),"Phone must be the LOCAL number for the destination country: digits only, no +, spaces, or country code, 6 to 20 digits. ","")&amp;IF(LEN($F207)&gt;35,"Recipient Company Name exceeds 35 characters. ","")&amp;IF($G207="","Enter Address Line 1. ","")&amp;IF(LEN($G207)&gt;35,"Address Line 1 exceeds the 35-character SAP limit. ","")&amp;IF(LEN($H207)&gt;35,"Address Line 2 exceeds the 35-character SAP limit. ","")&amp;IF(LEN($I207)&gt;35,"Address Line 3 exceeds the 35-character SAP limit. ","")&amp;IF($J207="","Enter Town. This must never be left blank, even if there is no conventional town name. ","")&amp;IF(LEN($J207)&gt;35,"Town exceeds 35 characters. ","")&amp;IF(AND($N207="IE",$K207=""),"County is required for deliveries within the Republic of Ireland. ","")&amp;IF(LEN($AB207)&gt;35,"County exceeds 35 characters. ","")&amp;IF(AND($L207="",AND($N207&lt;&gt;"AE",$N207&lt;&gt;"QA")),"Postcode is required for the selected country. If there is genuinely no postcode, enter the first 3 characters of the area (e.g. D15). ","")&amp;IF(LEN($L207)&gt;35,"Postcode exceeds 35 characters. ","")&amp;IF($AE207&lt;&gt;"",$AE207,"")&amp;IF(LEN($O207)&gt;40,"Gift Message Line 1 exceeds 40 characters. ","")&amp;IF(LEN($P207)&gt;40,"Gift Message Line 2 exceeds 40 characters. ","")&amp;IF(LEN($Q207)&gt;40,"Gift Message Line 3 exceeds 40 characters. ","")&amp;IF(LEN($R207)&gt;40,"Gift Message Line 4 exceeds 40 characters. ","")&amp;IF(LEN($S207)&gt;40,"Gift Message Line 5 exceeds 40 characters. ","")&amp;IF(LEN($T207)&gt;40,"Gift Message Line 6 exceeds 40 characters. ","")&amp;IF(LEN($U207)&gt;40,"Gift Message Line 7 exceeds 40 characters. ",""))</f>
        <v/>
      </c>
      <c r="Y207" s="44" t="str">
        <f t="shared" si="13"/>
        <v/>
      </c>
      <c r="Z207" s="44"/>
      <c r="AA207" s="44"/>
      <c r="AB207" s="32" t="str">
        <f t="shared" si="14"/>
        <v/>
      </c>
      <c r="AC207" s="32" t="str">
        <f>IF($A207="","",IFERROR(LEFT(INDEX('PRODUCT DATA'!$NO$2:$NO$25,MATCH($A207,'PRODUCT DATA'!$NP$2:$NP$25,0)),FIND("|",INDEX('PRODUCT DATA'!$NO$2:$NO$25,MATCH($A207,'PRODUCT DATA'!$NP$2:$NP$25,0)))-1),$A207))</f>
        <v/>
      </c>
      <c r="AD207" s="45"/>
      <c r="AE207" s="45" t="str">
        <f t="shared" si="15"/>
        <v/>
      </c>
    </row>
    <row r="208" spans="1:31" ht="15" customHeight="1" x14ac:dyDescent="0.25">
      <c r="A208" s="40"/>
      <c r="B208" s="43" t="str">
        <f>IF($A208="","",IFERROR(VLOOKUP($AC208,'PRODUCT DATA'!$NR$2:$NS$374,2,FALSE()),"UNKNOWN ITEM CODE - please check"))</f>
        <v/>
      </c>
      <c r="C208" s="39">
        <v>1</v>
      </c>
      <c r="D208" s="39"/>
      <c r="E208" s="40"/>
      <c r="F208" s="41"/>
      <c r="G208" s="39"/>
      <c r="H208" s="41"/>
      <c r="I208" s="41"/>
      <c r="J208" s="39"/>
      <c r="K208" s="41"/>
      <c r="L208" s="40"/>
      <c r="M208" s="40"/>
      <c r="N208" s="42" t="str">
        <f>IF($M208="","",IFERROR(INDEX('PRODUCT DATA'!$B$2:$B$58,MATCH(IF(UPPER($M208)="UK","GB",$M208),'PRODUCT DATA'!$B$2:$B$58,0)),IFERROR(INDEX('PRODUCT DATA'!$B$2:$B$58,MATCH(IF(UPPER($M208)="UK","GB",$M208),'PRODUCT DATA'!$A$2:$A$58,0)),"UNKNOWN COUNTRY - please check")))</f>
        <v/>
      </c>
      <c r="O208" s="41"/>
      <c r="P208" s="41"/>
      <c r="Q208" s="41"/>
      <c r="R208" s="41"/>
      <c r="S208" s="41"/>
      <c r="T208" s="41"/>
      <c r="U208" s="41"/>
      <c r="V208" s="43" t="str">
        <f t="shared" si="12"/>
        <v/>
      </c>
      <c r="W208" s="44" t="str">
        <f ca="1">IF(COUNTA($A208,$D208:$M208,$O208:$U208)=0,"",IF($A208="","Item Code; ","")&amp;IF(AND($A208&lt;&gt;"",ISNA(MATCH($AC208,'PRODUCT DATA'!$D$2:$D$394,0))),"Item Code; ","")&amp;IF($M208="","Country; ","")&amp;IF(AND($M208&lt;&gt;"",NOT(OR(NOT(ISNA(MATCH(IF(UPPER($M208)="UK","GB",$M208),'PRODUCT DATA'!$A$2:$A$58,0))),NOT(ISNA(MATCH(IF(UPPER($M208)="UK","GB",$M208),'PRODUCT DATA'!$B$2:$B$58,0)))))),"Country; ","")&amp;IF(AND($A208&lt;&gt;"",$M208&lt;&gt;"",NOT(ISNA(MATCH($AC208,'PRODUCT DATA'!$D$2:$D$394,0))),OR(NOT(ISNA(MATCH(IF(UPPER($M208)="UK","GB",$M208),'PRODUCT DATA'!$A$2:$A$58,0))),NOT(ISNA(MATCH(IF(UPPER($M208)="UK","GB",$M208),'PRODUCT DATA'!$B$2:$B$58,0)))),NOT(IFERROR(COUNTIF(OFFSET('PRODUCT DATA'!$F$2,0,MATCH($AC208,'PRODUCT DATA'!$F$1:$NN$1,0)-1,114,1),$N208)&gt;0,FALSE()))),IF(UPPER(IFERROR(OFFSET('PRODUCT DATA'!$C$2,MATCH($N208,'PRODUCT DATA'!$B$2:$B$58,0)-1,0),""))="NO","Alcohol Restriction; ","Item Code / Country combination; "),"")&amp;IF($C208="","Quantity; ","")&amp;IF(AND($C208&lt;&gt;"",OR(NOT(ISNUMBER($C208)),$C208&lt;1,$C208&gt;999,MOD($C208,1)&lt;&gt;0)),"Quantity; ","")&amp;IF($D208="","Recipient Name; ","")&amp;IF(LEN($D208)&gt;35,"Recipient Name; ","")&amp;IF($E208="","Recipient Phone; ","")&amp;IF(AND($E208&lt;&gt;"",OR(LEN($E208)&lt;6,LEN($E208)&gt;20,NOT(IFERROR(ISNUMBER(1*$E208),FALSE())))),"Recipient Phone; ","")&amp;IF(LEN($F208)&gt;35,"Recipient Company Name; ","")&amp;IF($G208="","Address Line 1; ","")&amp;IF(LEN($G208)&gt;35,"Address Line 1; ","")&amp;IF(LEN($H208)&gt;35,"Address Line 2; ","")&amp;IF(LEN($I208)&gt;35,"Address Line 3; ","")&amp;IF($J208="","Town; ","")&amp;IF(LEN($J208)&gt;35,"Town; ","")&amp;IF(AND($N208="IE",$K208=""),"County; ","")&amp;IF(LEN($AB208)&gt;35,"County; ","")&amp;IF(AND($L208="",AND($N208&lt;&gt;"AE",$N208&lt;&gt;"QA")),"Postcode; ","")&amp;IF(LEN($L208)&gt;35,"Postcode; ","")&amp;IF($AE208&lt;&gt;"","Postcode; ","")&amp;IF(LEN($O208)&gt;40,"Gift Message 1; ","")&amp;IF(LEN($P208)&gt;40,"Gift Message 2; ","")&amp;IF(LEN($Q208)&gt;40,"Gift Message 3; ","")&amp;IF(LEN($R208)&gt;40,"Gift Message 4; ","")&amp;IF(LEN($S208)&gt;40,"Gift Message 5; ","")&amp;IF(LEN($T208)&gt;40,"Gift Message 6; ","")&amp;IF(LEN($U208)&gt;40,"Gift Message 7; ",""))</f>
        <v/>
      </c>
      <c r="X208" s="44" t="str">
        <f ca="1">IF(COUNTA($A208,$D208:$M208,$O208:$U208)=0,"",IF($A208="","Enter the Item Code (hamper) - type it, paste it, or choose it from the dropdown. ","")&amp;IF(AND($A208&lt;&gt;"",ISNA(MATCH($AC208,'PRODUCT DATA'!$D$2:$D$394,0))),"This Item Code is not recognised. Check the code (case does not matter, but spelling and digits must match exactly) or choose it from the dropdown. ","")&amp;IF($M208="","Enter the Country after the Item Code - type or paste the name or the 2-letter code, or choose it from the dropdown. ","")&amp;IF(AND($M208&lt;&gt;"",NOT(OR(NOT(ISNA(MATCH(IF(UPPER($M208)="UK","GB",$M208),'PRODUCT DATA'!$A$2:$A$58,0))),NOT(ISNA(MATCH(IF(UPPER($M208)="UK","GB",$M208),'PRODUCT DATA'!$B$2:$B$58,0)))))),"This Country is not recognised as either a full name or a 2-letter code. Check the spelling (case does not matter) or choose it from the dropdown. ","")&amp;IF(AND($A208&lt;&gt;"",$M208&lt;&gt;"",NOT(ISNA(MATCH($AC208,'PRODUCT DATA'!$D$2:$D$394,0))),OR(NOT(ISNA(MATCH(IF(UPPER($M208)="UK","GB",$M208),'PRODUCT DATA'!$A$2:$A$58,0))),NOT(ISNA(MATCH(IF(UPPER($M208)="UK","GB",$M208),'PRODUCT DATA'!$B$2:$B$58,0)))),NOT(IFERROR(COUNTIF(OFFSET('PRODUCT DATA'!$F$2,0,MATCH($AC208,'PRODUCT DATA'!$F$1:$NN$1,0)-1,114,1),$N208)&gt;0,FALSE()))),IF(UPPER(IFERROR(OFFSET('PRODUCT DATA'!$C$2,MATCH($N208,'PRODUCT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"),"")&amp;IF($C208="","Enter Quantity. ","")&amp;IF(AND($C208&lt;&gt;"",OR(NOT(ISNUMBER($C208)),$C208&lt;1,$C208&gt;999,MOD($C208,1)&lt;&gt;0)),"Quantity must be a whole number from 1 to 999 (use a quantity above 1 only for a genuine bulk order of identical items to ONE address — otherwise use a separate row per recipient). ","")&amp;IF($D208="","Enter Recipient Name. ","")&amp;IF(LEN($D208)&gt;35,"Recipient Name exceeds 35 characters. ","")&amp;IF($E208="","Enter Recipient Phone. ","")&amp;IF(AND($E208&lt;&gt;"",OR(LEN($E208)&lt;6,LEN($E208)&gt;20,NOT(IFERROR(ISNUMBER(1*$E208),FALSE())))),"Phone must be the LOCAL number for the destination country: digits only, no +, spaces, or country code, 6 to 20 digits. ","")&amp;IF(LEN($F208)&gt;35,"Recipient Company Name exceeds 35 characters. ","")&amp;IF($G208="","Enter Address Line 1. ","")&amp;IF(LEN($G208)&gt;35,"Address Line 1 exceeds the 35-character SAP limit. ","")&amp;IF(LEN($H208)&gt;35,"Address Line 2 exceeds the 35-character SAP limit. ","")&amp;IF(LEN($I208)&gt;35,"Address Line 3 exceeds the 35-character SAP limit. ","")&amp;IF($J208="","Enter Town. This must never be left blank, even if there is no conventional town name. ","")&amp;IF(LEN($J208)&gt;35,"Town exceeds 35 characters. ","")&amp;IF(AND($N208="IE",$K208=""),"County is required for deliveries within the Republic of Ireland. ","")&amp;IF(LEN($AB208)&gt;35,"County exceeds 35 characters. ","")&amp;IF(AND($L208="",AND($N208&lt;&gt;"AE",$N208&lt;&gt;"QA")),"Postcode is required for the selected country. If there is genuinely no postcode, enter the first 3 characters of the area (e.g. D15). ","")&amp;IF(LEN($L208)&gt;35,"Postcode exceeds 35 characters. ","")&amp;IF($AE208&lt;&gt;"",$AE208,"")&amp;IF(LEN($O208)&gt;40,"Gift Message Line 1 exceeds 40 characters. ","")&amp;IF(LEN($P208)&gt;40,"Gift Message Line 2 exceeds 40 characters. ","")&amp;IF(LEN($Q208)&gt;40,"Gift Message Line 3 exceeds 40 characters. ","")&amp;IF(LEN($R208)&gt;40,"Gift Message Line 4 exceeds 40 characters. ","")&amp;IF(LEN($S208)&gt;40,"Gift Message Line 5 exceeds 40 characters. ","")&amp;IF(LEN($T208)&gt;40,"Gift Message Line 6 exceeds 40 characters. ","")&amp;IF(LEN($U208)&gt;40,"Gift Message Line 7 exceeds 40 characters. ",""))</f>
        <v/>
      </c>
      <c r="Y208" s="44" t="str">
        <f t="shared" si="13"/>
        <v/>
      </c>
      <c r="Z208" s="44"/>
      <c r="AA208" s="44"/>
      <c r="AB208" s="32" t="str">
        <f t="shared" si="14"/>
        <v/>
      </c>
      <c r="AC208" s="32" t="str">
        <f>IF($A208="","",IFERROR(LEFT(INDEX('PRODUCT DATA'!$NO$2:$NO$25,MATCH($A208,'PRODUCT DATA'!$NP$2:$NP$25,0)),FIND("|",INDEX('PRODUCT DATA'!$NO$2:$NO$25,MATCH($A208,'PRODUCT DATA'!$NP$2:$NP$25,0)))-1),$A208))</f>
        <v/>
      </c>
      <c r="AD208" s="45"/>
      <c r="AE208" s="45" t="str">
        <f t="shared" si="15"/>
        <v/>
      </c>
    </row>
    <row r="209" spans="1:31" ht="15" customHeight="1" x14ac:dyDescent="0.25">
      <c r="A209" s="40"/>
      <c r="B209" s="43" t="str">
        <f>IF($A209="","",IFERROR(VLOOKUP($AC209,'PRODUCT DATA'!$NR$2:$NS$374,2,FALSE()),"UNKNOWN ITEM CODE - please check"))</f>
        <v/>
      </c>
      <c r="C209" s="39">
        <v>1</v>
      </c>
      <c r="D209" s="39"/>
      <c r="E209" s="40"/>
      <c r="F209" s="41"/>
      <c r="G209" s="39"/>
      <c r="H209" s="41"/>
      <c r="I209" s="41"/>
      <c r="J209" s="39"/>
      <c r="K209" s="41"/>
      <c r="L209" s="40"/>
      <c r="M209" s="40"/>
      <c r="N209" s="42" t="str">
        <f>IF($M209="","",IFERROR(INDEX('PRODUCT DATA'!$B$2:$B$58,MATCH(IF(UPPER($M209)="UK","GB",$M209),'PRODUCT DATA'!$B$2:$B$58,0)),IFERROR(INDEX('PRODUCT DATA'!$B$2:$B$58,MATCH(IF(UPPER($M209)="UK","GB",$M209),'PRODUCT DATA'!$A$2:$A$58,0)),"UNKNOWN COUNTRY - please check")))</f>
        <v/>
      </c>
      <c r="O209" s="41"/>
      <c r="P209" s="41"/>
      <c r="Q209" s="41"/>
      <c r="R209" s="41"/>
      <c r="S209" s="41"/>
      <c r="T209" s="41"/>
      <c r="U209" s="41"/>
      <c r="V209" s="43" t="str">
        <f t="shared" si="12"/>
        <v/>
      </c>
      <c r="W209" s="44" t="str">
        <f ca="1">IF(COUNTA($A209,$D209:$M209,$O209:$U209)=0,"",IF($A209="","Item Code; ","")&amp;IF(AND($A209&lt;&gt;"",ISNA(MATCH($AC209,'PRODUCT DATA'!$D$2:$D$394,0))),"Item Code; ","")&amp;IF($M209="","Country; ","")&amp;IF(AND($M209&lt;&gt;"",NOT(OR(NOT(ISNA(MATCH(IF(UPPER($M209)="UK","GB",$M209),'PRODUCT DATA'!$A$2:$A$58,0))),NOT(ISNA(MATCH(IF(UPPER($M209)="UK","GB",$M209),'PRODUCT DATA'!$B$2:$B$58,0)))))),"Country; ","")&amp;IF(AND($A209&lt;&gt;"",$M209&lt;&gt;"",NOT(ISNA(MATCH($AC209,'PRODUCT DATA'!$D$2:$D$394,0))),OR(NOT(ISNA(MATCH(IF(UPPER($M209)="UK","GB",$M209),'PRODUCT DATA'!$A$2:$A$58,0))),NOT(ISNA(MATCH(IF(UPPER($M209)="UK","GB",$M209),'PRODUCT DATA'!$B$2:$B$58,0)))),NOT(IFERROR(COUNTIF(OFFSET('PRODUCT DATA'!$F$2,0,MATCH($AC209,'PRODUCT DATA'!$F$1:$NN$1,0)-1,114,1),$N209)&gt;0,FALSE()))),IF(UPPER(IFERROR(OFFSET('PRODUCT DATA'!$C$2,MATCH($N209,'PRODUCT DATA'!$B$2:$B$58,0)-1,0),""))="NO","Alcohol Restriction; ","Item Code / Country combination; "),"")&amp;IF($C209="","Quantity; ","")&amp;IF(AND($C209&lt;&gt;"",OR(NOT(ISNUMBER($C209)),$C209&lt;1,$C209&gt;999,MOD($C209,1)&lt;&gt;0)),"Quantity; ","")&amp;IF($D209="","Recipient Name; ","")&amp;IF(LEN($D209)&gt;35,"Recipient Name; ","")&amp;IF($E209="","Recipient Phone; ","")&amp;IF(AND($E209&lt;&gt;"",OR(LEN($E209)&lt;6,LEN($E209)&gt;20,NOT(IFERROR(ISNUMBER(1*$E209),FALSE())))),"Recipient Phone; ","")&amp;IF(LEN($F209)&gt;35,"Recipient Company Name; ","")&amp;IF($G209="","Address Line 1; ","")&amp;IF(LEN($G209)&gt;35,"Address Line 1; ","")&amp;IF(LEN($H209)&gt;35,"Address Line 2; ","")&amp;IF(LEN($I209)&gt;35,"Address Line 3; ","")&amp;IF($J209="","Town; ","")&amp;IF(LEN($J209)&gt;35,"Town; ","")&amp;IF(AND($N209="IE",$K209=""),"County; ","")&amp;IF(LEN($AB209)&gt;35,"County; ","")&amp;IF(AND($L209="",AND($N209&lt;&gt;"AE",$N209&lt;&gt;"QA")),"Postcode; ","")&amp;IF(LEN($L209)&gt;35,"Postcode; ","")&amp;IF($AE209&lt;&gt;"","Postcode; ","")&amp;IF(LEN($O209)&gt;40,"Gift Message 1; ","")&amp;IF(LEN($P209)&gt;40,"Gift Message 2; ","")&amp;IF(LEN($Q209)&gt;40,"Gift Message 3; ","")&amp;IF(LEN($R209)&gt;40,"Gift Message 4; ","")&amp;IF(LEN($S209)&gt;40,"Gift Message 5; ","")&amp;IF(LEN($T209)&gt;40,"Gift Message 6; ","")&amp;IF(LEN($U209)&gt;40,"Gift Message 7; ",""))</f>
        <v/>
      </c>
      <c r="X209" s="44" t="str">
        <f ca="1">IF(COUNTA($A209,$D209:$M209,$O209:$U209)=0,"",IF($A209="","Enter the Item Code (hamper) - type it, paste it, or choose it from the dropdown. ","")&amp;IF(AND($A209&lt;&gt;"",ISNA(MATCH($AC209,'PRODUCT DATA'!$D$2:$D$394,0))),"This Item Code is not recognised. Check the code (case does not matter, but spelling and digits must match exactly) or choose it from the dropdown. ","")&amp;IF($M209="","Enter the Country after the Item Code - type or paste the name or the 2-letter code, or choose it from the dropdown. ","")&amp;IF(AND($M209&lt;&gt;"",NOT(OR(NOT(ISNA(MATCH(IF(UPPER($M209)="UK","GB",$M209),'PRODUCT DATA'!$A$2:$A$58,0))),NOT(ISNA(MATCH(IF(UPPER($M209)="UK","GB",$M209),'PRODUCT DATA'!$B$2:$B$58,0)))))),"This Country is not recognised as either a full name or a 2-letter code. Check the spelling (case does not matter) or choose it from the dropdown. ","")&amp;IF(AND($A209&lt;&gt;"",$M209&lt;&gt;"",NOT(ISNA(MATCH($AC209,'PRODUCT DATA'!$D$2:$D$394,0))),OR(NOT(ISNA(MATCH(IF(UPPER($M209)="UK","GB",$M209),'PRODUCT DATA'!$A$2:$A$58,0))),NOT(ISNA(MATCH(IF(UPPER($M209)="UK","GB",$M209),'PRODUCT DATA'!$B$2:$B$58,0)))),NOT(IFERROR(COUNTIF(OFFSET('PRODUCT DATA'!$F$2,0,MATCH($AC209,'PRODUCT DATA'!$F$1:$NN$1,0)-1,114,1),$N209)&gt;0,FALSE()))),IF(UPPER(IFERROR(OFFSET('PRODUCT DATA'!$C$2,MATCH($N209,'PRODUCT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"),"")&amp;IF($C209="","Enter Quantity. ","")&amp;IF(AND($C209&lt;&gt;"",OR(NOT(ISNUMBER($C209)),$C209&lt;1,$C209&gt;999,MOD($C209,1)&lt;&gt;0)),"Quantity must be a whole number from 1 to 999 (use a quantity above 1 only for a genuine bulk order of identical items to ONE address — otherwise use a separate row per recipient). ","")&amp;IF($D209="","Enter Recipient Name. ","")&amp;IF(LEN($D209)&gt;35,"Recipient Name exceeds 35 characters. ","")&amp;IF($E209="","Enter Recipient Phone. ","")&amp;IF(AND($E209&lt;&gt;"",OR(LEN($E209)&lt;6,LEN($E209)&gt;20,NOT(IFERROR(ISNUMBER(1*$E209),FALSE())))),"Phone must be the LOCAL number for the destination country: digits only, no +, spaces, or country code, 6 to 20 digits. ","")&amp;IF(LEN($F209)&gt;35,"Recipient Company Name exceeds 35 characters. ","")&amp;IF($G209="","Enter Address Line 1. ","")&amp;IF(LEN($G209)&gt;35,"Address Line 1 exceeds the 35-character SAP limit. ","")&amp;IF(LEN($H209)&gt;35,"Address Line 2 exceeds the 35-character SAP limit. ","")&amp;IF(LEN($I209)&gt;35,"Address Line 3 exceeds the 35-character SAP limit. ","")&amp;IF($J209="","Enter Town. This must never be left blank, even if there is no conventional town name. ","")&amp;IF(LEN($J209)&gt;35,"Town exceeds 35 characters. ","")&amp;IF(AND($N209="IE",$K209=""),"County is required for deliveries within the Republic of Ireland. ","")&amp;IF(LEN($AB209)&gt;35,"County exceeds 35 characters. ","")&amp;IF(AND($L209="",AND($N209&lt;&gt;"AE",$N209&lt;&gt;"QA")),"Postcode is required for the selected country. If there is genuinely no postcode, enter the first 3 characters of the area (e.g. D15). ","")&amp;IF(LEN($L209)&gt;35,"Postcode exceeds 35 characters. ","")&amp;IF($AE209&lt;&gt;"",$AE209,"")&amp;IF(LEN($O209)&gt;40,"Gift Message Line 1 exceeds 40 characters. ","")&amp;IF(LEN($P209)&gt;40,"Gift Message Line 2 exceeds 40 characters. ","")&amp;IF(LEN($Q209)&gt;40,"Gift Message Line 3 exceeds 40 characters. ","")&amp;IF(LEN($R209)&gt;40,"Gift Message Line 4 exceeds 40 characters. ","")&amp;IF(LEN($S209)&gt;40,"Gift Message Line 5 exceeds 40 characters. ","")&amp;IF(LEN($T209)&gt;40,"Gift Message Line 6 exceeds 40 characters. ","")&amp;IF(LEN($U209)&gt;40,"Gift Message Line 7 exceeds 40 characters. ",""))</f>
        <v/>
      </c>
      <c r="Y209" s="44" t="str">
        <f t="shared" si="13"/>
        <v/>
      </c>
      <c r="Z209" s="44"/>
      <c r="AA209" s="44"/>
      <c r="AB209" s="32" t="str">
        <f t="shared" si="14"/>
        <v/>
      </c>
      <c r="AC209" s="32" t="str">
        <f>IF($A209="","",IFERROR(LEFT(INDEX('PRODUCT DATA'!$NO$2:$NO$25,MATCH($A209,'PRODUCT DATA'!$NP$2:$NP$25,0)),FIND("|",INDEX('PRODUCT DATA'!$NO$2:$NO$25,MATCH($A209,'PRODUCT DATA'!$NP$2:$NP$25,0)))-1),$A209))</f>
        <v/>
      </c>
      <c r="AD209" s="45"/>
      <c r="AE209" s="45" t="str">
        <f t="shared" si="15"/>
        <v/>
      </c>
    </row>
    <row r="210" spans="1:31" ht="15" customHeight="1" x14ac:dyDescent="0.25">
      <c r="A210" s="40"/>
      <c r="B210" s="43" t="str">
        <f>IF($A210="","",IFERROR(VLOOKUP($AC210,'PRODUCT DATA'!$NR$2:$NS$374,2,FALSE()),"UNKNOWN ITEM CODE - please check"))</f>
        <v/>
      </c>
      <c r="C210" s="39">
        <v>1</v>
      </c>
      <c r="D210" s="39"/>
      <c r="E210" s="40"/>
      <c r="F210" s="41"/>
      <c r="G210" s="39"/>
      <c r="H210" s="41"/>
      <c r="I210" s="41"/>
      <c r="J210" s="39"/>
      <c r="K210" s="41"/>
      <c r="L210" s="40"/>
      <c r="M210" s="40"/>
      <c r="N210" s="42" t="str">
        <f>IF($M210="","",IFERROR(INDEX('PRODUCT DATA'!$B$2:$B$58,MATCH(IF(UPPER($M210)="UK","GB",$M210),'PRODUCT DATA'!$B$2:$B$58,0)),IFERROR(INDEX('PRODUCT DATA'!$B$2:$B$58,MATCH(IF(UPPER($M210)="UK","GB",$M210),'PRODUCT DATA'!$A$2:$A$58,0)),"UNKNOWN COUNTRY - please check")))</f>
        <v/>
      </c>
      <c r="O210" s="41"/>
      <c r="P210" s="41"/>
      <c r="Q210" s="41"/>
      <c r="R210" s="41"/>
      <c r="S210" s="41"/>
      <c r="T210" s="41"/>
      <c r="U210" s="41"/>
      <c r="V210" s="43" t="str">
        <f t="shared" si="12"/>
        <v/>
      </c>
      <c r="W210" s="44" t="str">
        <f ca="1">IF(COUNTA($A210,$D210:$M210,$O210:$U210)=0,"",IF($A210="","Item Code; ","")&amp;IF(AND($A210&lt;&gt;"",ISNA(MATCH($AC210,'PRODUCT DATA'!$D$2:$D$394,0))),"Item Code; ","")&amp;IF($M210="","Country; ","")&amp;IF(AND($M210&lt;&gt;"",NOT(OR(NOT(ISNA(MATCH(IF(UPPER($M210)="UK","GB",$M210),'PRODUCT DATA'!$A$2:$A$58,0))),NOT(ISNA(MATCH(IF(UPPER($M210)="UK","GB",$M210),'PRODUCT DATA'!$B$2:$B$58,0)))))),"Country; ","")&amp;IF(AND($A210&lt;&gt;"",$M210&lt;&gt;"",NOT(ISNA(MATCH($AC210,'PRODUCT DATA'!$D$2:$D$394,0))),OR(NOT(ISNA(MATCH(IF(UPPER($M210)="UK","GB",$M210),'PRODUCT DATA'!$A$2:$A$58,0))),NOT(ISNA(MATCH(IF(UPPER($M210)="UK","GB",$M210),'PRODUCT DATA'!$B$2:$B$58,0)))),NOT(IFERROR(COUNTIF(OFFSET('PRODUCT DATA'!$F$2,0,MATCH($AC210,'PRODUCT DATA'!$F$1:$NN$1,0)-1,114,1),$N210)&gt;0,FALSE()))),IF(UPPER(IFERROR(OFFSET('PRODUCT DATA'!$C$2,MATCH($N210,'PRODUCT DATA'!$B$2:$B$58,0)-1,0),""))="NO","Alcohol Restriction; ","Item Code / Country combination; "),"")&amp;IF($C210="","Quantity; ","")&amp;IF(AND($C210&lt;&gt;"",OR(NOT(ISNUMBER($C210)),$C210&lt;1,$C210&gt;999,MOD($C210,1)&lt;&gt;0)),"Quantity; ","")&amp;IF($D210="","Recipient Name; ","")&amp;IF(LEN($D210)&gt;35,"Recipient Name; ","")&amp;IF($E210="","Recipient Phone; ","")&amp;IF(AND($E210&lt;&gt;"",OR(LEN($E210)&lt;6,LEN($E210)&gt;20,NOT(IFERROR(ISNUMBER(1*$E210),FALSE())))),"Recipient Phone; ","")&amp;IF(LEN($F210)&gt;35,"Recipient Company Name; ","")&amp;IF($G210="","Address Line 1; ","")&amp;IF(LEN($G210)&gt;35,"Address Line 1; ","")&amp;IF(LEN($H210)&gt;35,"Address Line 2; ","")&amp;IF(LEN($I210)&gt;35,"Address Line 3; ","")&amp;IF($J210="","Town; ","")&amp;IF(LEN($J210)&gt;35,"Town; ","")&amp;IF(AND($N210="IE",$K210=""),"County; ","")&amp;IF(LEN($AB210)&gt;35,"County; ","")&amp;IF(AND($L210="",AND($N210&lt;&gt;"AE",$N210&lt;&gt;"QA")),"Postcode; ","")&amp;IF(LEN($L210)&gt;35,"Postcode; ","")&amp;IF($AE210&lt;&gt;"","Postcode; ","")&amp;IF(LEN($O210)&gt;40,"Gift Message 1; ","")&amp;IF(LEN($P210)&gt;40,"Gift Message 2; ","")&amp;IF(LEN($Q210)&gt;40,"Gift Message 3; ","")&amp;IF(LEN($R210)&gt;40,"Gift Message 4; ","")&amp;IF(LEN($S210)&gt;40,"Gift Message 5; ","")&amp;IF(LEN($T210)&gt;40,"Gift Message 6; ","")&amp;IF(LEN($U210)&gt;40,"Gift Message 7; ",""))</f>
        <v/>
      </c>
      <c r="X210" s="44" t="str">
        <f ca="1">IF(COUNTA($A210,$D210:$M210,$O210:$U210)=0,"",IF($A210="","Enter the Item Code (hamper) - type it, paste it, or choose it from the dropdown. ","")&amp;IF(AND($A210&lt;&gt;"",ISNA(MATCH($AC210,'PRODUCT DATA'!$D$2:$D$394,0))),"This Item Code is not recognised. Check the code (case does not matter, but spelling and digits must match exactly) or choose it from the dropdown. ","")&amp;IF($M210="","Enter the Country after the Item Code - type or paste the name or the 2-letter code, or choose it from the dropdown. ","")&amp;IF(AND($M210&lt;&gt;"",NOT(OR(NOT(ISNA(MATCH(IF(UPPER($M210)="UK","GB",$M210),'PRODUCT DATA'!$A$2:$A$58,0))),NOT(ISNA(MATCH(IF(UPPER($M210)="UK","GB",$M210),'PRODUCT DATA'!$B$2:$B$58,0)))))),"This Country is not recognised as either a full name or a 2-letter code. Check the spelling (case does not matter) or choose it from the dropdown. ","")&amp;IF(AND($A210&lt;&gt;"",$M210&lt;&gt;"",NOT(ISNA(MATCH($AC210,'PRODUCT DATA'!$D$2:$D$394,0))),OR(NOT(ISNA(MATCH(IF(UPPER($M210)="UK","GB",$M210),'PRODUCT DATA'!$A$2:$A$58,0))),NOT(ISNA(MATCH(IF(UPPER($M210)="UK","GB",$M210),'PRODUCT DATA'!$B$2:$B$58,0)))),NOT(IFERROR(COUNTIF(OFFSET('PRODUCT DATA'!$F$2,0,MATCH($AC210,'PRODUCT DATA'!$F$1:$NN$1,0)-1,114,1),$N210)&gt;0,FALSE()))),IF(UPPER(IFERROR(OFFSET('PRODUCT DATA'!$C$2,MATCH($N210,'PRODUCT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"),"")&amp;IF($C210="","Enter Quantity. ","")&amp;IF(AND($C210&lt;&gt;"",OR(NOT(ISNUMBER($C210)),$C210&lt;1,$C210&gt;999,MOD($C210,1)&lt;&gt;0)),"Quantity must be a whole number from 1 to 999 (use a quantity above 1 only for a genuine bulk order of identical items to ONE address — otherwise use a separate row per recipient). ","")&amp;IF($D210="","Enter Recipient Name. ","")&amp;IF(LEN($D210)&gt;35,"Recipient Name exceeds 35 characters. ","")&amp;IF($E210="","Enter Recipient Phone. ","")&amp;IF(AND($E210&lt;&gt;"",OR(LEN($E210)&lt;6,LEN($E210)&gt;20,NOT(IFERROR(ISNUMBER(1*$E210),FALSE())))),"Phone must be the LOCAL number for the destination country: digits only, no +, spaces, or country code, 6 to 20 digits. ","")&amp;IF(LEN($F210)&gt;35,"Recipient Company Name exceeds 35 characters. ","")&amp;IF($G210="","Enter Address Line 1. ","")&amp;IF(LEN($G210)&gt;35,"Address Line 1 exceeds the 35-character SAP limit. ","")&amp;IF(LEN($H210)&gt;35,"Address Line 2 exceeds the 35-character SAP limit. ","")&amp;IF(LEN($I210)&gt;35,"Address Line 3 exceeds the 35-character SAP limit. ","")&amp;IF($J210="","Enter Town. This must never be left blank, even if there is no conventional town name. ","")&amp;IF(LEN($J210)&gt;35,"Town exceeds 35 characters. ","")&amp;IF(AND($N210="IE",$K210=""),"County is required for deliveries within the Republic of Ireland. ","")&amp;IF(LEN($AB210)&gt;35,"County exceeds 35 characters. ","")&amp;IF(AND($L210="",AND($N210&lt;&gt;"AE",$N210&lt;&gt;"QA")),"Postcode is required for the selected country. If there is genuinely no postcode, enter the first 3 characters of the area (e.g. D15). ","")&amp;IF(LEN($L210)&gt;35,"Postcode exceeds 35 characters. ","")&amp;IF($AE210&lt;&gt;"",$AE210,"")&amp;IF(LEN($O210)&gt;40,"Gift Message Line 1 exceeds 40 characters. ","")&amp;IF(LEN($P210)&gt;40,"Gift Message Line 2 exceeds 40 characters. ","")&amp;IF(LEN($Q210)&gt;40,"Gift Message Line 3 exceeds 40 characters. ","")&amp;IF(LEN($R210)&gt;40,"Gift Message Line 4 exceeds 40 characters. ","")&amp;IF(LEN($S210)&gt;40,"Gift Message Line 5 exceeds 40 characters. ","")&amp;IF(LEN($T210)&gt;40,"Gift Message Line 6 exceeds 40 characters. ","")&amp;IF(LEN($U210)&gt;40,"Gift Message Line 7 exceeds 40 characters. ",""))</f>
        <v/>
      </c>
      <c r="Y210" s="44" t="str">
        <f t="shared" si="13"/>
        <v/>
      </c>
      <c r="Z210" s="44"/>
      <c r="AA210" s="44"/>
      <c r="AB210" s="32" t="str">
        <f t="shared" si="14"/>
        <v/>
      </c>
      <c r="AC210" s="32" t="str">
        <f>IF($A210="","",IFERROR(LEFT(INDEX('PRODUCT DATA'!$NO$2:$NO$25,MATCH($A210,'PRODUCT DATA'!$NP$2:$NP$25,0)),FIND("|",INDEX('PRODUCT DATA'!$NO$2:$NO$25,MATCH($A210,'PRODUCT DATA'!$NP$2:$NP$25,0)))-1),$A210))</f>
        <v/>
      </c>
      <c r="AD210" s="45"/>
      <c r="AE210" s="45" t="str">
        <f t="shared" si="15"/>
        <v/>
      </c>
    </row>
    <row r="211" spans="1:31" ht="15" customHeight="1" x14ac:dyDescent="0.25">
      <c r="A211" s="40"/>
      <c r="B211" s="43" t="str">
        <f>IF($A211="","",IFERROR(VLOOKUP($AC211,'PRODUCT DATA'!$NR$2:$NS$374,2,FALSE()),"UNKNOWN ITEM CODE - please check"))</f>
        <v/>
      </c>
      <c r="C211" s="39">
        <v>1</v>
      </c>
      <c r="D211" s="39"/>
      <c r="E211" s="40"/>
      <c r="F211" s="41"/>
      <c r="G211" s="39"/>
      <c r="H211" s="41"/>
      <c r="I211" s="41"/>
      <c r="J211" s="39"/>
      <c r="K211" s="41"/>
      <c r="L211" s="40"/>
      <c r="M211" s="40"/>
      <c r="N211" s="42" t="str">
        <f>IF($M211="","",IFERROR(INDEX('PRODUCT DATA'!$B$2:$B$58,MATCH(IF(UPPER($M211)="UK","GB",$M211),'PRODUCT DATA'!$B$2:$B$58,0)),IFERROR(INDEX('PRODUCT DATA'!$B$2:$B$58,MATCH(IF(UPPER($M211)="UK","GB",$M211),'PRODUCT DATA'!$A$2:$A$58,0)),"UNKNOWN COUNTRY - please check")))</f>
        <v/>
      </c>
      <c r="O211" s="41"/>
      <c r="P211" s="41"/>
      <c r="Q211" s="41"/>
      <c r="R211" s="41"/>
      <c r="S211" s="41"/>
      <c r="T211" s="41"/>
      <c r="U211" s="41"/>
      <c r="V211" s="43" t="str">
        <f t="shared" si="12"/>
        <v/>
      </c>
      <c r="W211" s="44" t="str">
        <f ca="1">IF(COUNTA($A211,$D211:$M211,$O211:$U211)=0,"",IF($A211="","Item Code; ","")&amp;IF(AND($A211&lt;&gt;"",ISNA(MATCH($AC211,'PRODUCT DATA'!$D$2:$D$394,0))),"Item Code; ","")&amp;IF($M211="","Country; ","")&amp;IF(AND($M211&lt;&gt;"",NOT(OR(NOT(ISNA(MATCH(IF(UPPER($M211)="UK","GB",$M211),'PRODUCT DATA'!$A$2:$A$58,0))),NOT(ISNA(MATCH(IF(UPPER($M211)="UK","GB",$M211),'PRODUCT DATA'!$B$2:$B$58,0)))))),"Country; ","")&amp;IF(AND($A211&lt;&gt;"",$M211&lt;&gt;"",NOT(ISNA(MATCH($AC211,'PRODUCT DATA'!$D$2:$D$394,0))),OR(NOT(ISNA(MATCH(IF(UPPER($M211)="UK","GB",$M211),'PRODUCT DATA'!$A$2:$A$58,0))),NOT(ISNA(MATCH(IF(UPPER($M211)="UK","GB",$M211),'PRODUCT DATA'!$B$2:$B$58,0)))),NOT(IFERROR(COUNTIF(OFFSET('PRODUCT DATA'!$F$2,0,MATCH($AC211,'PRODUCT DATA'!$F$1:$NN$1,0)-1,114,1),$N211)&gt;0,FALSE()))),IF(UPPER(IFERROR(OFFSET('PRODUCT DATA'!$C$2,MATCH($N211,'PRODUCT DATA'!$B$2:$B$58,0)-1,0),""))="NO","Alcohol Restriction; ","Item Code / Country combination; "),"")&amp;IF($C211="","Quantity; ","")&amp;IF(AND($C211&lt;&gt;"",OR(NOT(ISNUMBER($C211)),$C211&lt;1,$C211&gt;999,MOD($C211,1)&lt;&gt;0)),"Quantity; ","")&amp;IF($D211="","Recipient Name; ","")&amp;IF(LEN($D211)&gt;35,"Recipient Name; ","")&amp;IF($E211="","Recipient Phone; ","")&amp;IF(AND($E211&lt;&gt;"",OR(LEN($E211)&lt;6,LEN($E211)&gt;20,NOT(IFERROR(ISNUMBER(1*$E211),FALSE())))),"Recipient Phone; ","")&amp;IF(LEN($F211)&gt;35,"Recipient Company Name; ","")&amp;IF($G211="","Address Line 1; ","")&amp;IF(LEN($G211)&gt;35,"Address Line 1; ","")&amp;IF(LEN($H211)&gt;35,"Address Line 2; ","")&amp;IF(LEN($I211)&gt;35,"Address Line 3; ","")&amp;IF($J211="","Town; ","")&amp;IF(LEN($J211)&gt;35,"Town; ","")&amp;IF(AND($N211="IE",$K211=""),"County; ","")&amp;IF(LEN($AB211)&gt;35,"County; ","")&amp;IF(AND($L211="",AND($N211&lt;&gt;"AE",$N211&lt;&gt;"QA")),"Postcode; ","")&amp;IF(LEN($L211)&gt;35,"Postcode; ","")&amp;IF($AE211&lt;&gt;"","Postcode; ","")&amp;IF(LEN($O211)&gt;40,"Gift Message 1; ","")&amp;IF(LEN($P211)&gt;40,"Gift Message 2; ","")&amp;IF(LEN($Q211)&gt;40,"Gift Message 3; ","")&amp;IF(LEN($R211)&gt;40,"Gift Message 4; ","")&amp;IF(LEN($S211)&gt;40,"Gift Message 5; ","")&amp;IF(LEN($T211)&gt;40,"Gift Message 6; ","")&amp;IF(LEN($U211)&gt;40,"Gift Message 7; ",""))</f>
        <v/>
      </c>
      <c r="X211" s="44" t="str">
        <f ca="1">IF(COUNTA($A211,$D211:$M211,$O211:$U211)=0,"",IF($A211="","Enter the Item Code (hamper) - type it, paste it, or choose it from the dropdown. ","")&amp;IF(AND($A211&lt;&gt;"",ISNA(MATCH($AC211,'PRODUCT DATA'!$D$2:$D$394,0))),"This Item Code is not recognised. Check the code (case does not matter, but spelling and digits must match exactly) or choose it from the dropdown. ","")&amp;IF($M211="","Enter the Country after the Item Code - type or paste the name or the 2-letter code, or choose it from the dropdown. ","")&amp;IF(AND($M211&lt;&gt;"",NOT(OR(NOT(ISNA(MATCH(IF(UPPER($M211)="UK","GB",$M211),'PRODUCT DATA'!$A$2:$A$58,0))),NOT(ISNA(MATCH(IF(UPPER($M211)="UK","GB",$M211),'PRODUCT DATA'!$B$2:$B$58,0)))))),"This Country is not recognised as either a full name or a 2-letter code. Check the spelling (case does not matter) or choose it from the dropdown. ","")&amp;IF(AND($A211&lt;&gt;"",$M211&lt;&gt;"",NOT(ISNA(MATCH($AC211,'PRODUCT DATA'!$D$2:$D$394,0))),OR(NOT(ISNA(MATCH(IF(UPPER($M211)="UK","GB",$M211),'PRODUCT DATA'!$A$2:$A$58,0))),NOT(ISNA(MATCH(IF(UPPER($M211)="UK","GB",$M211),'PRODUCT DATA'!$B$2:$B$58,0)))),NOT(IFERROR(COUNTIF(OFFSET('PRODUCT DATA'!$F$2,0,MATCH($AC211,'PRODUCT DATA'!$F$1:$NN$1,0)-1,114,1),$N211)&gt;0,FALSE()))),IF(UPPER(IFERROR(OFFSET('PRODUCT DATA'!$C$2,MATCH($N211,'PRODUCT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"),"")&amp;IF($C211="","Enter Quantity. ","")&amp;IF(AND($C211&lt;&gt;"",OR(NOT(ISNUMBER($C211)),$C211&lt;1,$C211&gt;999,MOD($C211,1)&lt;&gt;0)),"Quantity must be a whole number from 1 to 999 (use a quantity above 1 only for a genuine bulk order of identical items to ONE address — otherwise use a separate row per recipient). ","")&amp;IF($D211="","Enter Recipient Name. ","")&amp;IF(LEN($D211)&gt;35,"Recipient Name exceeds 35 characters. ","")&amp;IF($E211="","Enter Recipient Phone. ","")&amp;IF(AND($E211&lt;&gt;"",OR(LEN($E211)&lt;6,LEN($E211)&gt;20,NOT(IFERROR(ISNUMBER(1*$E211),FALSE())))),"Phone must be the LOCAL number for the destination country: digits only, no +, spaces, or country code, 6 to 20 digits. ","")&amp;IF(LEN($F211)&gt;35,"Recipient Company Name exceeds 35 characters. ","")&amp;IF($G211="","Enter Address Line 1. ","")&amp;IF(LEN($G211)&gt;35,"Address Line 1 exceeds the 35-character SAP limit. ","")&amp;IF(LEN($H211)&gt;35,"Address Line 2 exceeds the 35-character SAP limit. ","")&amp;IF(LEN($I211)&gt;35,"Address Line 3 exceeds the 35-character SAP limit. ","")&amp;IF($J211="","Enter Town. This must never be left blank, even if there is no conventional town name. ","")&amp;IF(LEN($J211)&gt;35,"Town exceeds 35 characters. ","")&amp;IF(AND($N211="IE",$K211=""),"County is required for deliveries within the Republic of Ireland. ","")&amp;IF(LEN($AB211)&gt;35,"County exceeds 35 characters. ","")&amp;IF(AND($L211="",AND($N211&lt;&gt;"AE",$N211&lt;&gt;"QA")),"Postcode is required for the selected country. If there is genuinely no postcode, enter the first 3 characters of the area (e.g. D15). ","")&amp;IF(LEN($L211)&gt;35,"Postcode exceeds 35 characters. ","")&amp;IF($AE211&lt;&gt;"",$AE211,"")&amp;IF(LEN($O211)&gt;40,"Gift Message Line 1 exceeds 40 characters. ","")&amp;IF(LEN($P211)&gt;40,"Gift Message Line 2 exceeds 40 characters. ","")&amp;IF(LEN($Q211)&gt;40,"Gift Message Line 3 exceeds 40 characters. ","")&amp;IF(LEN($R211)&gt;40,"Gift Message Line 4 exceeds 40 characters. ","")&amp;IF(LEN($S211)&gt;40,"Gift Message Line 5 exceeds 40 characters. ","")&amp;IF(LEN($T211)&gt;40,"Gift Message Line 6 exceeds 40 characters. ","")&amp;IF(LEN($U211)&gt;40,"Gift Message Line 7 exceeds 40 characters. ",""))</f>
        <v/>
      </c>
      <c r="Y211" s="44" t="str">
        <f t="shared" si="13"/>
        <v/>
      </c>
      <c r="Z211" s="44"/>
      <c r="AA211" s="44"/>
      <c r="AB211" s="32" t="str">
        <f t="shared" si="14"/>
        <v/>
      </c>
      <c r="AC211" s="32" t="str">
        <f>IF($A211="","",IFERROR(LEFT(INDEX('PRODUCT DATA'!$NO$2:$NO$25,MATCH($A211,'PRODUCT DATA'!$NP$2:$NP$25,0)),FIND("|",INDEX('PRODUCT DATA'!$NO$2:$NO$25,MATCH($A211,'PRODUCT DATA'!$NP$2:$NP$25,0)))-1),$A211))</f>
        <v/>
      </c>
      <c r="AD211" s="45"/>
      <c r="AE211" s="45" t="str">
        <f t="shared" si="15"/>
        <v/>
      </c>
    </row>
    <row r="212" spans="1:31" ht="15" customHeight="1" x14ac:dyDescent="0.25">
      <c r="A212" s="40"/>
      <c r="B212" s="43" t="str">
        <f>IF($A212="","",IFERROR(VLOOKUP($AC212,'PRODUCT DATA'!$NR$2:$NS$374,2,FALSE()),"UNKNOWN ITEM CODE - please check"))</f>
        <v/>
      </c>
      <c r="C212" s="39">
        <v>1</v>
      </c>
      <c r="D212" s="39"/>
      <c r="E212" s="40"/>
      <c r="F212" s="41"/>
      <c r="G212" s="39"/>
      <c r="H212" s="41"/>
      <c r="I212" s="41"/>
      <c r="J212" s="39"/>
      <c r="K212" s="41"/>
      <c r="L212" s="40"/>
      <c r="M212" s="40"/>
      <c r="N212" s="42" t="str">
        <f>IF($M212="","",IFERROR(INDEX('PRODUCT DATA'!$B$2:$B$58,MATCH(IF(UPPER($M212)="UK","GB",$M212),'PRODUCT DATA'!$B$2:$B$58,0)),IFERROR(INDEX('PRODUCT DATA'!$B$2:$B$58,MATCH(IF(UPPER($M212)="UK","GB",$M212),'PRODUCT DATA'!$A$2:$A$58,0)),"UNKNOWN COUNTRY - please check")))</f>
        <v/>
      </c>
      <c r="O212" s="41"/>
      <c r="P212" s="41"/>
      <c r="Q212" s="41"/>
      <c r="R212" s="41"/>
      <c r="S212" s="41"/>
      <c r="T212" s="41"/>
      <c r="U212" s="41"/>
      <c r="V212" s="43" t="str">
        <f t="shared" si="12"/>
        <v/>
      </c>
      <c r="W212" s="44" t="str">
        <f ca="1">IF(COUNTA($A212,$D212:$M212,$O212:$U212)=0,"",IF($A212="","Item Code; ","")&amp;IF(AND($A212&lt;&gt;"",ISNA(MATCH($AC212,'PRODUCT DATA'!$D$2:$D$394,0))),"Item Code; ","")&amp;IF($M212="","Country; ","")&amp;IF(AND($M212&lt;&gt;"",NOT(OR(NOT(ISNA(MATCH(IF(UPPER($M212)="UK","GB",$M212),'PRODUCT DATA'!$A$2:$A$58,0))),NOT(ISNA(MATCH(IF(UPPER($M212)="UK","GB",$M212),'PRODUCT DATA'!$B$2:$B$58,0)))))),"Country; ","")&amp;IF(AND($A212&lt;&gt;"",$M212&lt;&gt;"",NOT(ISNA(MATCH($AC212,'PRODUCT DATA'!$D$2:$D$394,0))),OR(NOT(ISNA(MATCH(IF(UPPER($M212)="UK","GB",$M212),'PRODUCT DATA'!$A$2:$A$58,0))),NOT(ISNA(MATCH(IF(UPPER($M212)="UK","GB",$M212),'PRODUCT DATA'!$B$2:$B$58,0)))),NOT(IFERROR(COUNTIF(OFFSET('PRODUCT DATA'!$F$2,0,MATCH($AC212,'PRODUCT DATA'!$F$1:$NN$1,0)-1,114,1),$N212)&gt;0,FALSE()))),IF(UPPER(IFERROR(OFFSET('PRODUCT DATA'!$C$2,MATCH($N212,'PRODUCT DATA'!$B$2:$B$58,0)-1,0),""))="NO","Alcohol Restriction; ","Item Code / Country combination; "),"")&amp;IF($C212="","Quantity; ","")&amp;IF(AND($C212&lt;&gt;"",OR(NOT(ISNUMBER($C212)),$C212&lt;1,$C212&gt;999,MOD($C212,1)&lt;&gt;0)),"Quantity; ","")&amp;IF($D212="","Recipient Name; ","")&amp;IF(LEN($D212)&gt;35,"Recipient Name; ","")&amp;IF($E212="","Recipient Phone; ","")&amp;IF(AND($E212&lt;&gt;"",OR(LEN($E212)&lt;6,LEN($E212)&gt;20,NOT(IFERROR(ISNUMBER(1*$E212),FALSE())))),"Recipient Phone; ","")&amp;IF(LEN($F212)&gt;35,"Recipient Company Name; ","")&amp;IF($G212="","Address Line 1; ","")&amp;IF(LEN($G212)&gt;35,"Address Line 1; ","")&amp;IF(LEN($H212)&gt;35,"Address Line 2; ","")&amp;IF(LEN($I212)&gt;35,"Address Line 3; ","")&amp;IF($J212="","Town; ","")&amp;IF(LEN($J212)&gt;35,"Town; ","")&amp;IF(AND($N212="IE",$K212=""),"County; ","")&amp;IF(LEN($AB212)&gt;35,"County; ","")&amp;IF(AND($L212="",AND($N212&lt;&gt;"AE",$N212&lt;&gt;"QA")),"Postcode; ","")&amp;IF(LEN($L212)&gt;35,"Postcode; ","")&amp;IF($AE212&lt;&gt;"","Postcode; ","")&amp;IF(LEN($O212)&gt;40,"Gift Message 1; ","")&amp;IF(LEN($P212)&gt;40,"Gift Message 2; ","")&amp;IF(LEN($Q212)&gt;40,"Gift Message 3; ","")&amp;IF(LEN($R212)&gt;40,"Gift Message 4; ","")&amp;IF(LEN($S212)&gt;40,"Gift Message 5; ","")&amp;IF(LEN($T212)&gt;40,"Gift Message 6; ","")&amp;IF(LEN($U212)&gt;40,"Gift Message 7; ",""))</f>
        <v/>
      </c>
      <c r="X212" s="44" t="str">
        <f ca="1">IF(COUNTA($A212,$D212:$M212,$O212:$U212)=0,"",IF($A212="","Enter the Item Code (hamper) - type it, paste it, or choose it from the dropdown. ","")&amp;IF(AND($A212&lt;&gt;"",ISNA(MATCH($AC212,'PRODUCT DATA'!$D$2:$D$394,0))),"This Item Code is not recognised. Check the code (case does not matter, but spelling and digits must match exactly) or choose it from the dropdown. ","")&amp;IF($M212="","Enter the Country after the Item Code - type or paste the name or the 2-letter code, or choose it from the dropdown. ","")&amp;IF(AND($M212&lt;&gt;"",NOT(OR(NOT(ISNA(MATCH(IF(UPPER($M212)="UK","GB",$M212),'PRODUCT DATA'!$A$2:$A$58,0))),NOT(ISNA(MATCH(IF(UPPER($M212)="UK","GB",$M212),'PRODUCT DATA'!$B$2:$B$58,0)))))),"This Country is not recognised as either a full name or a 2-letter code. Check the spelling (case does not matter) or choose it from the dropdown. ","")&amp;IF(AND($A212&lt;&gt;"",$M212&lt;&gt;"",NOT(ISNA(MATCH($AC212,'PRODUCT DATA'!$D$2:$D$394,0))),OR(NOT(ISNA(MATCH(IF(UPPER($M212)="UK","GB",$M212),'PRODUCT DATA'!$A$2:$A$58,0))),NOT(ISNA(MATCH(IF(UPPER($M212)="UK","GB",$M212),'PRODUCT DATA'!$B$2:$B$58,0)))),NOT(IFERROR(COUNTIF(OFFSET('PRODUCT DATA'!$F$2,0,MATCH($AC212,'PRODUCT DATA'!$F$1:$NN$1,0)-1,114,1),$N212)&gt;0,FALSE()))),IF(UPPER(IFERROR(OFFSET('PRODUCT DATA'!$C$2,MATCH($N212,'PRODUCT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"),"")&amp;IF($C212="","Enter Quantity. ","")&amp;IF(AND($C212&lt;&gt;"",OR(NOT(ISNUMBER($C212)),$C212&lt;1,$C212&gt;999,MOD($C212,1)&lt;&gt;0)),"Quantity must be a whole number from 1 to 999 (use a quantity above 1 only for a genuine bulk order of identical items to ONE address — otherwise use a separate row per recipient). ","")&amp;IF($D212="","Enter Recipient Name. ","")&amp;IF(LEN($D212)&gt;35,"Recipient Name exceeds 35 characters. ","")&amp;IF($E212="","Enter Recipient Phone. ","")&amp;IF(AND($E212&lt;&gt;"",OR(LEN($E212)&lt;6,LEN($E212)&gt;20,NOT(IFERROR(ISNUMBER(1*$E212),FALSE())))),"Phone must be the LOCAL number for the destination country: digits only, no +, spaces, or country code, 6 to 20 digits. ","")&amp;IF(LEN($F212)&gt;35,"Recipient Company Name exceeds 35 characters. ","")&amp;IF($G212="","Enter Address Line 1. ","")&amp;IF(LEN($G212)&gt;35,"Address Line 1 exceeds the 35-character SAP limit. ","")&amp;IF(LEN($H212)&gt;35,"Address Line 2 exceeds the 35-character SAP limit. ","")&amp;IF(LEN($I212)&gt;35,"Address Line 3 exceeds the 35-character SAP limit. ","")&amp;IF($J212="","Enter Town. This must never be left blank, even if there is no conventional town name. ","")&amp;IF(LEN($J212)&gt;35,"Town exceeds 35 characters. ","")&amp;IF(AND($N212="IE",$K212=""),"County is required for deliveries within the Republic of Ireland. ","")&amp;IF(LEN($AB212)&gt;35,"County exceeds 35 characters. ","")&amp;IF(AND($L212="",AND($N212&lt;&gt;"AE",$N212&lt;&gt;"QA")),"Postcode is required for the selected country. If there is genuinely no postcode, enter the first 3 characters of the area (e.g. D15). ","")&amp;IF(LEN($L212)&gt;35,"Postcode exceeds 35 characters. ","")&amp;IF($AE212&lt;&gt;"",$AE212,"")&amp;IF(LEN($O212)&gt;40,"Gift Message Line 1 exceeds 40 characters. ","")&amp;IF(LEN($P212)&gt;40,"Gift Message Line 2 exceeds 40 characters. ","")&amp;IF(LEN($Q212)&gt;40,"Gift Message Line 3 exceeds 40 characters. ","")&amp;IF(LEN($R212)&gt;40,"Gift Message Line 4 exceeds 40 characters. ","")&amp;IF(LEN($S212)&gt;40,"Gift Message Line 5 exceeds 40 characters. ","")&amp;IF(LEN($T212)&gt;40,"Gift Message Line 6 exceeds 40 characters. ","")&amp;IF(LEN($U212)&gt;40,"Gift Message Line 7 exceeds 40 characters. ",""))</f>
        <v/>
      </c>
      <c r="Y212" s="44" t="str">
        <f t="shared" si="13"/>
        <v/>
      </c>
      <c r="Z212" s="44"/>
      <c r="AA212" s="44"/>
      <c r="AB212" s="32" t="str">
        <f t="shared" si="14"/>
        <v/>
      </c>
      <c r="AC212" s="32" t="str">
        <f>IF($A212="","",IFERROR(LEFT(INDEX('PRODUCT DATA'!$NO$2:$NO$25,MATCH($A212,'PRODUCT DATA'!$NP$2:$NP$25,0)),FIND("|",INDEX('PRODUCT DATA'!$NO$2:$NO$25,MATCH($A212,'PRODUCT DATA'!$NP$2:$NP$25,0)))-1),$A212))</f>
        <v/>
      </c>
      <c r="AD212" s="45"/>
      <c r="AE212" s="45" t="str">
        <f t="shared" si="15"/>
        <v/>
      </c>
    </row>
    <row r="213" spans="1:31" ht="15" customHeight="1" x14ac:dyDescent="0.25">
      <c r="A213" s="40"/>
      <c r="B213" s="43" t="str">
        <f>IF($A213="","",IFERROR(VLOOKUP($AC213,'PRODUCT DATA'!$NR$2:$NS$374,2,FALSE()),"UNKNOWN ITEM CODE - please check"))</f>
        <v/>
      </c>
      <c r="C213" s="39">
        <v>1</v>
      </c>
      <c r="D213" s="39"/>
      <c r="E213" s="40"/>
      <c r="F213" s="41"/>
      <c r="G213" s="39"/>
      <c r="H213" s="41"/>
      <c r="I213" s="41"/>
      <c r="J213" s="39"/>
      <c r="K213" s="41"/>
      <c r="L213" s="40"/>
      <c r="M213" s="40"/>
      <c r="N213" s="42" t="str">
        <f>IF($M213="","",IFERROR(INDEX('PRODUCT DATA'!$B$2:$B$58,MATCH(IF(UPPER($M213)="UK","GB",$M213),'PRODUCT DATA'!$B$2:$B$58,0)),IFERROR(INDEX('PRODUCT DATA'!$B$2:$B$58,MATCH(IF(UPPER($M213)="UK","GB",$M213),'PRODUCT DATA'!$A$2:$A$58,0)),"UNKNOWN COUNTRY - please check")))</f>
        <v/>
      </c>
      <c r="O213" s="41"/>
      <c r="P213" s="41"/>
      <c r="Q213" s="41"/>
      <c r="R213" s="41"/>
      <c r="S213" s="41"/>
      <c r="T213" s="41"/>
      <c r="U213" s="41"/>
      <c r="V213" s="43" t="str">
        <f t="shared" si="12"/>
        <v/>
      </c>
      <c r="W213" s="44" t="str">
        <f ca="1">IF(COUNTA($A213,$D213:$M213,$O213:$U213)=0,"",IF($A213="","Item Code; ","")&amp;IF(AND($A213&lt;&gt;"",ISNA(MATCH($AC213,'PRODUCT DATA'!$D$2:$D$394,0))),"Item Code; ","")&amp;IF($M213="","Country; ","")&amp;IF(AND($M213&lt;&gt;"",NOT(OR(NOT(ISNA(MATCH(IF(UPPER($M213)="UK","GB",$M213),'PRODUCT DATA'!$A$2:$A$58,0))),NOT(ISNA(MATCH(IF(UPPER($M213)="UK","GB",$M213),'PRODUCT DATA'!$B$2:$B$58,0)))))),"Country; ","")&amp;IF(AND($A213&lt;&gt;"",$M213&lt;&gt;"",NOT(ISNA(MATCH($AC213,'PRODUCT DATA'!$D$2:$D$394,0))),OR(NOT(ISNA(MATCH(IF(UPPER($M213)="UK","GB",$M213),'PRODUCT DATA'!$A$2:$A$58,0))),NOT(ISNA(MATCH(IF(UPPER($M213)="UK","GB",$M213),'PRODUCT DATA'!$B$2:$B$58,0)))),NOT(IFERROR(COUNTIF(OFFSET('PRODUCT DATA'!$F$2,0,MATCH($AC213,'PRODUCT DATA'!$F$1:$NN$1,0)-1,114,1),$N213)&gt;0,FALSE()))),IF(UPPER(IFERROR(OFFSET('PRODUCT DATA'!$C$2,MATCH($N213,'PRODUCT DATA'!$B$2:$B$58,0)-1,0),""))="NO","Alcohol Restriction; ","Item Code / Country combination; "),"")&amp;IF($C213="","Quantity; ","")&amp;IF(AND($C213&lt;&gt;"",OR(NOT(ISNUMBER($C213)),$C213&lt;1,$C213&gt;999,MOD($C213,1)&lt;&gt;0)),"Quantity; ","")&amp;IF($D213="","Recipient Name; ","")&amp;IF(LEN($D213)&gt;35,"Recipient Name; ","")&amp;IF($E213="","Recipient Phone; ","")&amp;IF(AND($E213&lt;&gt;"",OR(LEN($E213)&lt;6,LEN($E213)&gt;20,NOT(IFERROR(ISNUMBER(1*$E213),FALSE())))),"Recipient Phone; ","")&amp;IF(LEN($F213)&gt;35,"Recipient Company Name; ","")&amp;IF($G213="","Address Line 1; ","")&amp;IF(LEN($G213)&gt;35,"Address Line 1; ","")&amp;IF(LEN($H213)&gt;35,"Address Line 2; ","")&amp;IF(LEN($I213)&gt;35,"Address Line 3; ","")&amp;IF($J213="","Town; ","")&amp;IF(LEN($J213)&gt;35,"Town; ","")&amp;IF(AND($N213="IE",$K213=""),"County; ","")&amp;IF(LEN($AB213)&gt;35,"County; ","")&amp;IF(AND($L213="",AND($N213&lt;&gt;"AE",$N213&lt;&gt;"QA")),"Postcode; ","")&amp;IF(LEN($L213)&gt;35,"Postcode; ","")&amp;IF($AE213&lt;&gt;"","Postcode; ","")&amp;IF(LEN($O213)&gt;40,"Gift Message 1; ","")&amp;IF(LEN($P213)&gt;40,"Gift Message 2; ","")&amp;IF(LEN($Q213)&gt;40,"Gift Message 3; ","")&amp;IF(LEN($R213)&gt;40,"Gift Message 4; ","")&amp;IF(LEN($S213)&gt;40,"Gift Message 5; ","")&amp;IF(LEN($T213)&gt;40,"Gift Message 6; ","")&amp;IF(LEN($U213)&gt;40,"Gift Message 7; ",""))</f>
        <v/>
      </c>
      <c r="X213" s="44" t="str">
        <f ca="1">IF(COUNTA($A213,$D213:$M213,$O213:$U213)=0,"",IF($A213="","Enter the Item Code (hamper) - type it, paste it, or choose it from the dropdown. ","")&amp;IF(AND($A213&lt;&gt;"",ISNA(MATCH($AC213,'PRODUCT DATA'!$D$2:$D$394,0))),"This Item Code is not recognised. Check the code (case does not matter, but spelling and digits must match exactly) or choose it from the dropdown. ","")&amp;IF($M213="","Enter the Country after the Item Code - type or paste the name or the 2-letter code, or choose it from the dropdown. ","")&amp;IF(AND($M213&lt;&gt;"",NOT(OR(NOT(ISNA(MATCH(IF(UPPER($M213)="UK","GB",$M213),'PRODUCT DATA'!$A$2:$A$58,0))),NOT(ISNA(MATCH(IF(UPPER($M213)="UK","GB",$M213),'PRODUCT DATA'!$B$2:$B$58,0)))))),"This Country is not recognised as either a full name or a 2-letter code. Check the spelling (case does not matter) or choose it from the dropdown. ","")&amp;IF(AND($A213&lt;&gt;"",$M213&lt;&gt;"",NOT(ISNA(MATCH($AC213,'PRODUCT DATA'!$D$2:$D$394,0))),OR(NOT(ISNA(MATCH(IF(UPPER($M213)="UK","GB",$M213),'PRODUCT DATA'!$A$2:$A$58,0))),NOT(ISNA(MATCH(IF(UPPER($M213)="UK","GB",$M213),'PRODUCT DATA'!$B$2:$B$58,0)))),NOT(IFERROR(COUNTIF(OFFSET('PRODUCT DATA'!$F$2,0,MATCH($AC213,'PRODUCT DATA'!$F$1:$NN$1,0)-1,114,1),$N213)&gt;0,FALSE()))),IF(UPPER(IFERROR(OFFSET('PRODUCT DATA'!$C$2,MATCH($N213,'PRODUCT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"),"")&amp;IF($C213="","Enter Quantity. ","")&amp;IF(AND($C213&lt;&gt;"",OR(NOT(ISNUMBER($C213)),$C213&lt;1,$C213&gt;999,MOD($C213,1)&lt;&gt;0)),"Quantity must be a whole number from 1 to 999 (use a quantity above 1 only for a genuine bulk order of identical items to ONE address — otherwise use a separate row per recipient). ","")&amp;IF($D213="","Enter Recipient Name. ","")&amp;IF(LEN($D213)&gt;35,"Recipient Name exceeds 35 characters. ","")&amp;IF($E213="","Enter Recipient Phone. ","")&amp;IF(AND($E213&lt;&gt;"",OR(LEN($E213)&lt;6,LEN($E213)&gt;20,NOT(IFERROR(ISNUMBER(1*$E213),FALSE())))),"Phone must be the LOCAL number for the destination country: digits only, no +, spaces, or country code, 6 to 20 digits. ","")&amp;IF(LEN($F213)&gt;35,"Recipient Company Name exceeds 35 characters. ","")&amp;IF($G213="","Enter Address Line 1. ","")&amp;IF(LEN($G213)&gt;35,"Address Line 1 exceeds the 35-character SAP limit. ","")&amp;IF(LEN($H213)&gt;35,"Address Line 2 exceeds the 35-character SAP limit. ","")&amp;IF(LEN($I213)&gt;35,"Address Line 3 exceeds the 35-character SAP limit. ","")&amp;IF($J213="","Enter Town. This must never be left blank, even if there is no conventional town name. ","")&amp;IF(LEN($J213)&gt;35,"Town exceeds 35 characters. ","")&amp;IF(AND($N213="IE",$K213=""),"County is required for deliveries within the Republic of Ireland. ","")&amp;IF(LEN($AB213)&gt;35,"County exceeds 35 characters. ","")&amp;IF(AND($L213="",AND($N213&lt;&gt;"AE",$N213&lt;&gt;"QA")),"Postcode is required for the selected country. If there is genuinely no postcode, enter the first 3 characters of the area (e.g. D15). ","")&amp;IF(LEN($L213)&gt;35,"Postcode exceeds 35 characters. ","")&amp;IF($AE213&lt;&gt;"",$AE213,"")&amp;IF(LEN($O213)&gt;40,"Gift Message Line 1 exceeds 40 characters. ","")&amp;IF(LEN($P213)&gt;40,"Gift Message Line 2 exceeds 40 characters. ","")&amp;IF(LEN($Q213)&gt;40,"Gift Message Line 3 exceeds 40 characters. ","")&amp;IF(LEN($R213)&gt;40,"Gift Message Line 4 exceeds 40 characters. ","")&amp;IF(LEN($S213)&gt;40,"Gift Message Line 5 exceeds 40 characters. ","")&amp;IF(LEN($T213)&gt;40,"Gift Message Line 6 exceeds 40 characters. ","")&amp;IF(LEN($U213)&gt;40,"Gift Message Line 7 exceeds 40 characters. ",""))</f>
        <v/>
      </c>
      <c r="Y213" s="44" t="str">
        <f t="shared" si="13"/>
        <v/>
      </c>
      <c r="Z213" s="44"/>
      <c r="AA213" s="44"/>
      <c r="AB213" s="32" t="str">
        <f t="shared" si="14"/>
        <v/>
      </c>
      <c r="AC213" s="32" t="str">
        <f>IF($A213="","",IFERROR(LEFT(INDEX('PRODUCT DATA'!$NO$2:$NO$25,MATCH($A213,'PRODUCT DATA'!$NP$2:$NP$25,0)),FIND("|",INDEX('PRODUCT DATA'!$NO$2:$NO$25,MATCH($A213,'PRODUCT DATA'!$NP$2:$NP$25,0)))-1),$A213))</f>
        <v/>
      </c>
      <c r="AD213" s="45"/>
      <c r="AE213" s="45" t="str">
        <f t="shared" si="15"/>
        <v/>
      </c>
    </row>
    <row r="214" spans="1:31" ht="15" customHeight="1" x14ac:dyDescent="0.25">
      <c r="A214" s="40"/>
      <c r="B214" s="43" t="str">
        <f>IF($A214="","",IFERROR(VLOOKUP($AC214,'PRODUCT DATA'!$NR$2:$NS$374,2,FALSE()),"UNKNOWN ITEM CODE - please check"))</f>
        <v/>
      </c>
      <c r="C214" s="39">
        <v>1</v>
      </c>
      <c r="D214" s="39"/>
      <c r="E214" s="40"/>
      <c r="F214" s="41"/>
      <c r="G214" s="39"/>
      <c r="H214" s="41"/>
      <c r="I214" s="41"/>
      <c r="J214" s="39"/>
      <c r="K214" s="41"/>
      <c r="L214" s="40"/>
      <c r="M214" s="40"/>
      <c r="N214" s="42" t="str">
        <f>IF($M214="","",IFERROR(INDEX('PRODUCT DATA'!$B$2:$B$58,MATCH(IF(UPPER($M214)="UK","GB",$M214),'PRODUCT DATA'!$B$2:$B$58,0)),IFERROR(INDEX('PRODUCT DATA'!$B$2:$B$58,MATCH(IF(UPPER($M214)="UK","GB",$M214),'PRODUCT DATA'!$A$2:$A$58,0)),"UNKNOWN COUNTRY - please check")))</f>
        <v/>
      </c>
      <c r="O214" s="41"/>
      <c r="P214" s="41"/>
      <c r="Q214" s="41"/>
      <c r="R214" s="41"/>
      <c r="S214" s="41"/>
      <c r="T214" s="41"/>
      <c r="U214" s="41"/>
      <c r="V214" s="43" t="str">
        <f t="shared" si="12"/>
        <v/>
      </c>
      <c r="W214" s="44" t="str">
        <f ca="1">IF(COUNTA($A214,$D214:$M214,$O214:$U214)=0,"",IF($A214="","Item Code; ","")&amp;IF(AND($A214&lt;&gt;"",ISNA(MATCH($AC214,'PRODUCT DATA'!$D$2:$D$394,0))),"Item Code; ","")&amp;IF($M214="","Country; ","")&amp;IF(AND($M214&lt;&gt;"",NOT(OR(NOT(ISNA(MATCH(IF(UPPER($M214)="UK","GB",$M214),'PRODUCT DATA'!$A$2:$A$58,0))),NOT(ISNA(MATCH(IF(UPPER($M214)="UK","GB",$M214),'PRODUCT DATA'!$B$2:$B$58,0)))))),"Country; ","")&amp;IF(AND($A214&lt;&gt;"",$M214&lt;&gt;"",NOT(ISNA(MATCH($AC214,'PRODUCT DATA'!$D$2:$D$394,0))),OR(NOT(ISNA(MATCH(IF(UPPER($M214)="UK","GB",$M214),'PRODUCT DATA'!$A$2:$A$58,0))),NOT(ISNA(MATCH(IF(UPPER($M214)="UK","GB",$M214),'PRODUCT DATA'!$B$2:$B$58,0)))),NOT(IFERROR(COUNTIF(OFFSET('PRODUCT DATA'!$F$2,0,MATCH($AC214,'PRODUCT DATA'!$F$1:$NN$1,0)-1,114,1),$N214)&gt;0,FALSE()))),IF(UPPER(IFERROR(OFFSET('PRODUCT DATA'!$C$2,MATCH($N214,'PRODUCT DATA'!$B$2:$B$58,0)-1,0),""))="NO","Alcohol Restriction; ","Item Code / Country combination; "),"")&amp;IF($C214="","Quantity; ","")&amp;IF(AND($C214&lt;&gt;"",OR(NOT(ISNUMBER($C214)),$C214&lt;1,$C214&gt;999,MOD($C214,1)&lt;&gt;0)),"Quantity; ","")&amp;IF($D214="","Recipient Name; ","")&amp;IF(LEN($D214)&gt;35,"Recipient Name; ","")&amp;IF($E214="","Recipient Phone; ","")&amp;IF(AND($E214&lt;&gt;"",OR(LEN($E214)&lt;6,LEN($E214)&gt;20,NOT(IFERROR(ISNUMBER(1*$E214),FALSE())))),"Recipient Phone; ","")&amp;IF(LEN($F214)&gt;35,"Recipient Company Name; ","")&amp;IF($G214="","Address Line 1; ","")&amp;IF(LEN($G214)&gt;35,"Address Line 1; ","")&amp;IF(LEN($H214)&gt;35,"Address Line 2; ","")&amp;IF(LEN($I214)&gt;35,"Address Line 3; ","")&amp;IF($J214="","Town; ","")&amp;IF(LEN($J214)&gt;35,"Town; ","")&amp;IF(AND($N214="IE",$K214=""),"County; ","")&amp;IF(LEN($AB214)&gt;35,"County; ","")&amp;IF(AND($L214="",AND($N214&lt;&gt;"AE",$N214&lt;&gt;"QA")),"Postcode; ","")&amp;IF(LEN($L214)&gt;35,"Postcode; ","")&amp;IF($AE214&lt;&gt;"","Postcode; ","")&amp;IF(LEN($O214)&gt;40,"Gift Message 1; ","")&amp;IF(LEN($P214)&gt;40,"Gift Message 2; ","")&amp;IF(LEN($Q214)&gt;40,"Gift Message 3; ","")&amp;IF(LEN($R214)&gt;40,"Gift Message 4; ","")&amp;IF(LEN($S214)&gt;40,"Gift Message 5; ","")&amp;IF(LEN($T214)&gt;40,"Gift Message 6; ","")&amp;IF(LEN($U214)&gt;40,"Gift Message 7; ",""))</f>
        <v/>
      </c>
      <c r="X214" s="44" t="str">
        <f ca="1">IF(COUNTA($A214,$D214:$M214,$O214:$U214)=0,"",IF($A214="","Enter the Item Code (hamper) - type it, paste it, or choose it from the dropdown. ","")&amp;IF(AND($A214&lt;&gt;"",ISNA(MATCH($AC214,'PRODUCT DATA'!$D$2:$D$394,0))),"This Item Code is not recognised. Check the code (case does not matter, but spelling and digits must match exactly) or choose it from the dropdown. ","")&amp;IF($M214="","Enter the Country after the Item Code - type or paste the name or the 2-letter code, or choose it from the dropdown. ","")&amp;IF(AND($M214&lt;&gt;"",NOT(OR(NOT(ISNA(MATCH(IF(UPPER($M214)="UK","GB",$M214),'PRODUCT DATA'!$A$2:$A$58,0))),NOT(ISNA(MATCH(IF(UPPER($M214)="UK","GB",$M214),'PRODUCT DATA'!$B$2:$B$58,0)))))),"This Country is not recognised as either a full name or a 2-letter code. Check the spelling (case does not matter) or choose it from the dropdown. ","")&amp;IF(AND($A214&lt;&gt;"",$M214&lt;&gt;"",NOT(ISNA(MATCH($AC214,'PRODUCT DATA'!$D$2:$D$394,0))),OR(NOT(ISNA(MATCH(IF(UPPER($M214)="UK","GB",$M214),'PRODUCT DATA'!$A$2:$A$58,0))),NOT(ISNA(MATCH(IF(UPPER($M214)="UK","GB",$M214),'PRODUCT DATA'!$B$2:$B$58,0)))),NOT(IFERROR(COUNTIF(OFFSET('PRODUCT DATA'!$F$2,0,MATCH($AC214,'PRODUCT DATA'!$F$1:$NN$1,0)-1,114,1),$N214)&gt;0,FALSE()))),IF(UPPER(IFERROR(OFFSET('PRODUCT DATA'!$C$2,MATCH($N214,'PRODUCT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"),"")&amp;IF($C214="","Enter Quantity. ","")&amp;IF(AND($C214&lt;&gt;"",OR(NOT(ISNUMBER($C214)),$C214&lt;1,$C214&gt;999,MOD($C214,1)&lt;&gt;0)),"Quantity must be a whole number from 1 to 999 (use a quantity above 1 only for a genuine bulk order of identical items to ONE address — otherwise use a separate row per recipient). ","")&amp;IF($D214="","Enter Recipient Name. ","")&amp;IF(LEN($D214)&gt;35,"Recipient Name exceeds 35 characters. ","")&amp;IF($E214="","Enter Recipient Phone. ","")&amp;IF(AND($E214&lt;&gt;"",OR(LEN($E214)&lt;6,LEN($E214)&gt;20,NOT(IFERROR(ISNUMBER(1*$E214),FALSE())))),"Phone must be the LOCAL number for the destination country: digits only, no +, spaces, or country code, 6 to 20 digits. ","")&amp;IF(LEN($F214)&gt;35,"Recipient Company Name exceeds 35 characters. ","")&amp;IF($G214="","Enter Address Line 1. ","")&amp;IF(LEN($G214)&gt;35,"Address Line 1 exceeds the 35-character SAP limit. ","")&amp;IF(LEN($H214)&gt;35,"Address Line 2 exceeds the 35-character SAP limit. ","")&amp;IF(LEN($I214)&gt;35,"Address Line 3 exceeds the 35-character SAP limit. ","")&amp;IF($J214="","Enter Town. This must never be left blank, even if there is no conventional town name. ","")&amp;IF(LEN($J214)&gt;35,"Town exceeds 35 characters. ","")&amp;IF(AND($N214="IE",$K214=""),"County is required for deliveries within the Republic of Ireland. ","")&amp;IF(LEN($AB214)&gt;35,"County exceeds 35 characters. ","")&amp;IF(AND($L214="",AND($N214&lt;&gt;"AE",$N214&lt;&gt;"QA")),"Postcode is required for the selected country. If there is genuinely no postcode, enter the first 3 characters of the area (e.g. D15). ","")&amp;IF(LEN($L214)&gt;35,"Postcode exceeds 35 characters. ","")&amp;IF($AE214&lt;&gt;"",$AE214,"")&amp;IF(LEN($O214)&gt;40,"Gift Message Line 1 exceeds 40 characters. ","")&amp;IF(LEN($P214)&gt;40,"Gift Message Line 2 exceeds 40 characters. ","")&amp;IF(LEN($Q214)&gt;40,"Gift Message Line 3 exceeds 40 characters. ","")&amp;IF(LEN($R214)&gt;40,"Gift Message Line 4 exceeds 40 characters. ","")&amp;IF(LEN($S214)&gt;40,"Gift Message Line 5 exceeds 40 characters. ","")&amp;IF(LEN($T214)&gt;40,"Gift Message Line 6 exceeds 40 characters. ","")&amp;IF(LEN($U214)&gt;40,"Gift Message Line 7 exceeds 40 characters. ",""))</f>
        <v/>
      </c>
      <c r="Y214" s="44" t="str">
        <f t="shared" si="13"/>
        <v/>
      </c>
      <c r="Z214" s="44"/>
      <c r="AA214" s="44"/>
      <c r="AB214" s="32" t="str">
        <f t="shared" si="14"/>
        <v/>
      </c>
      <c r="AC214" s="32" t="str">
        <f>IF($A214="","",IFERROR(LEFT(INDEX('PRODUCT DATA'!$NO$2:$NO$25,MATCH($A214,'PRODUCT DATA'!$NP$2:$NP$25,0)),FIND("|",INDEX('PRODUCT DATA'!$NO$2:$NO$25,MATCH($A214,'PRODUCT DATA'!$NP$2:$NP$25,0)))-1),$A214))</f>
        <v/>
      </c>
      <c r="AD214" s="45"/>
      <c r="AE214" s="45" t="str">
        <f t="shared" si="15"/>
        <v/>
      </c>
    </row>
    <row r="215" spans="1:31" ht="15" customHeight="1" x14ac:dyDescent="0.25">
      <c r="A215" s="40"/>
      <c r="B215" s="43" t="str">
        <f>IF($A215="","",IFERROR(VLOOKUP($AC215,'PRODUCT DATA'!$NR$2:$NS$374,2,FALSE()),"UNKNOWN ITEM CODE - please check"))</f>
        <v/>
      </c>
      <c r="C215" s="39">
        <v>1</v>
      </c>
      <c r="D215" s="39"/>
      <c r="E215" s="40"/>
      <c r="F215" s="41"/>
      <c r="G215" s="39"/>
      <c r="H215" s="41"/>
      <c r="I215" s="41"/>
      <c r="J215" s="39"/>
      <c r="K215" s="41"/>
      <c r="L215" s="40"/>
      <c r="M215" s="40"/>
      <c r="N215" s="42" t="str">
        <f>IF($M215="","",IFERROR(INDEX('PRODUCT DATA'!$B$2:$B$58,MATCH(IF(UPPER($M215)="UK","GB",$M215),'PRODUCT DATA'!$B$2:$B$58,0)),IFERROR(INDEX('PRODUCT DATA'!$B$2:$B$58,MATCH(IF(UPPER($M215)="UK","GB",$M215),'PRODUCT DATA'!$A$2:$A$58,0)),"UNKNOWN COUNTRY - please check")))</f>
        <v/>
      </c>
      <c r="O215" s="41"/>
      <c r="P215" s="41"/>
      <c r="Q215" s="41"/>
      <c r="R215" s="41"/>
      <c r="S215" s="41"/>
      <c r="T215" s="41"/>
      <c r="U215" s="41"/>
      <c r="V215" s="43" t="str">
        <f t="shared" si="12"/>
        <v/>
      </c>
      <c r="W215" s="44" t="str">
        <f ca="1">IF(COUNTA($A215,$D215:$M215,$O215:$U215)=0,"",IF($A215="","Item Code; ","")&amp;IF(AND($A215&lt;&gt;"",ISNA(MATCH($AC215,'PRODUCT DATA'!$D$2:$D$394,0))),"Item Code; ","")&amp;IF($M215="","Country; ","")&amp;IF(AND($M215&lt;&gt;"",NOT(OR(NOT(ISNA(MATCH(IF(UPPER($M215)="UK","GB",$M215),'PRODUCT DATA'!$A$2:$A$58,0))),NOT(ISNA(MATCH(IF(UPPER($M215)="UK","GB",$M215),'PRODUCT DATA'!$B$2:$B$58,0)))))),"Country; ","")&amp;IF(AND($A215&lt;&gt;"",$M215&lt;&gt;"",NOT(ISNA(MATCH($AC215,'PRODUCT DATA'!$D$2:$D$394,0))),OR(NOT(ISNA(MATCH(IF(UPPER($M215)="UK","GB",$M215),'PRODUCT DATA'!$A$2:$A$58,0))),NOT(ISNA(MATCH(IF(UPPER($M215)="UK","GB",$M215),'PRODUCT DATA'!$B$2:$B$58,0)))),NOT(IFERROR(COUNTIF(OFFSET('PRODUCT DATA'!$F$2,0,MATCH($AC215,'PRODUCT DATA'!$F$1:$NN$1,0)-1,114,1),$N215)&gt;0,FALSE()))),IF(UPPER(IFERROR(OFFSET('PRODUCT DATA'!$C$2,MATCH($N215,'PRODUCT DATA'!$B$2:$B$58,0)-1,0),""))="NO","Alcohol Restriction; ","Item Code / Country combination; "),"")&amp;IF($C215="","Quantity; ","")&amp;IF(AND($C215&lt;&gt;"",OR(NOT(ISNUMBER($C215)),$C215&lt;1,$C215&gt;999,MOD($C215,1)&lt;&gt;0)),"Quantity; ","")&amp;IF($D215="","Recipient Name; ","")&amp;IF(LEN($D215)&gt;35,"Recipient Name; ","")&amp;IF($E215="","Recipient Phone; ","")&amp;IF(AND($E215&lt;&gt;"",OR(LEN($E215)&lt;6,LEN($E215)&gt;20,NOT(IFERROR(ISNUMBER(1*$E215),FALSE())))),"Recipient Phone; ","")&amp;IF(LEN($F215)&gt;35,"Recipient Company Name; ","")&amp;IF($G215="","Address Line 1; ","")&amp;IF(LEN($G215)&gt;35,"Address Line 1; ","")&amp;IF(LEN($H215)&gt;35,"Address Line 2; ","")&amp;IF(LEN($I215)&gt;35,"Address Line 3; ","")&amp;IF($J215="","Town; ","")&amp;IF(LEN($J215)&gt;35,"Town; ","")&amp;IF(AND($N215="IE",$K215=""),"County; ","")&amp;IF(LEN($AB215)&gt;35,"County; ","")&amp;IF(AND($L215="",AND($N215&lt;&gt;"AE",$N215&lt;&gt;"QA")),"Postcode; ","")&amp;IF(LEN($L215)&gt;35,"Postcode; ","")&amp;IF($AE215&lt;&gt;"","Postcode; ","")&amp;IF(LEN($O215)&gt;40,"Gift Message 1; ","")&amp;IF(LEN($P215)&gt;40,"Gift Message 2; ","")&amp;IF(LEN($Q215)&gt;40,"Gift Message 3; ","")&amp;IF(LEN($R215)&gt;40,"Gift Message 4; ","")&amp;IF(LEN($S215)&gt;40,"Gift Message 5; ","")&amp;IF(LEN($T215)&gt;40,"Gift Message 6; ","")&amp;IF(LEN($U215)&gt;40,"Gift Message 7; ",""))</f>
        <v/>
      </c>
      <c r="X215" s="44" t="str">
        <f ca="1">IF(COUNTA($A215,$D215:$M215,$O215:$U215)=0,"",IF($A215="","Enter the Item Code (hamper) - type it, paste it, or choose it from the dropdown. ","")&amp;IF(AND($A215&lt;&gt;"",ISNA(MATCH($AC215,'PRODUCT DATA'!$D$2:$D$394,0))),"This Item Code is not recognised. Check the code (case does not matter, but spelling and digits must match exactly) or choose it from the dropdown. ","")&amp;IF($M215="","Enter the Country after the Item Code - type or paste the name or the 2-letter code, or choose it from the dropdown. ","")&amp;IF(AND($M215&lt;&gt;"",NOT(OR(NOT(ISNA(MATCH(IF(UPPER($M215)="UK","GB",$M215),'PRODUCT DATA'!$A$2:$A$58,0))),NOT(ISNA(MATCH(IF(UPPER($M215)="UK","GB",$M215),'PRODUCT DATA'!$B$2:$B$58,0)))))),"This Country is not recognised as either a full name or a 2-letter code. Check the spelling (case does not matter) or choose it from the dropdown. ","")&amp;IF(AND($A215&lt;&gt;"",$M215&lt;&gt;"",NOT(ISNA(MATCH($AC215,'PRODUCT DATA'!$D$2:$D$394,0))),OR(NOT(ISNA(MATCH(IF(UPPER($M215)="UK","GB",$M215),'PRODUCT DATA'!$A$2:$A$58,0))),NOT(ISNA(MATCH(IF(UPPER($M215)="UK","GB",$M215),'PRODUCT DATA'!$B$2:$B$58,0)))),NOT(IFERROR(COUNTIF(OFFSET('PRODUCT DATA'!$F$2,0,MATCH($AC215,'PRODUCT DATA'!$F$1:$NN$1,0)-1,114,1),$N215)&gt;0,FALSE()))),IF(UPPER(IFERROR(OFFSET('PRODUCT DATA'!$C$2,MATCH($N215,'PRODUCT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"),"")&amp;IF($C215="","Enter Quantity. ","")&amp;IF(AND($C215&lt;&gt;"",OR(NOT(ISNUMBER($C215)),$C215&lt;1,$C215&gt;999,MOD($C215,1)&lt;&gt;0)),"Quantity must be a whole number from 1 to 999 (use a quantity above 1 only for a genuine bulk order of identical items to ONE address — otherwise use a separate row per recipient). ","")&amp;IF($D215="","Enter Recipient Name. ","")&amp;IF(LEN($D215)&gt;35,"Recipient Name exceeds 35 characters. ","")&amp;IF($E215="","Enter Recipient Phone. ","")&amp;IF(AND($E215&lt;&gt;"",OR(LEN($E215)&lt;6,LEN($E215)&gt;20,NOT(IFERROR(ISNUMBER(1*$E215),FALSE())))),"Phone must be the LOCAL number for the destination country: digits only, no +, spaces, or country code, 6 to 20 digits. ","")&amp;IF(LEN($F215)&gt;35,"Recipient Company Name exceeds 35 characters. ","")&amp;IF($G215="","Enter Address Line 1. ","")&amp;IF(LEN($G215)&gt;35,"Address Line 1 exceeds the 35-character SAP limit. ","")&amp;IF(LEN($H215)&gt;35,"Address Line 2 exceeds the 35-character SAP limit. ","")&amp;IF(LEN($I215)&gt;35,"Address Line 3 exceeds the 35-character SAP limit. ","")&amp;IF($J215="","Enter Town. This must never be left blank, even if there is no conventional town name. ","")&amp;IF(LEN($J215)&gt;35,"Town exceeds 35 characters. ","")&amp;IF(AND($N215="IE",$K215=""),"County is required for deliveries within the Republic of Ireland. ","")&amp;IF(LEN($AB215)&gt;35,"County exceeds 35 characters. ","")&amp;IF(AND($L215="",AND($N215&lt;&gt;"AE",$N215&lt;&gt;"QA")),"Postcode is required for the selected country. If there is genuinely no postcode, enter the first 3 characters of the area (e.g. D15). ","")&amp;IF(LEN($L215)&gt;35,"Postcode exceeds 35 characters. ","")&amp;IF($AE215&lt;&gt;"",$AE215,"")&amp;IF(LEN($O215)&gt;40,"Gift Message Line 1 exceeds 40 characters. ","")&amp;IF(LEN($P215)&gt;40,"Gift Message Line 2 exceeds 40 characters. ","")&amp;IF(LEN($Q215)&gt;40,"Gift Message Line 3 exceeds 40 characters. ","")&amp;IF(LEN($R215)&gt;40,"Gift Message Line 4 exceeds 40 characters. ","")&amp;IF(LEN($S215)&gt;40,"Gift Message Line 5 exceeds 40 characters. ","")&amp;IF(LEN($T215)&gt;40,"Gift Message Line 6 exceeds 40 characters. ","")&amp;IF(LEN($U215)&gt;40,"Gift Message Line 7 exceeds 40 characters. ",""))</f>
        <v/>
      </c>
      <c r="Y215" s="44" t="str">
        <f t="shared" si="13"/>
        <v/>
      </c>
      <c r="Z215" s="44"/>
      <c r="AA215" s="44"/>
      <c r="AB215" s="32" t="str">
        <f t="shared" si="14"/>
        <v/>
      </c>
      <c r="AC215" s="32" t="str">
        <f>IF($A215="","",IFERROR(LEFT(INDEX('PRODUCT DATA'!$NO$2:$NO$25,MATCH($A215,'PRODUCT DATA'!$NP$2:$NP$25,0)),FIND("|",INDEX('PRODUCT DATA'!$NO$2:$NO$25,MATCH($A215,'PRODUCT DATA'!$NP$2:$NP$25,0)))-1),$A215))</f>
        <v/>
      </c>
      <c r="AD215" s="45"/>
      <c r="AE215" s="45" t="str">
        <f t="shared" si="15"/>
        <v/>
      </c>
    </row>
    <row r="216" spans="1:31" ht="15" customHeight="1" x14ac:dyDescent="0.25">
      <c r="A216" s="40"/>
      <c r="B216" s="43" t="str">
        <f>IF($A216="","",IFERROR(VLOOKUP($AC216,'PRODUCT DATA'!$NR$2:$NS$374,2,FALSE()),"UNKNOWN ITEM CODE - please check"))</f>
        <v/>
      </c>
      <c r="C216" s="39">
        <v>1</v>
      </c>
      <c r="D216" s="39"/>
      <c r="E216" s="40"/>
      <c r="F216" s="41"/>
      <c r="G216" s="39"/>
      <c r="H216" s="41"/>
      <c r="I216" s="41"/>
      <c r="J216" s="39"/>
      <c r="K216" s="41"/>
      <c r="L216" s="40"/>
      <c r="M216" s="40"/>
      <c r="N216" s="42" t="str">
        <f>IF($M216="","",IFERROR(INDEX('PRODUCT DATA'!$B$2:$B$58,MATCH(IF(UPPER($M216)="UK","GB",$M216),'PRODUCT DATA'!$B$2:$B$58,0)),IFERROR(INDEX('PRODUCT DATA'!$B$2:$B$58,MATCH(IF(UPPER($M216)="UK","GB",$M216),'PRODUCT DATA'!$A$2:$A$58,0)),"UNKNOWN COUNTRY - please check")))</f>
        <v/>
      </c>
      <c r="O216" s="41"/>
      <c r="P216" s="41"/>
      <c r="Q216" s="41"/>
      <c r="R216" s="41"/>
      <c r="S216" s="41"/>
      <c r="T216" s="41"/>
      <c r="U216" s="41"/>
      <c r="V216" s="43" t="str">
        <f t="shared" si="12"/>
        <v/>
      </c>
      <c r="W216" s="44" t="str">
        <f ca="1">IF(COUNTA($A216,$D216:$M216,$O216:$U216)=0,"",IF($A216="","Item Code; ","")&amp;IF(AND($A216&lt;&gt;"",ISNA(MATCH($AC216,'PRODUCT DATA'!$D$2:$D$394,0))),"Item Code; ","")&amp;IF($M216="","Country; ","")&amp;IF(AND($M216&lt;&gt;"",NOT(OR(NOT(ISNA(MATCH(IF(UPPER($M216)="UK","GB",$M216),'PRODUCT DATA'!$A$2:$A$58,0))),NOT(ISNA(MATCH(IF(UPPER($M216)="UK","GB",$M216),'PRODUCT DATA'!$B$2:$B$58,0)))))),"Country; ","")&amp;IF(AND($A216&lt;&gt;"",$M216&lt;&gt;"",NOT(ISNA(MATCH($AC216,'PRODUCT DATA'!$D$2:$D$394,0))),OR(NOT(ISNA(MATCH(IF(UPPER($M216)="UK","GB",$M216),'PRODUCT DATA'!$A$2:$A$58,0))),NOT(ISNA(MATCH(IF(UPPER($M216)="UK","GB",$M216),'PRODUCT DATA'!$B$2:$B$58,0)))),NOT(IFERROR(COUNTIF(OFFSET('PRODUCT DATA'!$F$2,0,MATCH($AC216,'PRODUCT DATA'!$F$1:$NN$1,0)-1,114,1),$N216)&gt;0,FALSE()))),IF(UPPER(IFERROR(OFFSET('PRODUCT DATA'!$C$2,MATCH($N216,'PRODUCT DATA'!$B$2:$B$58,0)-1,0),""))="NO","Alcohol Restriction; ","Item Code / Country combination; "),"")&amp;IF($C216="","Quantity; ","")&amp;IF(AND($C216&lt;&gt;"",OR(NOT(ISNUMBER($C216)),$C216&lt;1,$C216&gt;999,MOD($C216,1)&lt;&gt;0)),"Quantity; ","")&amp;IF($D216="","Recipient Name; ","")&amp;IF(LEN($D216)&gt;35,"Recipient Name; ","")&amp;IF($E216="","Recipient Phone; ","")&amp;IF(AND($E216&lt;&gt;"",OR(LEN($E216)&lt;6,LEN($E216)&gt;20,NOT(IFERROR(ISNUMBER(1*$E216),FALSE())))),"Recipient Phone; ","")&amp;IF(LEN($F216)&gt;35,"Recipient Company Name; ","")&amp;IF($G216="","Address Line 1; ","")&amp;IF(LEN($G216)&gt;35,"Address Line 1; ","")&amp;IF(LEN($H216)&gt;35,"Address Line 2; ","")&amp;IF(LEN($I216)&gt;35,"Address Line 3; ","")&amp;IF($J216="","Town; ","")&amp;IF(LEN($J216)&gt;35,"Town; ","")&amp;IF(AND($N216="IE",$K216=""),"County; ","")&amp;IF(LEN($AB216)&gt;35,"County; ","")&amp;IF(AND($L216="",AND($N216&lt;&gt;"AE",$N216&lt;&gt;"QA")),"Postcode; ","")&amp;IF(LEN($L216)&gt;35,"Postcode; ","")&amp;IF($AE216&lt;&gt;"","Postcode; ","")&amp;IF(LEN($O216)&gt;40,"Gift Message 1; ","")&amp;IF(LEN($P216)&gt;40,"Gift Message 2; ","")&amp;IF(LEN($Q216)&gt;40,"Gift Message 3; ","")&amp;IF(LEN($R216)&gt;40,"Gift Message 4; ","")&amp;IF(LEN($S216)&gt;40,"Gift Message 5; ","")&amp;IF(LEN($T216)&gt;40,"Gift Message 6; ","")&amp;IF(LEN($U216)&gt;40,"Gift Message 7; ",""))</f>
        <v/>
      </c>
      <c r="X216" s="44" t="str">
        <f ca="1">IF(COUNTA($A216,$D216:$M216,$O216:$U216)=0,"",IF($A216="","Enter the Item Code (hamper) - type it, paste it, or choose it from the dropdown. ","")&amp;IF(AND($A216&lt;&gt;"",ISNA(MATCH($AC216,'PRODUCT DATA'!$D$2:$D$394,0))),"This Item Code is not recognised. Check the code (case does not matter, but spelling and digits must match exactly) or choose it from the dropdown. ","")&amp;IF($M216="","Enter the Country after the Item Code - type or paste the name or the 2-letter code, or choose it from the dropdown. ","")&amp;IF(AND($M216&lt;&gt;"",NOT(OR(NOT(ISNA(MATCH(IF(UPPER($M216)="UK","GB",$M216),'PRODUCT DATA'!$A$2:$A$58,0))),NOT(ISNA(MATCH(IF(UPPER($M216)="UK","GB",$M216),'PRODUCT DATA'!$B$2:$B$58,0)))))),"This Country is not recognised as either a full name or a 2-letter code. Check the spelling (case does not matter) or choose it from the dropdown. ","")&amp;IF(AND($A216&lt;&gt;"",$M216&lt;&gt;"",NOT(ISNA(MATCH($AC216,'PRODUCT DATA'!$D$2:$D$394,0))),OR(NOT(ISNA(MATCH(IF(UPPER($M216)="UK","GB",$M216),'PRODUCT DATA'!$A$2:$A$58,0))),NOT(ISNA(MATCH(IF(UPPER($M216)="UK","GB",$M216),'PRODUCT DATA'!$B$2:$B$58,0)))),NOT(IFERROR(COUNTIF(OFFSET('PRODUCT DATA'!$F$2,0,MATCH($AC216,'PRODUCT DATA'!$F$1:$NN$1,0)-1,114,1),$N216)&gt;0,FALSE()))),IF(UPPER(IFERROR(OFFSET('PRODUCT DATA'!$C$2,MATCH($N216,'PRODUCT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"),"")&amp;IF($C216="","Enter Quantity. ","")&amp;IF(AND($C216&lt;&gt;"",OR(NOT(ISNUMBER($C216)),$C216&lt;1,$C216&gt;999,MOD($C216,1)&lt;&gt;0)),"Quantity must be a whole number from 1 to 999 (use a quantity above 1 only for a genuine bulk order of identical items to ONE address — otherwise use a separate row per recipient). ","")&amp;IF($D216="","Enter Recipient Name. ","")&amp;IF(LEN($D216)&gt;35,"Recipient Name exceeds 35 characters. ","")&amp;IF($E216="","Enter Recipient Phone. ","")&amp;IF(AND($E216&lt;&gt;"",OR(LEN($E216)&lt;6,LEN($E216)&gt;20,NOT(IFERROR(ISNUMBER(1*$E216),FALSE())))),"Phone must be the LOCAL number for the destination country: digits only, no +, spaces, or country code, 6 to 20 digits. ","")&amp;IF(LEN($F216)&gt;35,"Recipient Company Name exceeds 35 characters. ","")&amp;IF($G216="","Enter Address Line 1. ","")&amp;IF(LEN($G216)&gt;35,"Address Line 1 exceeds the 35-character SAP limit. ","")&amp;IF(LEN($H216)&gt;35,"Address Line 2 exceeds the 35-character SAP limit. ","")&amp;IF(LEN($I216)&gt;35,"Address Line 3 exceeds the 35-character SAP limit. ","")&amp;IF($J216="","Enter Town. This must never be left blank, even if there is no conventional town name. ","")&amp;IF(LEN($J216)&gt;35,"Town exceeds 35 characters. ","")&amp;IF(AND($N216="IE",$K216=""),"County is required for deliveries within the Republic of Ireland. ","")&amp;IF(LEN($AB216)&gt;35,"County exceeds 35 characters. ","")&amp;IF(AND($L216="",AND($N216&lt;&gt;"AE",$N216&lt;&gt;"QA")),"Postcode is required for the selected country. If there is genuinely no postcode, enter the first 3 characters of the area (e.g. D15). ","")&amp;IF(LEN($L216)&gt;35,"Postcode exceeds 35 characters. ","")&amp;IF($AE216&lt;&gt;"",$AE216,"")&amp;IF(LEN($O216)&gt;40,"Gift Message Line 1 exceeds 40 characters. ","")&amp;IF(LEN($P216)&gt;40,"Gift Message Line 2 exceeds 40 characters. ","")&amp;IF(LEN($Q216)&gt;40,"Gift Message Line 3 exceeds 40 characters. ","")&amp;IF(LEN($R216)&gt;40,"Gift Message Line 4 exceeds 40 characters. ","")&amp;IF(LEN($S216)&gt;40,"Gift Message Line 5 exceeds 40 characters. ","")&amp;IF(LEN($T216)&gt;40,"Gift Message Line 6 exceeds 40 characters. ","")&amp;IF(LEN($U216)&gt;40,"Gift Message Line 7 exceeds 40 characters. ",""))</f>
        <v/>
      </c>
      <c r="Y216" s="44" t="str">
        <f t="shared" si="13"/>
        <v/>
      </c>
      <c r="Z216" s="44"/>
      <c r="AA216" s="44"/>
      <c r="AB216" s="32" t="str">
        <f t="shared" si="14"/>
        <v/>
      </c>
      <c r="AC216" s="32" t="str">
        <f>IF($A216="","",IFERROR(LEFT(INDEX('PRODUCT DATA'!$NO$2:$NO$25,MATCH($A216,'PRODUCT DATA'!$NP$2:$NP$25,0)),FIND("|",INDEX('PRODUCT DATA'!$NO$2:$NO$25,MATCH($A216,'PRODUCT DATA'!$NP$2:$NP$25,0)))-1),$A216))</f>
        <v/>
      </c>
      <c r="AD216" s="45"/>
      <c r="AE216" s="45" t="str">
        <f t="shared" si="15"/>
        <v/>
      </c>
    </row>
    <row r="217" spans="1:31" ht="15" customHeight="1" x14ac:dyDescent="0.25">
      <c r="A217" s="40"/>
      <c r="B217" s="43" t="str">
        <f>IF($A217="","",IFERROR(VLOOKUP($AC217,'PRODUCT DATA'!$NR$2:$NS$374,2,FALSE()),"UNKNOWN ITEM CODE - please check"))</f>
        <v/>
      </c>
      <c r="C217" s="39">
        <v>1</v>
      </c>
      <c r="D217" s="39"/>
      <c r="E217" s="40"/>
      <c r="F217" s="41"/>
      <c r="G217" s="39"/>
      <c r="H217" s="41"/>
      <c r="I217" s="41"/>
      <c r="J217" s="39"/>
      <c r="K217" s="41"/>
      <c r="L217" s="40"/>
      <c r="M217" s="40"/>
      <c r="N217" s="42" t="str">
        <f>IF($M217="","",IFERROR(INDEX('PRODUCT DATA'!$B$2:$B$58,MATCH(IF(UPPER($M217)="UK","GB",$M217),'PRODUCT DATA'!$B$2:$B$58,0)),IFERROR(INDEX('PRODUCT DATA'!$B$2:$B$58,MATCH(IF(UPPER($M217)="UK","GB",$M217),'PRODUCT DATA'!$A$2:$A$58,0)),"UNKNOWN COUNTRY - please check")))</f>
        <v/>
      </c>
      <c r="O217" s="41"/>
      <c r="P217" s="41"/>
      <c r="Q217" s="41"/>
      <c r="R217" s="41"/>
      <c r="S217" s="41"/>
      <c r="T217" s="41"/>
      <c r="U217" s="41"/>
      <c r="V217" s="43" t="str">
        <f t="shared" si="12"/>
        <v/>
      </c>
      <c r="W217" s="44" t="str">
        <f ca="1">IF(COUNTA($A217,$D217:$M217,$O217:$U217)=0,"",IF($A217="","Item Code; ","")&amp;IF(AND($A217&lt;&gt;"",ISNA(MATCH($AC217,'PRODUCT DATA'!$D$2:$D$394,0))),"Item Code; ","")&amp;IF($M217="","Country; ","")&amp;IF(AND($M217&lt;&gt;"",NOT(OR(NOT(ISNA(MATCH(IF(UPPER($M217)="UK","GB",$M217),'PRODUCT DATA'!$A$2:$A$58,0))),NOT(ISNA(MATCH(IF(UPPER($M217)="UK","GB",$M217),'PRODUCT DATA'!$B$2:$B$58,0)))))),"Country; ","")&amp;IF(AND($A217&lt;&gt;"",$M217&lt;&gt;"",NOT(ISNA(MATCH($AC217,'PRODUCT DATA'!$D$2:$D$394,0))),OR(NOT(ISNA(MATCH(IF(UPPER($M217)="UK","GB",$M217),'PRODUCT DATA'!$A$2:$A$58,0))),NOT(ISNA(MATCH(IF(UPPER($M217)="UK","GB",$M217),'PRODUCT DATA'!$B$2:$B$58,0)))),NOT(IFERROR(COUNTIF(OFFSET('PRODUCT DATA'!$F$2,0,MATCH($AC217,'PRODUCT DATA'!$F$1:$NN$1,0)-1,114,1),$N217)&gt;0,FALSE()))),IF(UPPER(IFERROR(OFFSET('PRODUCT DATA'!$C$2,MATCH($N217,'PRODUCT DATA'!$B$2:$B$58,0)-1,0),""))="NO","Alcohol Restriction; ","Item Code / Country combination; "),"")&amp;IF($C217="","Quantity; ","")&amp;IF(AND($C217&lt;&gt;"",OR(NOT(ISNUMBER($C217)),$C217&lt;1,$C217&gt;999,MOD($C217,1)&lt;&gt;0)),"Quantity; ","")&amp;IF($D217="","Recipient Name; ","")&amp;IF(LEN($D217)&gt;35,"Recipient Name; ","")&amp;IF($E217="","Recipient Phone; ","")&amp;IF(AND($E217&lt;&gt;"",OR(LEN($E217)&lt;6,LEN($E217)&gt;20,NOT(IFERROR(ISNUMBER(1*$E217),FALSE())))),"Recipient Phone; ","")&amp;IF(LEN($F217)&gt;35,"Recipient Company Name; ","")&amp;IF($G217="","Address Line 1; ","")&amp;IF(LEN($G217)&gt;35,"Address Line 1; ","")&amp;IF(LEN($H217)&gt;35,"Address Line 2; ","")&amp;IF(LEN($I217)&gt;35,"Address Line 3; ","")&amp;IF($J217="","Town; ","")&amp;IF(LEN($J217)&gt;35,"Town; ","")&amp;IF(AND($N217="IE",$K217=""),"County; ","")&amp;IF(LEN($AB217)&gt;35,"County; ","")&amp;IF(AND($L217="",AND($N217&lt;&gt;"AE",$N217&lt;&gt;"QA")),"Postcode; ","")&amp;IF(LEN($L217)&gt;35,"Postcode; ","")&amp;IF($AE217&lt;&gt;"","Postcode; ","")&amp;IF(LEN($O217)&gt;40,"Gift Message 1; ","")&amp;IF(LEN($P217)&gt;40,"Gift Message 2; ","")&amp;IF(LEN($Q217)&gt;40,"Gift Message 3; ","")&amp;IF(LEN($R217)&gt;40,"Gift Message 4; ","")&amp;IF(LEN($S217)&gt;40,"Gift Message 5; ","")&amp;IF(LEN($T217)&gt;40,"Gift Message 6; ","")&amp;IF(LEN($U217)&gt;40,"Gift Message 7; ",""))</f>
        <v/>
      </c>
      <c r="X217" s="44" t="str">
        <f ca="1">IF(COUNTA($A217,$D217:$M217,$O217:$U217)=0,"",IF($A217="","Enter the Item Code (hamper) - type it, paste it, or choose it from the dropdown. ","")&amp;IF(AND($A217&lt;&gt;"",ISNA(MATCH($AC217,'PRODUCT DATA'!$D$2:$D$394,0))),"This Item Code is not recognised. Check the code (case does not matter, but spelling and digits must match exactly) or choose it from the dropdown. ","")&amp;IF($M217="","Enter the Country after the Item Code - type or paste the name or the 2-letter code, or choose it from the dropdown. ","")&amp;IF(AND($M217&lt;&gt;"",NOT(OR(NOT(ISNA(MATCH(IF(UPPER($M217)="UK","GB",$M217),'PRODUCT DATA'!$A$2:$A$58,0))),NOT(ISNA(MATCH(IF(UPPER($M217)="UK","GB",$M217),'PRODUCT DATA'!$B$2:$B$58,0)))))),"This Country is not recognised as either a full name or a 2-letter code. Check the spelling (case does not matter) or choose it from the dropdown. ","")&amp;IF(AND($A217&lt;&gt;"",$M217&lt;&gt;"",NOT(ISNA(MATCH($AC217,'PRODUCT DATA'!$D$2:$D$394,0))),OR(NOT(ISNA(MATCH(IF(UPPER($M217)="UK","GB",$M217),'PRODUCT DATA'!$A$2:$A$58,0))),NOT(ISNA(MATCH(IF(UPPER($M217)="UK","GB",$M217),'PRODUCT DATA'!$B$2:$B$58,0)))),NOT(IFERROR(COUNTIF(OFFSET('PRODUCT DATA'!$F$2,0,MATCH($AC217,'PRODUCT DATA'!$F$1:$NN$1,0)-1,114,1),$N217)&gt;0,FALSE()))),IF(UPPER(IFERROR(OFFSET('PRODUCT DATA'!$C$2,MATCH($N217,'PRODUCT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"),"")&amp;IF($C217="","Enter Quantity. ","")&amp;IF(AND($C217&lt;&gt;"",OR(NOT(ISNUMBER($C217)),$C217&lt;1,$C217&gt;999,MOD($C217,1)&lt;&gt;0)),"Quantity must be a whole number from 1 to 999 (use a quantity above 1 only for a genuine bulk order of identical items to ONE address — otherwise use a separate row per recipient). ","")&amp;IF($D217="","Enter Recipient Name. ","")&amp;IF(LEN($D217)&gt;35,"Recipient Name exceeds 35 characters. ","")&amp;IF($E217="","Enter Recipient Phone. ","")&amp;IF(AND($E217&lt;&gt;"",OR(LEN($E217)&lt;6,LEN($E217)&gt;20,NOT(IFERROR(ISNUMBER(1*$E217),FALSE())))),"Phone must be the LOCAL number for the destination country: digits only, no +, spaces, or country code, 6 to 20 digits. ","")&amp;IF(LEN($F217)&gt;35,"Recipient Company Name exceeds 35 characters. ","")&amp;IF($G217="","Enter Address Line 1. ","")&amp;IF(LEN($G217)&gt;35,"Address Line 1 exceeds the 35-character SAP limit. ","")&amp;IF(LEN($H217)&gt;35,"Address Line 2 exceeds the 35-character SAP limit. ","")&amp;IF(LEN($I217)&gt;35,"Address Line 3 exceeds the 35-character SAP limit. ","")&amp;IF($J217="","Enter Town. This must never be left blank, even if there is no conventional town name. ","")&amp;IF(LEN($J217)&gt;35,"Town exceeds 35 characters. ","")&amp;IF(AND($N217="IE",$K217=""),"County is required for deliveries within the Republic of Ireland. ","")&amp;IF(LEN($AB217)&gt;35,"County exceeds 35 characters. ","")&amp;IF(AND($L217="",AND($N217&lt;&gt;"AE",$N217&lt;&gt;"QA")),"Postcode is required for the selected country. If there is genuinely no postcode, enter the first 3 characters of the area (e.g. D15). ","")&amp;IF(LEN($L217)&gt;35,"Postcode exceeds 35 characters. ","")&amp;IF($AE217&lt;&gt;"",$AE217,"")&amp;IF(LEN($O217)&gt;40,"Gift Message Line 1 exceeds 40 characters. ","")&amp;IF(LEN($P217)&gt;40,"Gift Message Line 2 exceeds 40 characters. ","")&amp;IF(LEN($Q217)&gt;40,"Gift Message Line 3 exceeds 40 characters. ","")&amp;IF(LEN($R217)&gt;40,"Gift Message Line 4 exceeds 40 characters. ","")&amp;IF(LEN($S217)&gt;40,"Gift Message Line 5 exceeds 40 characters. ","")&amp;IF(LEN($T217)&gt;40,"Gift Message Line 6 exceeds 40 characters. ","")&amp;IF(LEN($U217)&gt;40,"Gift Message Line 7 exceeds 40 characters. ",""))</f>
        <v/>
      </c>
      <c r="Y217" s="44" t="str">
        <f t="shared" si="13"/>
        <v/>
      </c>
      <c r="Z217" s="44"/>
      <c r="AA217" s="44"/>
      <c r="AB217" s="32" t="str">
        <f t="shared" si="14"/>
        <v/>
      </c>
      <c r="AC217" s="32" t="str">
        <f>IF($A217="","",IFERROR(LEFT(INDEX('PRODUCT DATA'!$NO$2:$NO$25,MATCH($A217,'PRODUCT DATA'!$NP$2:$NP$25,0)),FIND("|",INDEX('PRODUCT DATA'!$NO$2:$NO$25,MATCH($A217,'PRODUCT DATA'!$NP$2:$NP$25,0)))-1),$A217))</f>
        <v/>
      </c>
      <c r="AD217" s="45"/>
      <c r="AE217" s="45" t="str">
        <f t="shared" si="15"/>
        <v/>
      </c>
    </row>
    <row r="218" spans="1:31" ht="15" customHeight="1" x14ac:dyDescent="0.25">
      <c r="A218" s="40"/>
      <c r="B218" s="43" t="str">
        <f>IF($A218="","",IFERROR(VLOOKUP($AC218,'PRODUCT DATA'!$NR$2:$NS$374,2,FALSE()),"UNKNOWN ITEM CODE - please check"))</f>
        <v/>
      </c>
      <c r="C218" s="39">
        <v>1</v>
      </c>
      <c r="D218" s="39"/>
      <c r="E218" s="40"/>
      <c r="F218" s="41"/>
      <c r="G218" s="39"/>
      <c r="H218" s="41"/>
      <c r="I218" s="41"/>
      <c r="J218" s="39"/>
      <c r="K218" s="41"/>
      <c r="L218" s="40"/>
      <c r="M218" s="40"/>
      <c r="N218" s="42" t="str">
        <f>IF($M218="","",IFERROR(INDEX('PRODUCT DATA'!$B$2:$B$58,MATCH(IF(UPPER($M218)="UK","GB",$M218),'PRODUCT DATA'!$B$2:$B$58,0)),IFERROR(INDEX('PRODUCT DATA'!$B$2:$B$58,MATCH(IF(UPPER($M218)="UK","GB",$M218),'PRODUCT DATA'!$A$2:$A$58,0)),"UNKNOWN COUNTRY - please check")))</f>
        <v/>
      </c>
      <c r="O218" s="41"/>
      <c r="P218" s="41"/>
      <c r="Q218" s="41"/>
      <c r="R218" s="41"/>
      <c r="S218" s="41"/>
      <c r="T218" s="41"/>
      <c r="U218" s="41"/>
      <c r="V218" s="43" t="str">
        <f t="shared" si="12"/>
        <v/>
      </c>
      <c r="W218" s="44" t="str">
        <f ca="1">IF(COUNTA($A218,$D218:$M218,$O218:$U218)=0,"",IF($A218="","Item Code; ","")&amp;IF(AND($A218&lt;&gt;"",ISNA(MATCH($AC218,'PRODUCT DATA'!$D$2:$D$394,0))),"Item Code; ","")&amp;IF($M218="","Country; ","")&amp;IF(AND($M218&lt;&gt;"",NOT(OR(NOT(ISNA(MATCH(IF(UPPER($M218)="UK","GB",$M218),'PRODUCT DATA'!$A$2:$A$58,0))),NOT(ISNA(MATCH(IF(UPPER($M218)="UK","GB",$M218),'PRODUCT DATA'!$B$2:$B$58,0)))))),"Country; ","")&amp;IF(AND($A218&lt;&gt;"",$M218&lt;&gt;"",NOT(ISNA(MATCH($AC218,'PRODUCT DATA'!$D$2:$D$394,0))),OR(NOT(ISNA(MATCH(IF(UPPER($M218)="UK","GB",$M218),'PRODUCT DATA'!$A$2:$A$58,0))),NOT(ISNA(MATCH(IF(UPPER($M218)="UK","GB",$M218),'PRODUCT DATA'!$B$2:$B$58,0)))),NOT(IFERROR(COUNTIF(OFFSET('PRODUCT DATA'!$F$2,0,MATCH($AC218,'PRODUCT DATA'!$F$1:$NN$1,0)-1,114,1),$N218)&gt;0,FALSE()))),IF(UPPER(IFERROR(OFFSET('PRODUCT DATA'!$C$2,MATCH($N218,'PRODUCT DATA'!$B$2:$B$58,0)-1,0),""))="NO","Alcohol Restriction; ","Item Code / Country combination; "),"")&amp;IF($C218="","Quantity; ","")&amp;IF(AND($C218&lt;&gt;"",OR(NOT(ISNUMBER($C218)),$C218&lt;1,$C218&gt;999,MOD($C218,1)&lt;&gt;0)),"Quantity; ","")&amp;IF($D218="","Recipient Name; ","")&amp;IF(LEN($D218)&gt;35,"Recipient Name; ","")&amp;IF($E218="","Recipient Phone; ","")&amp;IF(AND($E218&lt;&gt;"",OR(LEN($E218)&lt;6,LEN($E218)&gt;20,NOT(IFERROR(ISNUMBER(1*$E218),FALSE())))),"Recipient Phone; ","")&amp;IF(LEN($F218)&gt;35,"Recipient Company Name; ","")&amp;IF($G218="","Address Line 1; ","")&amp;IF(LEN($G218)&gt;35,"Address Line 1; ","")&amp;IF(LEN($H218)&gt;35,"Address Line 2; ","")&amp;IF(LEN($I218)&gt;35,"Address Line 3; ","")&amp;IF($J218="","Town; ","")&amp;IF(LEN($J218)&gt;35,"Town; ","")&amp;IF(AND($N218="IE",$K218=""),"County; ","")&amp;IF(LEN($AB218)&gt;35,"County; ","")&amp;IF(AND($L218="",AND($N218&lt;&gt;"AE",$N218&lt;&gt;"QA")),"Postcode; ","")&amp;IF(LEN($L218)&gt;35,"Postcode; ","")&amp;IF($AE218&lt;&gt;"","Postcode; ","")&amp;IF(LEN($O218)&gt;40,"Gift Message 1; ","")&amp;IF(LEN($P218)&gt;40,"Gift Message 2; ","")&amp;IF(LEN($Q218)&gt;40,"Gift Message 3; ","")&amp;IF(LEN($R218)&gt;40,"Gift Message 4; ","")&amp;IF(LEN($S218)&gt;40,"Gift Message 5; ","")&amp;IF(LEN($T218)&gt;40,"Gift Message 6; ","")&amp;IF(LEN($U218)&gt;40,"Gift Message 7; ",""))</f>
        <v/>
      </c>
      <c r="X218" s="44" t="str">
        <f ca="1">IF(COUNTA($A218,$D218:$M218,$O218:$U218)=0,"",IF($A218="","Enter the Item Code (hamper) - type it, paste it, or choose it from the dropdown. ","")&amp;IF(AND($A218&lt;&gt;"",ISNA(MATCH($AC218,'PRODUCT DATA'!$D$2:$D$394,0))),"This Item Code is not recognised. Check the code (case does not matter, but spelling and digits must match exactly) or choose it from the dropdown. ","")&amp;IF($M218="","Enter the Country after the Item Code - type or paste the name or the 2-letter code, or choose it from the dropdown. ","")&amp;IF(AND($M218&lt;&gt;"",NOT(OR(NOT(ISNA(MATCH(IF(UPPER($M218)="UK","GB",$M218),'PRODUCT DATA'!$A$2:$A$58,0))),NOT(ISNA(MATCH(IF(UPPER($M218)="UK","GB",$M218),'PRODUCT DATA'!$B$2:$B$58,0)))))),"This Country is not recognised as either a full name or a 2-letter code. Check the spelling (case does not matter) or choose it from the dropdown. ","")&amp;IF(AND($A218&lt;&gt;"",$M218&lt;&gt;"",NOT(ISNA(MATCH($AC218,'PRODUCT DATA'!$D$2:$D$394,0))),OR(NOT(ISNA(MATCH(IF(UPPER($M218)="UK","GB",$M218),'PRODUCT DATA'!$A$2:$A$58,0))),NOT(ISNA(MATCH(IF(UPPER($M218)="UK","GB",$M218),'PRODUCT DATA'!$B$2:$B$58,0)))),NOT(IFERROR(COUNTIF(OFFSET('PRODUCT DATA'!$F$2,0,MATCH($AC218,'PRODUCT DATA'!$F$1:$NN$1,0)-1,114,1),$N218)&gt;0,FALSE()))),IF(UPPER(IFERROR(OFFSET('PRODUCT DATA'!$C$2,MATCH($N218,'PRODUCT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"),"")&amp;IF($C218="","Enter Quantity. ","")&amp;IF(AND($C218&lt;&gt;"",OR(NOT(ISNUMBER($C218)),$C218&lt;1,$C218&gt;999,MOD($C218,1)&lt;&gt;0)),"Quantity must be a whole number from 1 to 999 (use a quantity above 1 only for a genuine bulk order of identical items to ONE address — otherwise use a separate row per recipient). ","")&amp;IF($D218="","Enter Recipient Name. ","")&amp;IF(LEN($D218)&gt;35,"Recipient Name exceeds 35 characters. ","")&amp;IF($E218="","Enter Recipient Phone. ","")&amp;IF(AND($E218&lt;&gt;"",OR(LEN($E218)&lt;6,LEN($E218)&gt;20,NOT(IFERROR(ISNUMBER(1*$E218),FALSE())))),"Phone must be the LOCAL number for the destination country: digits only, no +, spaces, or country code, 6 to 20 digits. ","")&amp;IF(LEN($F218)&gt;35,"Recipient Company Name exceeds 35 characters. ","")&amp;IF($G218="","Enter Address Line 1. ","")&amp;IF(LEN($G218)&gt;35,"Address Line 1 exceeds the 35-character SAP limit. ","")&amp;IF(LEN($H218)&gt;35,"Address Line 2 exceeds the 35-character SAP limit. ","")&amp;IF(LEN($I218)&gt;35,"Address Line 3 exceeds the 35-character SAP limit. ","")&amp;IF($J218="","Enter Town. This must never be left blank, even if there is no conventional town name. ","")&amp;IF(LEN($J218)&gt;35,"Town exceeds 35 characters. ","")&amp;IF(AND($N218="IE",$K218=""),"County is required for deliveries within the Republic of Ireland. ","")&amp;IF(LEN($AB218)&gt;35,"County exceeds 35 characters. ","")&amp;IF(AND($L218="",AND($N218&lt;&gt;"AE",$N218&lt;&gt;"QA")),"Postcode is required for the selected country. If there is genuinely no postcode, enter the first 3 characters of the area (e.g. D15). ","")&amp;IF(LEN($L218)&gt;35,"Postcode exceeds 35 characters. ","")&amp;IF($AE218&lt;&gt;"",$AE218,"")&amp;IF(LEN($O218)&gt;40,"Gift Message Line 1 exceeds 40 characters. ","")&amp;IF(LEN($P218)&gt;40,"Gift Message Line 2 exceeds 40 characters. ","")&amp;IF(LEN($Q218)&gt;40,"Gift Message Line 3 exceeds 40 characters. ","")&amp;IF(LEN($R218)&gt;40,"Gift Message Line 4 exceeds 40 characters. ","")&amp;IF(LEN($S218)&gt;40,"Gift Message Line 5 exceeds 40 characters. ","")&amp;IF(LEN($T218)&gt;40,"Gift Message Line 6 exceeds 40 characters. ","")&amp;IF(LEN($U218)&gt;40,"Gift Message Line 7 exceeds 40 characters. ",""))</f>
        <v/>
      </c>
      <c r="Y218" s="44" t="str">
        <f t="shared" si="13"/>
        <v/>
      </c>
      <c r="Z218" s="44"/>
      <c r="AA218" s="44"/>
      <c r="AB218" s="32" t="str">
        <f t="shared" si="14"/>
        <v/>
      </c>
      <c r="AC218" s="32" t="str">
        <f>IF($A218="","",IFERROR(LEFT(INDEX('PRODUCT DATA'!$NO$2:$NO$25,MATCH($A218,'PRODUCT DATA'!$NP$2:$NP$25,0)),FIND("|",INDEX('PRODUCT DATA'!$NO$2:$NO$25,MATCH($A218,'PRODUCT DATA'!$NP$2:$NP$25,0)))-1),$A218))</f>
        <v/>
      </c>
      <c r="AD218" s="45"/>
      <c r="AE218" s="45" t="str">
        <f t="shared" si="15"/>
        <v/>
      </c>
    </row>
    <row r="219" spans="1:31" ht="15" customHeight="1" x14ac:dyDescent="0.25">
      <c r="A219" s="40"/>
      <c r="B219" s="43" t="str">
        <f>IF($A219="","",IFERROR(VLOOKUP($AC219,'PRODUCT DATA'!$NR$2:$NS$374,2,FALSE()),"UNKNOWN ITEM CODE - please check"))</f>
        <v/>
      </c>
      <c r="C219" s="39">
        <v>1</v>
      </c>
      <c r="D219" s="39"/>
      <c r="E219" s="40"/>
      <c r="F219" s="41"/>
      <c r="G219" s="39"/>
      <c r="H219" s="41"/>
      <c r="I219" s="41"/>
      <c r="J219" s="39"/>
      <c r="K219" s="41"/>
      <c r="L219" s="40"/>
      <c r="M219" s="40"/>
      <c r="N219" s="42" t="str">
        <f>IF($M219="","",IFERROR(INDEX('PRODUCT DATA'!$B$2:$B$58,MATCH(IF(UPPER($M219)="UK","GB",$M219),'PRODUCT DATA'!$B$2:$B$58,0)),IFERROR(INDEX('PRODUCT DATA'!$B$2:$B$58,MATCH(IF(UPPER($M219)="UK","GB",$M219),'PRODUCT DATA'!$A$2:$A$58,0)),"UNKNOWN COUNTRY - please check")))</f>
        <v/>
      </c>
      <c r="O219" s="41"/>
      <c r="P219" s="41"/>
      <c r="Q219" s="41"/>
      <c r="R219" s="41"/>
      <c r="S219" s="41"/>
      <c r="T219" s="41"/>
      <c r="U219" s="41"/>
      <c r="V219" s="43" t="str">
        <f t="shared" si="12"/>
        <v/>
      </c>
      <c r="W219" s="44" t="str">
        <f ca="1">IF(COUNTA($A219,$D219:$M219,$O219:$U219)=0,"",IF($A219="","Item Code; ","")&amp;IF(AND($A219&lt;&gt;"",ISNA(MATCH($AC219,'PRODUCT DATA'!$D$2:$D$394,0))),"Item Code; ","")&amp;IF($M219="","Country; ","")&amp;IF(AND($M219&lt;&gt;"",NOT(OR(NOT(ISNA(MATCH(IF(UPPER($M219)="UK","GB",$M219),'PRODUCT DATA'!$A$2:$A$58,0))),NOT(ISNA(MATCH(IF(UPPER($M219)="UK","GB",$M219),'PRODUCT DATA'!$B$2:$B$58,0)))))),"Country; ","")&amp;IF(AND($A219&lt;&gt;"",$M219&lt;&gt;"",NOT(ISNA(MATCH($AC219,'PRODUCT DATA'!$D$2:$D$394,0))),OR(NOT(ISNA(MATCH(IF(UPPER($M219)="UK","GB",$M219),'PRODUCT DATA'!$A$2:$A$58,0))),NOT(ISNA(MATCH(IF(UPPER($M219)="UK","GB",$M219),'PRODUCT DATA'!$B$2:$B$58,0)))),NOT(IFERROR(COUNTIF(OFFSET('PRODUCT DATA'!$F$2,0,MATCH($AC219,'PRODUCT DATA'!$F$1:$NN$1,0)-1,114,1),$N219)&gt;0,FALSE()))),IF(UPPER(IFERROR(OFFSET('PRODUCT DATA'!$C$2,MATCH($N219,'PRODUCT DATA'!$B$2:$B$58,0)-1,0),""))="NO","Alcohol Restriction; ","Item Code / Country combination; "),"")&amp;IF($C219="","Quantity; ","")&amp;IF(AND($C219&lt;&gt;"",OR(NOT(ISNUMBER($C219)),$C219&lt;1,$C219&gt;999,MOD($C219,1)&lt;&gt;0)),"Quantity; ","")&amp;IF($D219="","Recipient Name; ","")&amp;IF(LEN($D219)&gt;35,"Recipient Name; ","")&amp;IF($E219="","Recipient Phone; ","")&amp;IF(AND($E219&lt;&gt;"",OR(LEN($E219)&lt;6,LEN($E219)&gt;20,NOT(IFERROR(ISNUMBER(1*$E219),FALSE())))),"Recipient Phone; ","")&amp;IF(LEN($F219)&gt;35,"Recipient Company Name; ","")&amp;IF($G219="","Address Line 1; ","")&amp;IF(LEN($G219)&gt;35,"Address Line 1; ","")&amp;IF(LEN($H219)&gt;35,"Address Line 2; ","")&amp;IF(LEN($I219)&gt;35,"Address Line 3; ","")&amp;IF($J219="","Town; ","")&amp;IF(LEN($J219)&gt;35,"Town; ","")&amp;IF(AND($N219="IE",$K219=""),"County; ","")&amp;IF(LEN($AB219)&gt;35,"County; ","")&amp;IF(AND($L219="",AND($N219&lt;&gt;"AE",$N219&lt;&gt;"QA")),"Postcode; ","")&amp;IF(LEN($L219)&gt;35,"Postcode; ","")&amp;IF($AE219&lt;&gt;"","Postcode; ","")&amp;IF(LEN($O219)&gt;40,"Gift Message 1; ","")&amp;IF(LEN($P219)&gt;40,"Gift Message 2; ","")&amp;IF(LEN($Q219)&gt;40,"Gift Message 3; ","")&amp;IF(LEN($R219)&gt;40,"Gift Message 4; ","")&amp;IF(LEN($S219)&gt;40,"Gift Message 5; ","")&amp;IF(LEN($T219)&gt;40,"Gift Message 6; ","")&amp;IF(LEN($U219)&gt;40,"Gift Message 7; ",""))</f>
        <v/>
      </c>
      <c r="X219" s="44" t="str">
        <f ca="1">IF(COUNTA($A219,$D219:$M219,$O219:$U219)=0,"",IF($A219="","Enter the Item Code (hamper) - type it, paste it, or choose it from the dropdown. ","")&amp;IF(AND($A219&lt;&gt;"",ISNA(MATCH($AC219,'PRODUCT DATA'!$D$2:$D$394,0))),"This Item Code is not recognised. Check the code (case does not matter, but spelling and digits must match exactly) or choose it from the dropdown. ","")&amp;IF($M219="","Enter the Country after the Item Code - type or paste the name or the 2-letter code, or choose it from the dropdown. ","")&amp;IF(AND($M219&lt;&gt;"",NOT(OR(NOT(ISNA(MATCH(IF(UPPER($M219)="UK","GB",$M219),'PRODUCT DATA'!$A$2:$A$58,0))),NOT(ISNA(MATCH(IF(UPPER($M219)="UK","GB",$M219),'PRODUCT DATA'!$B$2:$B$58,0)))))),"This Country is not recognised as either a full name or a 2-letter code. Check the spelling (case does not matter) or choose it from the dropdown. ","")&amp;IF(AND($A219&lt;&gt;"",$M219&lt;&gt;"",NOT(ISNA(MATCH($AC219,'PRODUCT DATA'!$D$2:$D$394,0))),OR(NOT(ISNA(MATCH(IF(UPPER($M219)="UK","GB",$M219),'PRODUCT DATA'!$A$2:$A$58,0))),NOT(ISNA(MATCH(IF(UPPER($M219)="UK","GB",$M219),'PRODUCT DATA'!$B$2:$B$58,0)))),NOT(IFERROR(COUNTIF(OFFSET('PRODUCT DATA'!$F$2,0,MATCH($AC219,'PRODUCT DATA'!$F$1:$NN$1,0)-1,114,1),$N219)&gt;0,FALSE()))),IF(UPPER(IFERROR(OFFSET('PRODUCT DATA'!$C$2,MATCH($N219,'PRODUCT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"),"")&amp;IF($C219="","Enter Quantity. ","")&amp;IF(AND($C219&lt;&gt;"",OR(NOT(ISNUMBER($C219)),$C219&lt;1,$C219&gt;999,MOD($C219,1)&lt;&gt;0)),"Quantity must be a whole number from 1 to 999 (use a quantity above 1 only for a genuine bulk order of identical items to ONE address — otherwise use a separate row per recipient). ","")&amp;IF($D219="","Enter Recipient Name. ","")&amp;IF(LEN($D219)&gt;35,"Recipient Name exceeds 35 characters. ","")&amp;IF($E219="","Enter Recipient Phone. ","")&amp;IF(AND($E219&lt;&gt;"",OR(LEN($E219)&lt;6,LEN($E219)&gt;20,NOT(IFERROR(ISNUMBER(1*$E219),FALSE())))),"Phone must be the LOCAL number for the destination country: digits only, no +, spaces, or country code, 6 to 20 digits. ","")&amp;IF(LEN($F219)&gt;35,"Recipient Company Name exceeds 35 characters. ","")&amp;IF($G219="","Enter Address Line 1. ","")&amp;IF(LEN($G219)&gt;35,"Address Line 1 exceeds the 35-character SAP limit. ","")&amp;IF(LEN($H219)&gt;35,"Address Line 2 exceeds the 35-character SAP limit. ","")&amp;IF(LEN($I219)&gt;35,"Address Line 3 exceeds the 35-character SAP limit. ","")&amp;IF($J219="","Enter Town. This must never be left blank, even if there is no conventional town name. ","")&amp;IF(LEN($J219)&gt;35,"Town exceeds 35 characters. ","")&amp;IF(AND($N219="IE",$K219=""),"County is required for deliveries within the Republic of Ireland. ","")&amp;IF(LEN($AB219)&gt;35,"County exceeds 35 characters. ","")&amp;IF(AND($L219="",AND($N219&lt;&gt;"AE",$N219&lt;&gt;"QA")),"Postcode is required for the selected country. If there is genuinely no postcode, enter the first 3 characters of the area (e.g. D15). ","")&amp;IF(LEN($L219)&gt;35,"Postcode exceeds 35 characters. ","")&amp;IF($AE219&lt;&gt;"",$AE219,"")&amp;IF(LEN($O219)&gt;40,"Gift Message Line 1 exceeds 40 characters. ","")&amp;IF(LEN($P219)&gt;40,"Gift Message Line 2 exceeds 40 characters. ","")&amp;IF(LEN($Q219)&gt;40,"Gift Message Line 3 exceeds 40 characters. ","")&amp;IF(LEN($R219)&gt;40,"Gift Message Line 4 exceeds 40 characters. ","")&amp;IF(LEN($S219)&gt;40,"Gift Message Line 5 exceeds 40 characters. ","")&amp;IF(LEN($T219)&gt;40,"Gift Message Line 6 exceeds 40 characters. ","")&amp;IF(LEN($U219)&gt;40,"Gift Message Line 7 exceeds 40 characters. ",""))</f>
        <v/>
      </c>
      <c r="Y219" s="44" t="str">
        <f t="shared" si="13"/>
        <v/>
      </c>
      <c r="Z219" s="44"/>
      <c r="AA219" s="44"/>
      <c r="AB219" s="32" t="str">
        <f t="shared" si="14"/>
        <v/>
      </c>
      <c r="AC219" s="32" t="str">
        <f>IF($A219="","",IFERROR(LEFT(INDEX('PRODUCT DATA'!$NO$2:$NO$25,MATCH($A219,'PRODUCT DATA'!$NP$2:$NP$25,0)),FIND("|",INDEX('PRODUCT DATA'!$NO$2:$NO$25,MATCH($A219,'PRODUCT DATA'!$NP$2:$NP$25,0)))-1),$A219))</f>
        <v/>
      </c>
      <c r="AD219" s="45"/>
      <c r="AE219" s="45" t="str">
        <f t="shared" si="15"/>
        <v/>
      </c>
    </row>
    <row r="220" spans="1:31" ht="15" customHeight="1" x14ac:dyDescent="0.25">
      <c r="A220" s="40"/>
      <c r="B220" s="43" t="str">
        <f>IF($A220="","",IFERROR(VLOOKUP($AC220,'PRODUCT DATA'!$NR$2:$NS$374,2,FALSE()),"UNKNOWN ITEM CODE - please check"))</f>
        <v/>
      </c>
      <c r="C220" s="39">
        <v>1</v>
      </c>
      <c r="D220" s="39"/>
      <c r="E220" s="40"/>
      <c r="F220" s="41"/>
      <c r="G220" s="39"/>
      <c r="H220" s="41"/>
      <c r="I220" s="41"/>
      <c r="J220" s="39"/>
      <c r="K220" s="41"/>
      <c r="L220" s="40"/>
      <c r="M220" s="40"/>
      <c r="N220" s="42" t="str">
        <f>IF($M220="","",IFERROR(INDEX('PRODUCT DATA'!$B$2:$B$58,MATCH(IF(UPPER($M220)="UK","GB",$M220),'PRODUCT DATA'!$B$2:$B$58,0)),IFERROR(INDEX('PRODUCT DATA'!$B$2:$B$58,MATCH(IF(UPPER($M220)="UK","GB",$M220),'PRODUCT DATA'!$A$2:$A$58,0)),"UNKNOWN COUNTRY - please check")))</f>
        <v/>
      </c>
      <c r="O220" s="41"/>
      <c r="P220" s="41"/>
      <c r="Q220" s="41"/>
      <c r="R220" s="41"/>
      <c r="S220" s="41"/>
      <c r="T220" s="41"/>
      <c r="U220" s="41"/>
      <c r="V220" s="43" t="str">
        <f t="shared" si="12"/>
        <v/>
      </c>
      <c r="W220" s="44" t="str">
        <f ca="1">IF(COUNTA($A220,$D220:$M220,$O220:$U220)=0,"",IF($A220="","Item Code; ","")&amp;IF(AND($A220&lt;&gt;"",ISNA(MATCH($AC220,'PRODUCT DATA'!$D$2:$D$394,0))),"Item Code; ","")&amp;IF($M220="","Country; ","")&amp;IF(AND($M220&lt;&gt;"",NOT(OR(NOT(ISNA(MATCH(IF(UPPER($M220)="UK","GB",$M220),'PRODUCT DATA'!$A$2:$A$58,0))),NOT(ISNA(MATCH(IF(UPPER($M220)="UK","GB",$M220),'PRODUCT DATA'!$B$2:$B$58,0)))))),"Country; ","")&amp;IF(AND($A220&lt;&gt;"",$M220&lt;&gt;"",NOT(ISNA(MATCH($AC220,'PRODUCT DATA'!$D$2:$D$394,0))),OR(NOT(ISNA(MATCH(IF(UPPER($M220)="UK","GB",$M220),'PRODUCT DATA'!$A$2:$A$58,0))),NOT(ISNA(MATCH(IF(UPPER($M220)="UK","GB",$M220),'PRODUCT DATA'!$B$2:$B$58,0)))),NOT(IFERROR(COUNTIF(OFFSET('PRODUCT DATA'!$F$2,0,MATCH($AC220,'PRODUCT DATA'!$F$1:$NN$1,0)-1,114,1),$N220)&gt;0,FALSE()))),IF(UPPER(IFERROR(OFFSET('PRODUCT DATA'!$C$2,MATCH($N220,'PRODUCT DATA'!$B$2:$B$58,0)-1,0),""))="NO","Alcohol Restriction; ","Item Code / Country combination; "),"")&amp;IF($C220="","Quantity; ","")&amp;IF(AND($C220&lt;&gt;"",OR(NOT(ISNUMBER($C220)),$C220&lt;1,$C220&gt;999,MOD($C220,1)&lt;&gt;0)),"Quantity; ","")&amp;IF($D220="","Recipient Name; ","")&amp;IF(LEN($D220)&gt;35,"Recipient Name; ","")&amp;IF($E220="","Recipient Phone; ","")&amp;IF(AND($E220&lt;&gt;"",OR(LEN($E220)&lt;6,LEN($E220)&gt;20,NOT(IFERROR(ISNUMBER(1*$E220),FALSE())))),"Recipient Phone; ","")&amp;IF(LEN($F220)&gt;35,"Recipient Company Name; ","")&amp;IF($G220="","Address Line 1; ","")&amp;IF(LEN($G220)&gt;35,"Address Line 1; ","")&amp;IF(LEN($H220)&gt;35,"Address Line 2; ","")&amp;IF(LEN($I220)&gt;35,"Address Line 3; ","")&amp;IF($J220="","Town; ","")&amp;IF(LEN($J220)&gt;35,"Town; ","")&amp;IF(AND($N220="IE",$K220=""),"County; ","")&amp;IF(LEN($AB220)&gt;35,"County; ","")&amp;IF(AND($L220="",AND($N220&lt;&gt;"AE",$N220&lt;&gt;"QA")),"Postcode; ","")&amp;IF(LEN($L220)&gt;35,"Postcode; ","")&amp;IF($AE220&lt;&gt;"","Postcode; ","")&amp;IF(LEN($O220)&gt;40,"Gift Message 1; ","")&amp;IF(LEN($P220)&gt;40,"Gift Message 2; ","")&amp;IF(LEN($Q220)&gt;40,"Gift Message 3; ","")&amp;IF(LEN($R220)&gt;40,"Gift Message 4; ","")&amp;IF(LEN($S220)&gt;40,"Gift Message 5; ","")&amp;IF(LEN($T220)&gt;40,"Gift Message 6; ","")&amp;IF(LEN($U220)&gt;40,"Gift Message 7; ",""))</f>
        <v/>
      </c>
      <c r="X220" s="44" t="str">
        <f ca="1">IF(COUNTA($A220,$D220:$M220,$O220:$U220)=0,"",IF($A220="","Enter the Item Code (hamper) - type it, paste it, or choose it from the dropdown. ","")&amp;IF(AND($A220&lt;&gt;"",ISNA(MATCH($AC220,'PRODUCT DATA'!$D$2:$D$394,0))),"This Item Code is not recognised. Check the code (case does not matter, but spelling and digits must match exactly) or choose it from the dropdown. ","")&amp;IF($M220="","Enter the Country after the Item Code - type or paste the name or the 2-letter code, or choose it from the dropdown. ","")&amp;IF(AND($M220&lt;&gt;"",NOT(OR(NOT(ISNA(MATCH(IF(UPPER($M220)="UK","GB",$M220),'PRODUCT DATA'!$A$2:$A$58,0))),NOT(ISNA(MATCH(IF(UPPER($M220)="UK","GB",$M220),'PRODUCT DATA'!$B$2:$B$58,0)))))),"This Country is not recognised as either a full name or a 2-letter code. Check the spelling (case does not matter) or choose it from the dropdown. ","")&amp;IF(AND($A220&lt;&gt;"",$M220&lt;&gt;"",NOT(ISNA(MATCH($AC220,'PRODUCT DATA'!$D$2:$D$394,0))),OR(NOT(ISNA(MATCH(IF(UPPER($M220)="UK","GB",$M220),'PRODUCT DATA'!$A$2:$A$58,0))),NOT(ISNA(MATCH(IF(UPPER($M220)="UK","GB",$M220),'PRODUCT DATA'!$B$2:$B$58,0)))),NOT(IFERROR(COUNTIF(OFFSET('PRODUCT DATA'!$F$2,0,MATCH($AC220,'PRODUCT DATA'!$F$1:$NN$1,0)-1,114,1),$N220)&gt;0,FALSE()))),IF(UPPER(IFERROR(OFFSET('PRODUCT DATA'!$C$2,MATCH($N220,'PRODUCT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"),"")&amp;IF($C220="","Enter Quantity. ","")&amp;IF(AND($C220&lt;&gt;"",OR(NOT(ISNUMBER($C220)),$C220&lt;1,$C220&gt;999,MOD($C220,1)&lt;&gt;0)),"Quantity must be a whole number from 1 to 999 (use a quantity above 1 only for a genuine bulk order of identical items to ONE address — otherwise use a separate row per recipient). ","")&amp;IF($D220="","Enter Recipient Name. ","")&amp;IF(LEN($D220)&gt;35,"Recipient Name exceeds 35 characters. ","")&amp;IF($E220="","Enter Recipient Phone. ","")&amp;IF(AND($E220&lt;&gt;"",OR(LEN($E220)&lt;6,LEN($E220)&gt;20,NOT(IFERROR(ISNUMBER(1*$E220),FALSE())))),"Phone must be the LOCAL number for the destination country: digits only, no +, spaces, or country code, 6 to 20 digits. ","")&amp;IF(LEN($F220)&gt;35,"Recipient Company Name exceeds 35 characters. ","")&amp;IF($G220="","Enter Address Line 1. ","")&amp;IF(LEN($G220)&gt;35,"Address Line 1 exceeds the 35-character SAP limit. ","")&amp;IF(LEN($H220)&gt;35,"Address Line 2 exceeds the 35-character SAP limit. ","")&amp;IF(LEN($I220)&gt;35,"Address Line 3 exceeds the 35-character SAP limit. ","")&amp;IF($J220="","Enter Town. This must never be left blank, even if there is no conventional town name. ","")&amp;IF(LEN($J220)&gt;35,"Town exceeds 35 characters. ","")&amp;IF(AND($N220="IE",$K220=""),"County is required for deliveries within the Republic of Ireland. ","")&amp;IF(LEN($AB220)&gt;35,"County exceeds 35 characters. ","")&amp;IF(AND($L220="",AND($N220&lt;&gt;"AE",$N220&lt;&gt;"QA")),"Postcode is required for the selected country. If there is genuinely no postcode, enter the first 3 characters of the area (e.g. D15). ","")&amp;IF(LEN($L220)&gt;35,"Postcode exceeds 35 characters. ","")&amp;IF($AE220&lt;&gt;"",$AE220,"")&amp;IF(LEN($O220)&gt;40,"Gift Message Line 1 exceeds 40 characters. ","")&amp;IF(LEN($P220)&gt;40,"Gift Message Line 2 exceeds 40 characters. ","")&amp;IF(LEN($Q220)&gt;40,"Gift Message Line 3 exceeds 40 characters. ","")&amp;IF(LEN($R220)&gt;40,"Gift Message Line 4 exceeds 40 characters. ","")&amp;IF(LEN($S220)&gt;40,"Gift Message Line 5 exceeds 40 characters. ","")&amp;IF(LEN($T220)&gt;40,"Gift Message Line 6 exceeds 40 characters. ","")&amp;IF(LEN($U220)&gt;40,"Gift Message Line 7 exceeds 40 characters. ",""))</f>
        <v/>
      </c>
      <c r="Y220" s="44" t="str">
        <f t="shared" si="13"/>
        <v/>
      </c>
      <c r="Z220" s="44"/>
      <c r="AA220" s="44"/>
      <c r="AB220" s="32" t="str">
        <f t="shared" si="14"/>
        <v/>
      </c>
      <c r="AC220" s="32" t="str">
        <f>IF($A220="","",IFERROR(LEFT(INDEX('PRODUCT DATA'!$NO$2:$NO$25,MATCH($A220,'PRODUCT DATA'!$NP$2:$NP$25,0)),FIND("|",INDEX('PRODUCT DATA'!$NO$2:$NO$25,MATCH($A220,'PRODUCT DATA'!$NP$2:$NP$25,0)))-1),$A220))</f>
        <v/>
      </c>
      <c r="AD220" s="45"/>
      <c r="AE220" s="45" t="str">
        <f t="shared" si="15"/>
        <v/>
      </c>
    </row>
    <row r="221" spans="1:31" ht="15" customHeight="1" x14ac:dyDescent="0.25">
      <c r="A221" s="40"/>
      <c r="B221" s="43" t="str">
        <f>IF($A221="","",IFERROR(VLOOKUP($AC221,'PRODUCT DATA'!$NR$2:$NS$374,2,FALSE()),"UNKNOWN ITEM CODE - please check"))</f>
        <v/>
      </c>
      <c r="C221" s="39">
        <v>1</v>
      </c>
      <c r="D221" s="39"/>
      <c r="E221" s="40"/>
      <c r="F221" s="41"/>
      <c r="G221" s="39"/>
      <c r="H221" s="41"/>
      <c r="I221" s="41"/>
      <c r="J221" s="39"/>
      <c r="K221" s="41"/>
      <c r="L221" s="40"/>
      <c r="M221" s="40"/>
      <c r="N221" s="42" t="str">
        <f>IF($M221="","",IFERROR(INDEX('PRODUCT DATA'!$B$2:$B$58,MATCH(IF(UPPER($M221)="UK","GB",$M221),'PRODUCT DATA'!$B$2:$B$58,0)),IFERROR(INDEX('PRODUCT DATA'!$B$2:$B$58,MATCH(IF(UPPER($M221)="UK","GB",$M221),'PRODUCT DATA'!$A$2:$A$58,0)),"UNKNOWN COUNTRY - please check")))</f>
        <v/>
      </c>
      <c r="O221" s="41"/>
      <c r="P221" s="41"/>
      <c r="Q221" s="41"/>
      <c r="R221" s="41"/>
      <c r="S221" s="41"/>
      <c r="T221" s="41"/>
      <c r="U221" s="41"/>
      <c r="V221" s="43" t="str">
        <f t="shared" si="12"/>
        <v/>
      </c>
      <c r="W221" s="44" t="str">
        <f ca="1">IF(COUNTA($A221,$D221:$M221,$O221:$U221)=0,"",IF($A221="","Item Code; ","")&amp;IF(AND($A221&lt;&gt;"",ISNA(MATCH($AC221,'PRODUCT DATA'!$D$2:$D$394,0))),"Item Code; ","")&amp;IF($M221="","Country; ","")&amp;IF(AND($M221&lt;&gt;"",NOT(OR(NOT(ISNA(MATCH(IF(UPPER($M221)="UK","GB",$M221),'PRODUCT DATA'!$A$2:$A$58,0))),NOT(ISNA(MATCH(IF(UPPER($M221)="UK","GB",$M221),'PRODUCT DATA'!$B$2:$B$58,0)))))),"Country; ","")&amp;IF(AND($A221&lt;&gt;"",$M221&lt;&gt;"",NOT(ISNA(MATCH($AC221,'PRODUCT DATA'!$D$2:$D$394,0))),OR(NOT(ISNA(MATCH(IF(UPPER($M221)="UK","GB",$M221),'PRODUCT DATA'!$A$2:$A$58,0))),NOT(ISNA(MATCH(IF(UPPER($M221)="UK","GB",$M221),'PRODUCT DATA'!$B$2:$B$58,0)))),NOT(IFERROR(COUNTIF(OFFSET('PRODUCT DATA'!$F$2,0,MATCH($AC221,'PRODUCT DATA'!$F$1:$NN$1,0)-1,114,1),$N221)&gt;0,FALSE()))),IF(UPPER(IFERROR(OFFSET('PRODUCT DATA'!$C$2,MATCH($N221,'PRODUCT DATA'!$B$2:$B$58,0)-1,0),""))="NO","Alcohol Restriction; ","Item Code / Country combination; "),"")&amp;IF($C221="","Quantity; ","")&amp;IF(AND($C221&lt;&gt;"",OR(NOT(ISNUMBER($C221)),$C221&lt;1,$C221&gt;999,MOD($C221,1)&lt;&gt;0)),"Quantity; ","")&amp;IF($D221="","Recipient Name; ","")&amp;IF(LEN($D221)&gt;35,"Recipient Name; ","")&amp;IF($E221="","Recipient Phone; ","")&amp;IF(AND($E221&lt;&gt;"",OR(LEN($E221)&lt;6,LEN($E221)&gt;20,NOT(IFERROR(ISNUMBER(1*$E221),FALSE())))),"Recipient Phone; ","")&amp;IF(LEN($F221)&gt;35,"Recipient Company Name; ","")&amp;IF($G221="","Address Line 1; ","")&amp;IF(LEN($G221)&gt;35,"Address Line 1; ","")&amp;IF(LEN($H221)&gt;35,"Address Line 2; ","")&amp;IF(LEN($I221)&gt;35,"Address Line 3; ","")&amp;IF($J221="","Town; ","")&amp;IF(LEN($J221)&gt;35,"Town; ","")&amp;IF(AND($N221="IE",$K221=""),"County; ","")&amp;IF(LEN($AB221)&gt;35,"County; ","")&amp;IF(AND($L221="",AND($N221&lt;&gt;"AE",$N221&lt;&gt;"QA")),"Postcode; ","")&amp;IF(LEN($L221)&gt;35,"Postcode; ","")&amp;IF($AE221&lt;&gt;"","Postcode; ","")&amp;IF(LEN($O221)&gt;40,"Gift Message 1; ","")&amp;IF(LEN($P221)&gt;40,"Gift Message 2; ","")&amp;IF(LEN($Q221)&gt;40,"Gift Message 3; ","")&amp;IF(LEN($R221)&gt;40,"Gift Message 4; ","")&amp;IF(LEN($S221)&gt;40,"Gift Message 5; ","")&amp;IF(LEN($T221)&gt;40,"Gift Message 6; ","")&amp;IF(LEN($U221)&gt;40,"Gift Message 7; ",""))</f>
        <v/>
      </c>
      <c r="X221" s="44" t="str">
        <f ca="1">IF(COUNTA($A221,$D221:$M221,$O221:$U221)=0,"",IF($A221="","Enter the Item Code (hamper) - type it, paste it, or choose it from the dropdown. ","")&amp;IF(AND($A221&lt;&gt;"",ISNA(MATCH($AC221,'PRODUCT DATA'!$D$2:$D$394,0))),"This Item Code is not recognised. Check the code (case does not matter, but spelling and digits must match exactly) or choose it from the dropdown. ","")&amp;IF($M221="","Enter the Country after the Item Code - type or paste the name or the 2-letter code, or choose it from the dropdown. ","")&amp;IF(AND($M221&lt;&gt;"",NOT(OR(NOT(ISNA(MATCH(IF(UPPER($M221)="UK","GB",$M221),'PRODUCT DATA'!$A$2:$A$58,0))),NOT(ISNA(MATCH(IF(UPPER($M221)="UK","GB",$M221),'PRODUCT DATA'!$B$2:$B$58,0)))))),"This Country is not recognised as either a full name or a 2-letter code. Check the spelling (case does not matter) or choose it from the dropdown. ","")&amp;IF(AND($A221&lt;&gt;"",$M221&lt;&gt;"",NOT(ISNA(MATCH($AC221,'PRODUCT DATA'!$D$2:$D$394,0))),OR(NOT(ISNA(MATCH(IF(UPPER($M221)="UK","GB",$M221),'PRODUCT DATA'!$A$2:$A$58,0))),NOT(ISNA(MATCH(IF(UPPER($M221)="UK","GB",$M221),'PRODUCT DATA'!$B$2:$B$58,0)))),NOT(IFERROR(COUNTIF(OFFSET('PRODUCT DATA'!$F$2,0,MATCH($AC221,'PRODUCT DATA'!$F$1:$NN$1,0)-1,114,1),$N221)&gt;0,FALSE()))),IF(UPPER(IFERROR(OFFSET('PRODUCT DATA'!$C$2,MATCH($N221,'PRODUCT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"),"")&amp;IF($C221="","Enter Quantity. ","")&amp;IF(AND($C221&lt;&gt;"",OR(NOT(ISNUMBER($C221)),$C221&lt;1,$C221&gt;999,MOD($C221,1)&lt;&gt;0)),"Quantity must be a whole number from 1 to 999 (use a quantity above 1 only for a genuine bulk order of identical items to ONE address — otherwise use a separate row per recipient). ","")&amp;IF($D221="","Enter Recipient Name. ","")&amp;IF(LEN($D221)&gt;35,"Recipient Name exceeds 35 characters. ","")&amp;IF($E221="","Enter Recipient Phone. ","")&amp;IF(AND($E221&lt;&gt;"",OR(LEN($E221)&lt;6,LEN($E221)&gt;20,NOT(IFERROR(ISNUMBER(1*$E221),FALSE())))),"Phone must be the LOCAL number for the destination country: digits only, no +, spaces, or country code, 6 to 20 digits. ","")&amp;IF(LEN($F221)&gt;35,"Recipient Company Name exceeds 35 characters. ","")&amp;IF($G221="","Enter Address Line 1. ","")&amp;IF(LEN($G221)&gt;35,"Address Line 1 exceeds the 35-character SAP limit. ","")&amp;IF(LEN($H221)&gt;35,"Address Line 2 exceeds the 35-character SAP limit. ","")&amp;IF(LEN($I221)&gt;35,"Address Line 3 exceeds the 35-character SAP limit. ","")&amp;IF($J221="","Enter Town. This must never be left blank, even if there is no conventional town name. ","")&amp;IF(LEN($J221)&gt;35,"Town exceeds 35 characters. ","")&amp;IF(AND($N221="IE",$K221=""),"County is required for deliveries within the Republic of Ireland. ","")&amp;IF(LEN($AB221)&gt;35,"County exceeds 35 characters. ","")&amp;IF(AND($L221="",AND($N221&lt;&gt;"AE",$N221&lt;&gt;"QA")),"Postcode is required for the selected country. If there is genuinely no postcode, enter the first 3 characters of the area (e.g. D15). ","")&amp;IF(LEN($L221)&gt;35,"Postcode exceeds 35 characters. ","")&amp;IF($AE221&lt;&gt;"",$AE221,"")&amp;IF(LEN($O221)&gt;40,"Gift Message Line 1 exceeds 40 characters. ","")&amp;IF(LEN($P221)&gt;40,"Gift Message Line 2 exceeds 40 characters. ","")&amp;IF(LEN($Q221)&gt;40,"Gift Message Line 3 exceeds 40 characters. ","")&amp;IF(LEN($R221)&gt;40,"Gift Message Line 4 exceeds 40 characters. ","")&amp;IF(LEN($S221)&gt;40,"Gift Message Line 5 exceeds 40 characters. ","")&amp;IF(LEN($T221)&gt;40,"Gift Message Line 6 exceeds 40 characters. ","")&amp;IF(LEN($U221)&gt;40,"Gift Message Line 7 exceeds 40 characters. ",""))</f>
        <v/>
      </c>
      <c r="Y221" s="44" t="str">
        <f t="shared" si="13"/>
        <v/>
      </c>
      <c r="Z221" s="44"/>
      <c r="AA221" s="44"/>
      <c r="AB221" s="32" t="str">
        <f t="shared" si="14"/>
        <v/>
      </c>
      <c r="AC221" s="32" t="str">
        <f>IF($A221="","",IFERROR(LEFT(INDEX('PRODUCT DATA'!$NO$2:$NO$25,MATCH($A221,'PRODUCT DATA'!$NP$2:$NP$25,0)),FIND("|",INDEX('PRODUCT DATA'!$NO$2:$NO$25,MATCH($A221,'PRODUCT DATA'!$NP$2:$NP$25,0)))-1),$A221))</f>
        <v/>
      </c>
      <c r="AD221" s="45"/>
      <c r="AE221" s="45" t="str">
        <f t="shared" si="15"/>
        <v/>
      </c>
    </row>
    <row r="222" spans="1:31" ht="15" customHeight="1" x14ac:dyDescent="0.25">
      <c r="A222" s="40"/>
      <c r="B222" s="43" t="str">
        <f>IF($A222="","",IFERROR(VLOOKUP($AC222,'PRODUCT DATA'!$NR$2:$NS$374,2,FALSE()),"UNKNOWN ITEM CODE - please check"))</f>
        <v/>
      </c>
      <c r="C222" s="39">
        <v>1</v>
      </c>
      <c r="D222" s="39"/>
      <c r="E222" s="40"/>
      <c r="F222" s="41"/>
      <c r="G222" s="39"/>
      <c r="H222" s="41"/>
      <c r="I222" s="41"/>
      <c r="J222" s="39"/>
      <c r="K222" s="41"/>
      <c r="L222" s="40"/>
      <c r="M222" s="40"/>
      <c r="N222" s="42" t="str">
        <f>IF($M222="","",IFERROR(INDEX('PRODUCT DATA'!$B$2:$B$58,MATCH(IF(UPPER($M222)="UK","GB",$M222),'PRODUCT DATA'!$B$2:$B$58,0)),IFERROR(INDEX('PRODUCT DATA'!$B$2:$B$58,MATCH(IF(UPPER($M222)="UK","GB",$M222),'PRODUCT DATA'!$A$2:$A$58,0)),"UNKNOWN COUNTRY - please check")))</f>
        <v/>
      </c>
      <c r="O222" s="41"/>
      <c r="P222" s="41"/>
      <c r="Q222" s="41"/>
      <c r="R222" s="41"/>
      <c r="S222" s="41"/>
      <c r="T222" s="41"/>
      <c r="U222" s="41"/>
      <c r="V222" s="43" t="str">
        <f t="shared" si="12"/>
        <v/>
      </c>
      <c r="W222" s="44" t="str">
        <f ca="1">IF(COUNTA($A222,$D222:$M222,$O222:$U222)=0,"",IF($A222="","Item Code; ","")&amp;IF(AND($A222&lt;&gt;"",ISNA(MATCH($AC222,'PRODUCT DATA'!$D$2:$D$394,0))),"Item Code; ","")&amp;IF($M222="","Country; ","")&amp;IF(AND($M222&lt;&gt;"",NOT(OR(NOT(ISNA(MATCH(IF(UPPER($M222)="UK","GB",$M222),'PRODUCT DATA'!$A$2:$A$58,0))),NOT(ISNA(MATCH(IF(UPPER($M222)="UK","GB",$M222),'PRODUCT DATA'!$B$2:$B$58,0)))))),"Country; ","")&amp;IF(AND($A222&lt;&gt;"",$M222&lt;&gt;"",NOT(ISNA(MATCH($AC222,'PRODUCT DATA'!$D$2:$D$394,0))),OR(NOT(ISNA(MATCH(IF(UPPER($M222)="UK","GB",$M222),'PRODUCT DATA'!$A$2:$A$58,0))),NOT(ISNA(MATCH(IF(UPPER($M222)="UK","GB",$M222),'PRODUCT DATA'!$B$2:$B$58,0)))),NOT(IFERROR(COUNTIF(OFFSET('PRODUCT DATA'!$F$2,0,MATCH($AC222,'PRODUCT DATA'!$F$1:$NN$1,0)-1,114,1),$N222)&gt;0,FALSE()))),IF(UPPER(IFERROR(OFFSET('PRODUCT DATA'!$C$2,MATCH($N222,'PRODUCT DATA'!$B$2:$B$58,0)-1,0),""))="NO","Alcohol Restriction; ","Item Code / Country combination; "),"")&amp;IF($C222="","Quantity; ","")&amp;IF(AND($C222&lt;&gt;"",OR(NOT(ISNUMBER($C222)),$C222&lt;1,$C222&gt;999,MOD($C222,1)&lt;&gt;0)),"Quantity; ","")&amp;IF($D222="","Recipient Name; ","")&amp;IF(LEN($D222)&gt;35,"Recipient Name; ","")&amp;IF($E222="","Recipient Phone; ","")&amp;IF(AND($E222&lt;&gt;"",OR(LEN($E222)&lt;6,LEN($E222)&gt;20,NOT(IFERROR(ISNUMBER(1*$E222),FALSE())))),"Recipient Phone; ","")&amp;IF(LEN($F222)&gt;35,"Recipient Company Name; ","")&amp;IF($G222="","Address Line 1; ","")&amp;IF(LEN($G222)&gt;35,"Address Line 1; ","")&amp;IF(LEN($H222)&gt;35,"Address Line 2; ","")&amp;IF(LEN($I222)&gt;35,"Address Line 3; ","")&amp;IF($J222="","Town; ","")&amp;IF(LEN($J222)&gt;35,"Town; ","")&amp;IF(AND($N222="IE",$K222=""),"County; ","")&amp;IF(LEN($AB222)&gt;35,"County; ","")&amp;IF(AND($L222="",AND($N222&lt;&gt;"AE",$N222&lt;&gt;"QA")),"Postcode; ","")&amp;IF(LEN($L222)&gt;35,"Postcode; ","")&amp;IF($AE222&lt;&gt;"","Postcode; ","")&amp;IF(LEN($O222)&gt;40,"Gift Message 1; ","")&amp;IF(LEN($P222)&gt;40,"Gift Message 2; ","")&amp;IF(LEN($Q222)&gt;40,"Gift Message 3; ","")&amp;IF(LEN($R222)&gt;40,"Gift Message 4; ","")&amp;IF(LEN($S222)&gt;40,"Gift Message 5; ","")&amp;IF(LEN($T222)&gt;40,"Gift Message 6; ","")&amp;IF(LEN($U222)&gt;40,"Gift Message 7; ",""))</f>
        <v/>
      </c>
      <c r="X222" s="44" t="str">
        <f ca="1">IF(COUNTA($A222,$D222:$M222,$O222:$U222)=0,"",IF($A222="","Enter the Item Code (hamper) - type it, paste it, or choose it from the dropdown. ","")&amp;IF(AND($A222&lt;&gt;"",ISNA(MATCH($AC222,'PRODUCT DATA'!$D$2:$D$394,0))),"This Item Code is not recognised. Check the code (case does not matter, but spelling and digits must match exactly) or choose it from the dropdown. ","")&amp;IF($M222="","Enter the Country after the Item Code - type or paste the name or the 2-letter code, or choose it from the dropdown. ","")&amp;IF(AND($M222&lt;&gt;"",NOT(OR(NOT(ISNA(MATCH(IF(UPPER($M222)="UK","GB",$M222),'PRODUCT DATA'!$A$2:$A$58,0))),NOT(ISNA(MATCH(IF(UPPER($M222)="UK","GB",$M222),'PRODUCT DATA'!$B$2:$B$58,0)))))),"This Country is not recognised as either a full name or a 2-letter code. Check the spelling (case does not matter) or choose it from the dropdown. ","")&amp;IF(AND($A222&lt;&gt;"",$M222&lt;&gt;"",NOT(ISNA(MATCH($AC222,'PRODUCT DATA'!$D$2:$D$394,0))),OR(NOT(ISNA(MATCH(IF(UPPER($M222)="UK","GB",$M222),'PRODUCT DATA'!$A$2:$A$58,0))),NOT(ISNA(MATCH(IF(UPPER($M222)="UK","GB",$M222),'PRODUCT DATA'!$B$2:$B$58,0)))),NOT(IFERROR(COUNTIF(OFFSET('PRODUCT DATA'!$F$2,0,MATCH($AC222,'PRODUCT DATA'!$F$1:$NN$1,0)-1,114,1),$N222)&gt;0,FALSE()))),IF(UPPER(IFERROR(OFFSET('PRODUCT DATA'!$C$2,MATCH($N222,'PRODUCT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"),"")&amp;IF($C222="","Enter Quantity. ","")&amp;IF(AND($C222&lt;&gt;"",OR(NOT(ISNUMBER($C222)),$C222&lt;1,$C222&gt;999,MOD($C222,1)&lt;&gt;0)),"Quantity must be a whole number from 1 to 999 (use a quantity above 1 only for a genuine bulk order of identical items to ONE address — otherwise use a separate row per recipient). ","")&amp;IF($D222="","Enter Recipient Name. ","")&amp;IF(LEN($D222)&gt;35,"Recipient Name exceeds 35 characters. ","")&amp;IF($E222="","Enter Recipient Phone. ","")&amp;IF(AND($E222&lt;&gt;"",OR(LEN($E222)&lt;6,LEN($E222)&gt;20,NOT(IFERROR(ISNUMBER(1*$E222),FALSE())))),"Phone must be the LOCAL number for the destination country: digits only, no +, spaces, or country code, 6 to 20 digits. ","")&amp;IF(LEN($F222)&gt;35,"Recipient Company Name exceeds 35 characters. ","")&amp;IF($G222="","Enter Address Line 1. ","")&amp;IF(LEN($G222)&gt;35,"Address Line 1 exceeds the 35-character SAP limit. ","")&amp;IF(LEN($H222)&gt;35,"Address Line 2 exceeds the 35-character SAP limit. ","")&amp;IF(LEN($I222)&gt;35,"Address Line 3 exceeds the 35-character SAP limit. ","")&amp;IF($J222="","Enter Town. This must never be left blank, even if there is no conventional town name. ","")&amp;IF(LEN($J222)&gt;35,"Town exceeds 35 characters. ","")&amp;IF(AND($N222="IE",$K222=""),"County is required for deliveries within the Republic of Ireland. ","")&amp;IF(LEN($AB222)&gt;35,"County exceeds 35 characters. ","")&amp;IF(AND($L222="",AND($N222&lt;&gt;"AE",$N222&lt;&gt;"QA")),"Postcode is required for the selected country. If there is genuinely no postcode, enter the first 3 characters of the area (e.g. D15). ","")&amp;IF(LEN($L222)&gt;35,"Postcode exceeds 35 characters. ","")&amp;IF($AE222&lt;&gt;"",$AE222,"")&amp;IF(LEN($O222)&gt;40,"Gift Message Line 1 exceeds 40 characters. ","")&amp;IF(LEN($P222)&gt;40,"Gift Message Line 2 exceeds 40 characters. ","")&amp;IF(LEN($Q222)&gt;40,"Gift Message Line 3 exceeds 40 characters. ","")&amp;IF(LEN($R222)&gt;40,"Gift Message Line 4 exceeds 40 characters. ","")&amp;IF(LEN($S222)&gt;40,"Gift Message Line 5 exceeds 40 characters. ","")&amp;IF(LEN($T222)&gt;40,"Gift Message Line 6 exceeds 40 characters. ","")&amp;IF(LEN($U222)&gt;40,"Gift Message Line 7 exceeds 40 characters. ",""))</f>
        <v/>
      </c>
      <c r="Y222" s="44" t="str">
        <f t="shared" si="13"/>
        <v/>
      </c>
      <c r="Z222" s="44"/>
      <c r="AA222" s="44"/>
      <c r="AB222" s="32" t="str">
        <f t="shared" si="14"/>
        <v/>
      </c>
      <c r="AC222" s="32" t="str">
        <f>IF($A222="","",IFERROR(LEFT(INDEX('PRODUCT DATA'!$NO$2:$NO$25,MATCH($A222,'PRODUCT DATA'!$NP$2:$NP$25,0)),FIND("|",INDEX('PRODUCT DATA'!$NO$2:$NO$25,MATCH($A222,'PRODUCT DATA'!$NP$2:$NP$25,0)))-1),$A222))</f>
        <v/>
      </c>
      <c r="AD222" s="45"/>
      <c r="AE222" s="45" t="str">
        <f t="shared" si="15"/>
        <v/>
      </c>
    </row>
    <row r="223" spans="1:31" ht="15" customHeight="1" x14ac:dyDescent="0.25">
      <c r="A223" s="40"/>
      <c r="B223" s="43" t="str">
        <f>IF($A223="","",IFERROR(VLOOKUP($AC223,'PRODUCT DATA'!$NR$2:$NS$374,2,FALSE()),"UNKNOWN ITEM CODE - please check"))</f>
        <v/>
      </c>
      <c r="C223" s="39">
        <v>1</v>
      </c>
      <c r="D223" s="39"/>
      <c r="E223" s="40"/>
      <c r="F223" s="41"/>
      <c r="G223" s="39"/>
      <c r="H223" s="41"/>
      <c r="I223" s="41"/>
      <c r="J223" s="39"/>
      <c r="K223" s="41"/>
      <c r="L223" s="40"/>
      <c r="M223" s="40"/>
      <c r="N223" s="42" t="str">
        <f>IF($M223="","",IFERROR(INDEX('PRODUCT DATA'!$B$2:$B$58,MATCH(IF(UPPER($M223)="UK","GB",$M223),'PRODUCT DATA'!$B$2:$B$58,0)),IFERROR(INDEX('PRODUCT DATA'!$B$2:$B$58,MATCH(IF(UPPER($M223)="UK","GB",$M223),'PRODUCT DATA'!$A$2:$A$58,0)),"UNKNOWN COUNTRY - please check")))</f>
        <v/>
      </c>
      <c r="O223" s="41"/>
      <c r="P223" s="41"/>
      <c r="Q223" s="41"/>
      <c r="R223" s="41"/>
      <c r="S223" s="41"/>
      <c r="T223" s="41"/>
      <c r="U223" s="41"/>
      <c r="V223" s="43" t="str">
        <f t="shared" si="12"/>
        <v/>
      </c>
      <c r="W223" s="44" t="str">
        <f ca="1">IF(COUNTA($A223,$D223:$M223,$O223:$U223)=0,"",IF($A223="","Item Code; ","")&amp;IF(AND($A223&lt;&gt;"",ISNA(MATCH($AC223,'PRODUCT DATA'!$D$2:$D$394,0))),"Item Code; ","")&amp;IF($M223="","Country; ","")&amp;IF(AND($M223&lt;&gt;"",NOT(OR(NOT(ISNA(MATCH(IF(UPPER($M223)="UK","GB",$M223),'PRODUCT DATA'!$A$2:$A$58,0))),NOT(ISNA(MATCH(IF(UPPER($M223)="UK","GB",$M223),'PRODUCT DATA'!$B$2:$B$58,0)))))),"Country; ","")&amp;IF(AND($A223&lt;&gt;"",$M223&lt;&gt;"",NOT(ISNA(MATCH($AC223,'PRODUCT DATA'!$D$2:$D$394,0))),OR(NOT(ISNA(MATCH(IF(UPPER($M223)="UK","GB",$M223),'PRODUCT DATA'!$A$2:$A$58,0))),NOT(ISNA(MATCH(IF(UPPER($M223)="UK","GB",$M223),'PRODUCT DATA'!$B$2:$B$58,0)))),NOT(IFERROR(COUNTIF(OFFSET('PRODUCT DATA'!$F$2,0,MATCH($AC223,'PRODUCT DATA'!$F$1:$NN$1,0)-1,114,1),$N223)&gt;0,FALSE()))),IF(UPPER(IFERROR(OFFSET('PRODUCT DATA'!$C$2,MATCH($N223,'PRODUCT DATA'!$B$2:$B$58,0)-1,0),""))="NO","Alcohol Restriction; ","Item Code / Country combination; "),"")&amp;IF($C223="","Quantity; ","")&amp;IF(AND($C223&lt;&gt;"",OR(NOT(ISNUMBER($C223)),$C223&lt;1,$C223&gt;999,MOD($C223,1)&lt;&gt;0)),"Quantity; ","")&amp;IF($D223="","Recipient Name; ","")&amp;IF(LEN($D223)&gt;35,"Recipient Name; ","")&amp;IF($E223="","Recipient Phone; ","")&amp;IF(AND($E223&lt;&gt;"",OR(LEN($E223)&lt;6,LEN($E223)&gt;20,NOT(IFERROR(ISNUMBER(1*$E223),FALSE())))),"Recipient Phone; ","")&amp;IF(LEN($F223)&gt;35,"Recipient Company Name; ","")&amp;IF($G223="","Address Line 1; ","")&amp;IF(LEN($G223)&gt;35,"Address Line 1; ","")&amp;IF(LEN($H223)&gt;35,"Address Line 2; ","")&amp;IF(LEN($I223)&gt;35,"Address Line 3; ","")&amp;IF($J223="","Town; ","")&amp;IF(LEN($J223)&gt;35,"Town; ","")&amp;IF(AND($N223="IE",$K223=""),"County; ","")&amp;IF(LEN($AB223)&gt;35,"County; ","")&amp;IF(AND($L223="",AND($N223&lt;&gt;"AE",$N223&lt;&gt;"QA")),"Postcode; ","")&amp;IF(LEN($L223)&gt;35,"Postcode; ","")&amp;IF($AE223&lt;&gt;"","Postcode; ","")&amp;IF(LEN($O223)&gt;40,"Gift Message 1; ","")&amp;IF(LEN($P223)&gt;40,"Gift Message 2; ","")&amp;IF(LEN($Q223)&gt;40,"Gift Message 3; ","")&amp;IF(LEN($R223)&gt;40,"Gift Message 4; ","")&amp;IF(LEN($S223)&gt;40,"Gift Message 5; ","")&amp;IF(LEN($T223)&gt;40,"Gift Message 6; ","")&amp;IF(LEN($U223)&gt;40,"Gift Message 7; ",""))</f>
        <v/>
      </c>
      <c r="X223" s="44" t="str">
        <f ca="1">IF(COUNTA($A223,$D223:$M223,$O223:$U223)=0,"",IF($A223="","Enter the Item Code (hamper) - type it, paste it, or choose it from the dropdown. ","")&amp;IF(AND($A223&lt;&gt;"",ISNA(MATCH($AC223,'PRODUCT DATA'!$D$2:$D$394,0))),"This Item Code is not recognised. Check the code (case does not matter, but spelling and digits must match exactly) or choose it from the dropdown. ","")&amp;IF($M223="","Enter the Country after the Item Code - type or paste the name or the 2-letter code, or choose it from the dropdown. ","")&amp;IF(AND($M223&lt;&gt;"",NOT(OR(NOT(ISNA(MATCH(IF(UPPER($M223)="UK","GB",$M223),'PRODUCT DATA'!$A$2:$A$58,0))),NOT(ISNA(MATCH(IF(UPPER($M223)="UK","GB",$M223),'PRODUCT DATA'!$B$2:$B$58,0)))))),"This Country is not recognised as either a full name or a 2-letter code. Check the spelling (case does not matter) or choose it from the dropdown. ","")&amp;IF(AND($A223&lt;&gt;"",$M223&lt;&gt;"",NOT(ISNA(MATCH($AC223,'PRODUCT DATA'!$D$2:$D$394,0))),OR(NOT(ISNA(MATCH(IF(UPPER($M223)="UK","GB",$M223),'PRODUCT DATA'!$A$2:$A$58,0))),NOT(ISNA(MATCH(IF(UPPER($M223)="UK","GB",$M223),'PRODUCT DATA'!$B$2:$B$58,0)))),NOT(IFERROR(COUNTIF(OFFSET('PRODUCT DATA'!$F$2,0,MATCH($AC223,'PRODUCT DATA'!$F$1:$NN$1,0)-1,114,1),$N223)&gt;0,FALSE()))),IF(UPPER(IFERROR(OFFSET('PRODUCT DATA'!$C$2,MATCH($N223,'PRODUCT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"),"")&amp;IF($C223="","Enter Quantity. ","")&amp;IF(AND($C223&lt;&gt;"",OR(NOT(ISNUMBER($C223)),$C223&lt;1,$C223&gt;999,MOD($C223,1)&lt;&gt;0)),"Quantity must be a whole number from 1 to 999 (use a quantity above 1 only for a genuine bulk order of identical items to ONE address — otherwise use a separate row per recipient). ","")&amp;IF($D223="","Enter Recipient Name. ","")&amp;IF(LEN($D223)&gt;35,"Recipient Name exceeds 35 characters. ","")&amp;IF($E223="","Enter Recipient Phone. ","")&amp;IF(AND($E223&lt;&gt;"",OR(LEN($E223)&lt;6,LEN($E223)&gt;20,NOT(IFERROR(ISNUMBER(1*$E223),FALSE())))),"Phone must be the LOCAL number for the destination country: digits only, no +, spaces, or country code, 6 to 20 digits. ","")&amp;IF(LEN($F223)&gt;35,"Recipient Company Name exceeds 35 characters. ","")&amp;IF($G223="","Enter Address Line 1. ","")&amp;IF(LEN($G223)&gt;35,"Address Line 1 exceeds the 35-character SAP limit. ","")&amp;IF(LEN($H223)&gt;35,"Address Line 2 exceeds the 35-character SAP limit. ","")&amp;IF(LEN($I223)&gt;35,"Address Line 3 exceeds the 35-character SAP limit. ","")&amp;IF($J223="","Enter Town. This must never be left blank, even if there is no conventional town name. ","")&amp;IF(LEN($J223)&gt;35,"Town exceeds 35 characters. ","")&amp;IF(AND($N223="IE",$K223=""),"County is required for deliveries within the Republic of Ireland. ","")&amp;IF(LEN($AB223)&gt;35,"County exceeds 35 characters. ","")&amp;IF(AND($L223="",AND($N223&lt;&gt;"AE",$N223&lt;&gt;"QA")),"Postcode is required for the selected country. If there is genuinely no postcode, enter the first 3 characters of the area (e.g. D15). ","")&amp;IF(LEN($L223)&gt;35,"Postcode exceeds 35 characters. ","")&amp;IF($AE223&lt;&gt;"",$AE223,"")&amp;IF(LEN($O223)&gt;40,"Gift Message Line 1 exceeds 40 characters. ","")&amp;IF(LEN($P223)&gt;40,"Gift Message Line 2 exceeds 40 characters. ","")&amp;IF(LEN($Q223)&gt;40,"Gift Message Line 3 exceeds 40 characters. ","")&amp;IF(LEN($R223)&gt;40,"Gift Message Line 4 exceeds 40 characters. ","")&amp;IF(LEN($S223)&gt;40,"Gift Message Line 5 exceeds 40 characters. ","")&amp;IF(LEN($T223)&gt;40,"Gift Message Line 6 exceeds 40 characters. ","")&amp;IF(LEN($U223)&gt;40,"Gift Message Line 7 exceeds 40 characters. ",""))</f>
        <v/>
      </c>
      <c r="Y223" s="44" t="str">
        <f t="shared" si="13"/>
        <v/>
      </c>
      <c r="Z223" s="44"/>
      <c r="AA223" s="44"/>
      <c r="AB223" s="32" t="str">
        <f t="shared" si="14"/>
        <v/>
      </c>
      <c r="AC223" s="32" t="str">
        <f>IF($A223="","",IFERROR(LEFT(INDEX('PRODUCT DATA'!$NO$2:$NO$25,MATCH($A223,'PRODUCT DATA'!$NP$2:$NP$25,0)),FIND("|",INDEX('PRODUCT DATA'!$NO$2:$NO$25,MATCH($A223,'PRODUCT DATA'!$NP$2:$NP$25,0)))-1),$A223))</f>
        <v/>
      </c>
      <c r="AD223" s="45"/>
      <c r="AE223" s="45" t="str">
        <f t="shared" si="15"/>
        <v/>
      </c>
    </row>
    <row r="224" spans="1:31" ht="15" customHeight="1" x14ac:dyDescent="0.25">
      <c r="A224" s="40"/>
      <c r="B224" s="43" t="str">
        <f>IF($A224="","",IFERROR(VLOOKUP($AC224,'PRODUCT DATA'!$NR$2:$NS$374,2,FALSE()),"UNKNOWN ITEM CODE - please check"))</f>
        <v/>
      </c>
      <c r="C224" s="39">
        <v>1</v>
      </c>
      <c r="D224" s="39"/>
      <c r="E224" s="40"/>
      <c r="F224" s="41"/>
      <c r="G224" s="39"/>
      <c r="H224" s="41"/>
      <c r="I224" s="41"/>
      <c r="J224" s="39"/>
      <c r="K224" s="41"/>
      <c r="L224" s="40"/>
      <c r="M224" s="40"/>
      <c r="N224" s="42" t="str">
        <f>IF($M224="","",IFERROR(INDEX('PRODUCT DATA'!$B$2:$B$58,MATCH(IF(UPPER($M224)="UK","GB",$M224),'PRODUCT DATA'!$B$2:$B$58,0)),IFERROR(INDEX('PRODUCT DATA'!$B$2:$B$58,MATCH(IF(UPPER($M224)="UK","GB",$M224),'PRODUCT DATA'!$A$2:$A$58,0)),"UNKNOWN COUNTRY - please check")))</f>
        <v/>
      </c>
      <c r="O224" s="41"/>
      <c r="P224" s="41"/>
      <c r="Q224" s="41"/>
      <c r="R224" s="41"/>
      <c r="S224" s="41"/>
      <c r="T224" s="41"/>
      <c r="U224" s="41"/>
      <c r="V224" s="43" t="str">
        <f t="shared" si="12"/>
        <v/>
      </c>
      <c r="W224" s="44" t="str">
        <f ca="1">IF(COUNTA($A224,$D224:$M224,$O224:$U224)=0,"",IF($A224="","Item Code; ","")&amp;IF(AND($A224&lt;&gt;"",ISNA(MATCH($AC224,'PRODUCT DATA'!$D$2:$D$394,0))),"Item Code; ","")&amp;IF($M224="","Country; ","")&amp;IF(AND($M224&lt;&gt;"",NOT(OR(NOT(ISNA(MATCH(IF(UPPER($M224)="UK","GB",$M224),'PRODUCT DATA'!$A$2:$A$58,0))),NOT(ISNA(MATCH(IF(UPPER($M224)="UK","GB",$M224),'PRODUCT DATA'!$B$2:$B$58,0)))))),"Country; ","")&amp;IF(AND($A224&lt;&gt;"",$M224&lt;&gt;"",NOT(ISNA(MATCH($AC224,'PRODUCT DATA'!$D$2:$D$394,0))),OR(NOT(ISNA(MATCH(IF(UPPER($M224)="UK","GB",$M224),'PRODUCT DATA'!$A$2:$A$58,0))),NOT(ISNA(MATCH(IF(UPPER($M224)="UK","GB",$M224),'PRODUCT DATA'!$B$2:$B$58,0)))),NOT(IFERROR(COUNTIF(OFFSET('PRODUCT DATA'!$F$2,0,MATCH($AC224,'PRODUCT DATA'!$F$1:$NN$1,0)-1,114,1),$N224)&gt;0,FALSE()))),IF(UPPER(IFERROR(OFFSET('PRODUCT DATA'!$C$2,MATCH($N224,'PRODUCT DATA'!$B$2:$B$58,0)-1,0),""))="NO","Alcohol Restriction; ","Item Code / Country combination; "),"")&amp;IF($C224="","Quantity; ","")&amp;IF(AND($C224&lt;&gt;"",OR(NOT(ISNUMBER($C224)),$C224&lt;1,$C224&gt;999,MOD($C224,1)&lt;&gt;0)),"Quantity; ","")&amp;IF($D224="","Recipient Name; ","")&amp;IF(LEN($D224)&gt;35,"Recipient Name; ","")&amp;IF($E224="","Recipient Phone; ","")&amp;IF(AND($E224&lt;&gt;"",OR(LEN($E224)&lt;6,LEN($E224)&gt;20,NOT(IFERROR(ISNUMBER(1*$E224),FALSE())))),"Recipient Phone; ","")&amp;IF(LEN($F224)&gt;35,"Recipient Company Name; ","")&amp;IF($G224="","Address Line 1; ","")&amp;IF(LEN($G224)&gt;35,"Address Line 1; ","")&amp;IF(LEN($H224)&gt;35,"Address Line 2; ","")&amp;IF(LEN($I224)&gt;35,"Address Line 3; ","")&amp;IF($J224="","Town; ","")&amp;IF(LEN($J224)&gt;35,"Town; ","")&amp;IF(AND($N224="IE",$K224=""),"County; ","")&amp;IF(LEN($AB224)&gt;35,"County; ","")&amp;IF(AND($L224="",AND($N224&lt;&gt;"AE",$N224&lt;&gt;"QA")),"Postcode; ","")&amp;IF(LEN($L224)&gt;35,"Postcode; ","")&amp;IF($AE224&lt;&gt;"","Postcode; ","")&amp;IF(LEN($O224)&gt;40,"Gift Message 1; ","")&amp;IF(LEN($P224)&gt;40,"Gift Message 2; ","")&amp;IF(LEN($Q224)&gt;40,"Gift Message 3; ","")&amp;IF(LEN($R224)&gt;40,"Gift Message 4; ","")&amp;IF(LEN($S224)&gt;40,"Gift Message 5; ","")&amp;IF(LEN($T224)&gt;40,"Gift Message 6; ","")&amp;IF(LEN($U224)&gt;40,"Gift Message 7; ",""))</f>
        <v/>
      </c>
      <c r="X224" s="44" t="str">
        <f ca="1">IF(COUNTA($A224,$D224:$M224,$O224:$U224)=0,"",IF($A224="","Enter the Item Code (hamper) - type it, paste it, or choose it from the dropdown. ","")&amp;IF(AND($A224&lt;&gt;"",ISNA(MATCH($AC224,'PRODUCT DATA'!$D$2:$D$394,0))),"This Item Code is not recognised. Check the code (case does not matter, but spelling and digits must match exactly) or choose it from the dropdown. ","")&amp;IF($M224="","Enter the Country after the Item Code - type or paste the name or the 2-letter code, or choose it from the dropdown. ","")&amp;IF(AND($M224&lt;&gt;"",NOT(OR(NOT(ISNA(MATCH(IF(UPPER($M224)="UK","GB",$M224),'PRODUCT DATA'!$A$2:$A$58,0))),NOT(ISNA(MATCH(IF(UPPER($M224)="UK","GB",$M224),'PRODUCT DATA'!$B$2:$B$58,0)))))),"This Country is not recognised as either a full name or a 2-letter code. Check the spelling (case does not matter) or choose it from the dropdown. ","")&amp;IF(AND($A224&lt;&gt;"",$M224&lt;&gt;"",NOT(ISNA(MATCH($AC224,'PRODUCT DATA'!$D$2:$D$394,0))),OR(NOT(ISNA(MATCH(IF(UPPER($M224)="UK","GB",$M224),'PRODUCT DATA'!$A$2:$A$58,0))),NOT(ISNA(MATCH(IF(UPPER($M224)="UK","GB",$M224),'PRODUCT DATA'!$B$2:$B$58,0)))),NOT(IFERROR(COUNTIF(OFFSET('PRODUCT DATA'!$F$2,0,MATCH($AC224,'PRODUCT DATA'!$F$1:$NN$1,0)-1,114,1),$N224)&gt;0,FALSE()))),IF(UPPER(IFERROR(OFFSET('PRODUCT DATA'!$C$2,MATCH($N224,'PRODUCT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"),"")&amp;IF($C224="","Enter Quantity. ","")&amp;IF(AND($C224&lt;&gt;"",OR(NOT(ISNUMBER($C224)),$C224&lt;1,$C224&gt;999,MOD($C224,1)&lt;&gt;0)),"Quantity must be a whole number from 1 to 999 (use a quantity above 1 only for a genuine bulk order of identical items to ONE address — otherwise use a separate row per recipient). ","")&amp;IF($D224="","Enter Recipient Name. ","")&amp;IF(LEN($D224)&gt;35,"Recipient Name exceeds 35 characters. ","")&amp;IF($E224="","Enter Recipient Phone. ","")&amp;IF(AND($E224&lt;&gt;"",OR(LEN($E224)&lt;6,LEN($E224)&gt;20,NOT(IFERROR(ISNUMBER(1*$E224),FALSE())))),"Phone must be the LOCAL number for the destination country: digits only, no +, spaces, or country code, 6 to 20 digits. ","")&amp;IF(LEN($F224)&gt;35,"Recipient Company Name exceeds 35 characters. ","")&amp;IF($G224="","Enter Address Line 1. ","")&amp;IF(LEN($G224)&gt;35,"Address Line 1 exceeds the 35-character SAP limit. ","")&amp;IF(LEN($H224)&gt;35,"Address Line 2 exceeds the 35-character SAP limit. ","")&amp;IF(LEN($I224)&gt;35,"Address Line 3 exceeds the 35-character SAP limit. ","")&amp;IF($J224="","Enter Town. This must never be left blank, even if there is no conventional town name. ","")&amp;IF(LEN($J224)&gt;35,"Town exceeds 35 characters. ","")&amp;IF(AND($N224="IE",$K224=""),"County is required for deliveries within the Republic of Ireland. ","")&amp;IF(LEN($AB224)&gt;35,"County exceeds 35 characters. ","")&amp;IF(AND($L224="",AND($N224&lt;&gt;"AE",$N224&lt;&gt;"QA")),"Postcode is required for the selected country. If there is genuinely no postcode, enter the first 3 characters of the area (e.g. D15). ","")&amp;IF(LEN($L224)&gt;35,"Postcode exceeds 35 characters. ","")&amp;IF($AE224&lt;&gt;"",$AE224,"")&amp;IF(LEN($O224)&gt;40,"Gift Message Line 1 exceeds 40 characters. ","")&amp;IF(LEN($P224)&gt;40,"Gift Message Line 2 exceeds 40 characters. ","")&amp;IF(LEN($Q224)&gt;40,"Gift Message Line 3 exceeds 40 characters. ","")&amp;IF(LEN($R224)&gt;40,"Gift Message Line 4 exceeds 40 characters. ","")&amp;IF(LEN($S224)&gt;40,"Gift Message Line 5 exceeds 40 characters. ","")&amp;IF(LEN($T224)&gt;40,"Gift Message Line 6 exceeds 40 characters. ","")&amp;IF(LEN($U224)&gt;40,"Gift Message Line 7 exceeds 40 characters. ",""))</f>
        <v/>
      </c>
      <c r="Y224" s="44" t="str">
        <f t="shared" si="13"/>
        <v/>
      </c>
      <c r="Z224" s="44"/>
      <c r="AA224" s="44"/>
      <c r="AB224" s="32" t="str">
        <f t="shared" si="14"/>
        <v/>
      </c>
      <c r="AC224" s="32" t="str">
        <f>IF($A224="","",IFERROR(LEFT(INDEX('PRODUCT DATA'!$NO$2:$NO$25,MATCH($A224,'PRODUCT DATA'!$NP$2:$NP$25,0)),FIND("|",INDEX('PRODUCT DATA'!$NO$2:$NO$25,MATCH($A224,'PRODUCT DATA'!$NP$2:$NP$25,0)))-1),$A224))</f>
        <v/>
      </c>
      <c r="AD224" s="45"/>
      <c r="AE224" s="45" t="str">
        <f t="shared" si="15"/>
        <v/>
      </c>
    </row>
    <row r="225" spans="1:31" ht="15" customHeight="1" x14ac:dyDescent="0.25">
      <c r="A225" s="40"/>
      <c r="B225" s="43" t="str">
        <f>IF($A225="","",IFERROR(VLOOKUP($AC225,'PRODUCT DATA'!$NR$2:$NS$374,2,FALSE()),"UNKNOWN ITEM CODE - please check"))</f>
        <v/>
      </c>
      <c r="C225" s="39">
        <v>1</v>
      </c>
      <c r="D225" s="39"/>
      <c r="E225" s="40"/>
      <c r="F225" s="41"/>
      <c r="G225" s="39"/>
      <c r="H225" s="41"/>
      <c r="I225" s="41"/>
      <c r="J225" s="39"/>
      <c r="K225" s="41"/>
      <c r="L225" s="40"/>
      <c r="M225" s="40"/>
      <c r="N225" s="42" t="str">
        <f>IF($M225="","",IFERROR(INDEX('PRODUCT DATA'!$B$2:$B$58,MATCH(IF(UPPER($M225)="UK","GB",$M225),'PRODUCT DATA'!$B$2:$B$58,0)),IFERROR(INDEX('PRODUCT DATA'!$B$2:$B$58,MATCH(IF(UPPER($M225)="UK","GB",$M225),'PRODUCT DATA'!$A$2:$A$58,0)),"UNKNOWN COUNTRY - please check")))</f>
        <v/>
      </c>
      <c r="O225" s="41"/>
      <c r="P225" s="41"/>
      <c r="Q225" s="41"/>
      <c r="R225" s="41"/>
      <c r="S225" s="41"/>
      <c r="T225" s="41"/>
      <c r="U225" s="41"/>
      <c r="V225" s="43" t="str">
        <f t="shared" si="12"/>
        <v/>
      </c>
      <c r="W225" s="44" t="str">
        <f ca="1">IF(COUNTA($A225,$D225:$M225,$O225:$U225)=0,"",IF($A225="","Item Code; ","")&amp;IF(AND($A225&lt;&gt;"",ISNA(MATCH($AC225,'PRODUCT DATA'!$D$2:$D$394,0))),"Item Code; ","")&amp;IF($M225="","Country; ","")&amp;IF(AND($M225&lt;&gt;"",NOT(OR(NOT(ISNA(MATCH(IF(UPPER($M225)="UK","GB",$M225),'PRODUCT DATA'!$A$2:$A$58,0))),NOT(ISNA(MATCH(IF(UPPER($M225)="UK","GB",$M225),'PRODUCT DATA'!$B$2:$B$58,0)))))),"Country; ","")&amp;IF(AND($A225&lt;&gt;"",$M225&lt;&gt;"",NOT(ISNA(MATCH($AC225,'PRODUCT DATA'!$D$2:$D$394,0))),OR(NOT(ISNA(MATCH(IF(UPPER($M225)="UK","GB",$M225),'PRODUCT DATA'!$A$2:$A$58,0))),NOT(ISNA(MATCH(IF(UPPER($M225)="UK","GB",$M225),'PRODUCT DATA'!$B$2:$B$58,0)))),NOT(IFERROR(COUNTIF(OFFSET('PRODUCT DATA'!$F$2,0,MATCH($AC225,'PRODUCT DATA'!$F$1:$NN$1,0)-1,114,1),$N225)&gt;0,FALSE()))),IF(UPPER(IFERROR(OFFSET('PRODUCT DATA'!$C$2,MATCH($N225,'PRODUCT DATA'!$B$2:$B$58,0)-1,0),""))="NO","Alcohol Restriction; ","Item Code / Country combination; "),"")&amp;IF($C225="","Quantity; ","")&amp;IF(AND($C225&lt;&gt;"",OR(NOT(ISNUMBER($C225)),$C225&lt;1,$C225&gt;999,MOD($C225,1)&lt;&gt;0)),"Quantity; ","")&amp;IF($D225="","Recipient Name; ","")&amp;IF(LEN($D225)&gt;35,"Recipient Name; ","")&amp;IF($E225="","Recipient Phone; ","")&amp;IF(AND($E225&lt;&gt;"",OR(LEN($E225)&lt;6,LEN($E225)&gt;20,NOT(IFERROR(ISNUMBER(1*$E225),FALSE())))),"Recipient Phone; ","")&amp;IF(LEN($F225)&gt;35,"Recipient Company Name; ","")&amp;IF($G225="","Address Line 1; ","")&amp;IF(LEN($G225)&gt;35,"Address Line 1; ","")&amp;IF(LEN($H225)&gt;35,"Address Line 2; ","")&amp;IF(LEN($I225)&gt;35,"Address Line 3; ","")&amp;IF($J225="","Town; ","")&amp;IF(LEN($J225)&gt;35,"Town; ","")&amp;IF(AND($N225="IE",$K225=""),"County; ","")&amp;IF(LEN($AB225)&gt;35,"County; ","")&amp;IF(AND($L225="",AND($N225&lt;&gt;"AE",$N225&lt;&gt;"QA")),"Postcode; ","")&amp;IF(LEN($L225)&gt;35,"Postcode; ","")&amp;IF($AE225&lt;&gt;"","Postcode; ","")&amp;IF(LEN($O225)&gt;40,"Gift Message 1; ","")&amp;IF(LEN($P225)&gt;40,"Gift Message 2; ","")&amp;IF(LEN($Q225)&gt;40,"Gift Message 3; ","")&amp;IF(LEN($R225)&gt;40,"Gift Message 4; ","")&amp;IF(LEN($S225)&gt;40,"Gift Message 5; ","")&amp;IF(LEN($T225)&gt;40,"Gift Message 6; ","")&amp;IF(LEN($U225)&gt;40,"Gift Message 7; ",""))</f>
        <v/>
      </c>
      <c r="X225" s="44" t="str">
        <f ca="1">IF(COUNTA($A225,$D225:$M225,$O225:$U225)=0,"",IF($A225="","Enter the Item Code (hamper) - type it, paste it, or choose it from the dropdown. ","")&amp;IF(AND($A225&lt;&gt;"",ISNA(MATCH($AC225,'PRODUCT DATA'!$D$2:$D$394,0))),"This Item Code is not recognised. Check the code (case does not matter, but spelling and digits must match exactly) or choose it from the dropdown. ","")&amp;IF($M225="","Enter the Country after the Item Code - type or paste the name or the 2-letter code, or choose it from the dropdown. ","")&amp;IF(AND($M225&lt;&gt;"",NOT(OR(NOT(ISNA(MATCH(IF(UPPER($M225)="UK","GB",$M225),'PRODUCT DATA'!$A$2:$A$58,0))),NOT(ISNA(MATCH(IF(UPPER($M225)="UK","GB",$M225),'PRODUCT DATA'!$B$2:$B$58,0)))))),"This Country is not recognised as either a full name or a 2-letter code. Check the spelling (case does not matter) or choose it from the dropdown. ","")&amp;IF(AND($A225&lt;&gt;"",$M225&lt;&gt;"",NOT(ISNA(MATCH($AC225,'PRODUCT DATA'!$D$2:$D$394,0))),OR(NOT(ISNA(MATCH(IF(UPPER($M225)="UK","GB",$M225),'PRODUCT DATA'!$A$2:$A$58,0))),NOT(ISNA(MATCH(IF(UPPER($M225)="UK","GB",$M225),'PRODUCT DATA'!$B$2:$B$58,0)))),NOT(IFERROR(COUNTIF(OFFSET('PRODUCT DATA'!$F$2,0,MATCH($AC225,'PRODUCT DATA'!$F$1:$NN$1,0)-1,114,1),$N225)&gt;0,FALSE()))),IF(UPPER(IFERROR(OFFSET('PRODUCT DATA'!$C$2,MATCH($N225,'PRODUCT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"),"")&amp;IF($C225="","Enter Quantity. ","")&amp;IF(AND($C225&lt;&gt;"",OR(NOT(ISNUMBER($C225)),$C225&lt;1,$C225&gt;999,MOD($C225,1)&lt;&gt;0)),"Quantity must be a whole number from 1 to 999 (use a quantity above 1 only for a genuine bulk order of identical items to ONE address — otherwise use a separate row per recipient). ","")&amp;IF($D225="","Enter Recipient Name. ","")&amp;IF(LEN($D225)&gt;35,"Recipient Name exceeds 35 characters. ","")&amp;IF($E225="","Enter Recipient Phone. ","")&amp;IF(AND($E225&lt;&gt;"",OR(LEN($E225)&lt;6,LEN($E225)&gt;20,NOT(IFERROR(ISNUMBER(1*$E225),FALSE())))),"Phone must be the LOCAL number for the destination country: digits only, no +, spaces, or country code, 6 to 20 digits. ","")&amp;IF(LEN($F225)&gt;35,"Recipient Company Name exceeds 35 characters. ","")&amp;IF($G225="","Enter Address Line 1. ","")&amp;IF(LEN($G225)&gt;35,"Address Line 1 exceeds the 35-character SAP limit. ","")&amp;IF(LEN($H225)&gt;35,"Address Line 2 exceeds the 35-character SAP limit. ","")&amp;IF(LEN($I225)&gt;35,"Address Line 3 exceeds the 35-character SAP limit. ","")&amp;IF($J225="","Enter Town. This must never be left blank, even if there is no conventional town name. ","")&amp;IF(LEN($J225)&gt;35,"Town exceeds 35 characters. ","")&amp;IF(AND($N225="IE",$K225=""),"County is required for deliveries within the Republic of Ireland. ","")&amp;IF(LEN($AB225)&gt;35,"County exceeds 35 characters. ","")&amp;IF(AND($L225="",AND($N225&lt;&gt;"AE",$N225&lt;&gt;"QA")),"Postcode is required for the selected country. If there is genuinely no postcode, enter the first 3 characters of the area (e.g. D15). ","")&amp;IF(LEN($L225)&gt;35,"Postcode exceeds 35 characters. ","")&amp;IF($AE225&lt;&gt;"",$AE225,"")&amp;IF(LEN($O225)&gt;40,"Gift Message Line 1 exceeds 40 characters. ","")&amp;IF(LEN($P225)&gt;40,"Gift Message Line 2 exceeds 40 characters. ","")&amp;IF(LEN($Q225)&gt;40,"Gift Message Line 3 exceeds 40 characters. ","")&amp;IF(LEN($R225)&gt;40,"Gift Message Line 4 exceeds 40 characters. ","")&amp;IF(LEN($S225)&gt;40,"Gift Message Line 5 exceeds 40 characters. ","")&amp;IF(LEN($T225)&gt;40,"Gift Message Line 6 exceeds 40 characters. ","")&amp;IF(LEN($U225)&gt;40,"Gift Message Line 7 exceeds 40 characters. ",""))</f>
        <v/>
      </c>
      <c r="Y225" s="44" t="str">
        <f t="shared" si="13"/>
        <v/>
      </c>
      <c r="Z225" s="44"/>
      <c r="AA225" s="44"/>
      <c r="AB225" s="32" t="str">
        <f t="shared" si="14"/>
        <v/>
      </c>
      <c r="AC225" s="32" t="str">
        <f>IF($A225="","",IFERROR(LEFT(INDEX('PRODUCT DATA'!$NO$2:$NO$25,MATCH($A225,'PRODUCT DATA'!$NP$2:$NP$25,0)),FIND("|",INDEX('PRODUCT DATA'!$NO$2:$NO$25,MATCH($A225,'PRODUCT DATA'!$NP$2:$NP$25,0)))-1),$A225))</f>
        <v/>
      </c>
      <c r="AD225" s="45"/>
      <c r="AE225" s="45" t="str">
        <f t="shared" si="15"/>
        <v/>
      </c>
    </row>
    <row r="226" spans="1:31" ht="15" customHeight="1" x14ac:dyDescent="0.25">
      <c r="A226" s="40"/>
      <c r="B226" s="43" t="str">
        <f>IF($A226="","",IFERROR(VLOOKUP($AC226,'PRODUCT DATA'!$NR$2:$NS$374,2,FALSE()),"UNKNOWN ITEM CODE - please check"))</f>
        <v/>
      </c>
      <c r="C226" s="39">
        <v>1</v>
      </c>
      <c r="D226" s="39"/>
      <c r="E226" s="40"/>
      <c r="F226" s="41"/>
      <c r="G226" s="39"/>
      <c r="H226" s="41"/>
      <c r="I226" s="41"/>
      <c r="J226" s="39"/>
      <c r="K226" s="41"/>
      <c r="L226" s="40"/>
      <c r="M226" s="40"/>
      <c r="N226" s="42" t="str">
        <f>IF($M226="","",IFERROR(INDEX('PRODUCT DATA'!$B$2:$B$58,MATCH(IF(UPPER($M226)="UK","GB",$M226),'PRODUCT DATA'!$B$2:$B$58,0)),IFERROR(INDEX('PRODUCT DATA'!$B$2:$B$58,MATCH(IF(UPPER($M226)="UK","GB",$M226),'PRODUCT DATA'!$A$2:$A$58,0)),"UNKNOWN COUNTRY - please check")))</f>
        <v/>
      </c>
      <c r="O226" s="41"/>
      <c r="P226" s="41"/>
      <c r="Q226" s="41"/>
      <c r="R226" s="41"/>
      <c r="S226" s="41"/>
      <c r="T226" s="41"/>
      <c r="U226" s="41"/>
      <c r="V226" s="43" t="str">
        <f t="shared" si="12"/>
        <v/>
      </c>
      <c r="W226" s="44" t="str">
        <f ca="1">IF(COUNTA($A226,$D226:$M226,$O226:$U226)=0,"",IF($A226="","Item Code; ","")&amp;IF(AND($A226&lt;&gt;"",ISNA(MATCH($AC226,'PRODUCT DATA'!$D$2:$D$394,0))),"Item Code; ","")&amp;IF($M226="","Country; ","")&amp;IF(AND($M226&lt;&gt;"",NOT(OR(NOT(ISNA(MATCH(IF(UPPER($M226)="UK","GB",$M226),'PRODUCT DATA'!$A$2:$A$58,0))),NOT(ISNA(MATCH(IF(UPPER($M226)="UK","GB",$M226),'PRODUCT DATA'!$B$2:$B$58,0)))))),"Country; ","")&amp;IF(AND($A226&lt;&gt;"",$M226&lt;&gt;"",NOT(ISNA(MATCH($AC226,'PRODUCT DATA'!$D$2:$D$394,0))),OR(NOT(ISNA(MATCH(IF(UPPER($M226)="UK","GB",$M226),'PRODUCT DATA'!$A$2:$A$58,0))),NOT(ISNA(MATCH(IF(UPPER($M226)="UK","GB",$M226),'PRODUCT DATA'!$B$2:$B$58,0)))),NOT(IFERROR(COUNTIF(OFFSET('PRODUCT DATA'!$F$2,0,MATCH($AC226,'PRODUCT DATA'!$F$1:$NN$1,0)-1,114,1),$N226)&gt;0,FALSE()))),IF(UPPER(IFERROR(OFFSET('PRODUCT DATA'!$C$2,MATCH($N226,'PRODUCT DATA'!$B$2:$B$58,0)-1,0),""))="NO","Alcohol Restriction; ","Item Code / Country combination; "),"")&amp;IF($C226="","Quantity; ","")&amp;IF(AND($C226&lt;&gt;"",OR(NOT(ISNUMBER($C226)),$C226&lt;1,$C226&gt;999,MOD($C226,1)&lt;&gt;0)),"Quantity; ","")&amp;IF($D226="","Recipient Name; ","")&amp;IF(LEN($D226)&gt;35,"Recipient Name; ","")&amp;IF($E226="","Recipient Phone; ","")&amp;IF(AND($E226&lt;&gt;"",OR(LEN($E226)&lt;6,LEN($E226)&gt;20,NOT(IFERROR(ISNUMBER(1*$E226),FALSE())))),"Recipient Phone; ","")&amp;IF(LEN($F226)&gt;35,"Recipient Company Name; ","")&amp;IF($G226="","Address Line 1; ","")&amp;IF(LEN($G226)&gt;35,"Address Line 1; ","")&amp;IF(LEN($H226)&gt;35,"Address Line 2; ","")&amp;IF(LEN($I226)&gt;35,"Address Line 3; ","")&amp;IF($J226="","Town; ","")&amp;IF(LEN($J226)&gt;35,"Town; ","")&amp;IF(AND($N226="IE",$K226=""),"County; ","")&amp;IF(LEN($AB226)&gt;35,"County; ","")&amp;IF(AND($L226="",AND($N226&lt;&gt;"AE",$N226&lt;&gt;"QA")),"Postcode; ","")&amp;IF(LEN($L226)&gt;35,"Postcode; ","")&amp;IF($AE226&lt;&gt;"","Postcode; ","")&amp;IF(LEN($O226)&gt;40,"Gift Message 1; ","")&amp;IF(LEN($P226)&gt;40,"Gift Message 2; ","")&amp;IF(LEN($Q226)&gt;40,"Gift Message 3; ","")&amp;IF(LEN($R226)&gt;40,"Gift Message 4; ","")&amp;IF(LEN($S226)&gt;40,"Gift Message 5; ","")&amp;IF(LEN($T226)&gt;40,"Gift Message 6; ","")&amp;IF(LEN($U226)&gt;40,"Gift Message 7; ",""))</f>
        <v/>
      </c>
      <c r="X226" s="44" t="str">
        <f ca="1">IF(COUNTA($A226,$D226:$M226,$O226:$U226)=0,"",IF($A226="","Enter the Item Code (hamper) - type it, paste it, or choose it from the dropdown. ","")&amp;IF(AND($A226&lt;&gt;"",ISNA(MATCH($AC226,'PRODUCT DATA'!$D$2:$D$394,0))),"This Item Code is not recognised. Check the code (case does not matter, but spelling and digits must match exactly) or choose it from the dropdown. ","")&amp;IF($M226="","Enter the Country after the Item Code - type or paste the name or the 2-letter code, or choose it from the dropdown. ","")&amp;IF(AND($M226&lt;&gt;"",NOT(OR(NOT(ISNA(MATCH(IF(UPPER($M226)="UK","GB",$M226),'PRODUCT DATA'!$A$2:$A$58,0))),NOT(ISNA(MATCH(IF(UPPER($M226)="UK","GB",$M226),'PRODUCT DATA'!$B$2:$B$58,0)))))),"This Country is not recognised as either a full name or a 2-letter code. Check the spelling (case does not matter) or choose it from the dropdown. ","")&amp;IF(AND($A226&lt;&gt;"",$M226&lt;&gt;"",NOT(ISNA(MATCH($AC226,'PRODUCT DATA'!$D$2:$D$394,0))),OR(NOT(ISNA(MATCH(IF(UPPER($M226)="UK","GB",$M226),'PRODUCT DATA'!$A$2:$A$58,0))),NOT(ISNA(MATCH(IF(UPPER($M226)="UK","GB",$M226),'PRODUCT DATA'!$B$2:$B$58,0)))),NOT(IFERROR(COUNTIF(OFFSET('PRODUCT DATA'!$F$2,0,MATCH($AC226,'PRODUCT DATA'!$F$1:$NN$1,0)-1,114,1),$N226)&gt;0,FALSE()))),IF(UPPER(IFERROR(OFFSET('PRODUCT DATA'!$C$2,MATCH($N226,'PRODUCT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"),"")&amp;IF($C226="","Enter Quantity. ","")&amp;IF(AND($C226&lt;&gt;"",OR(NOT(ISNUMBER($C226)),$C226&lt;1,$C226&gt;999,MOD($C226,1)&lt;&gt;0)),"Quantity must be a whole number from 1 to 999 (use a quantity above 1 only for a genuine bulk order of identical items to ONE address — otherwise use a separate row per recipient). ","")&amp;IF($D226="","Enter Recipient Name. ","")&amp;IF(LEN($D226)&gt;35,"Recipient Name exceeds 35 characters. ","")&amp;IF($E226="","Enter Recipient Phone. ","")&amp;IF(AND($E226&lt;&gt;"",OR(LEN($E226)&lt;6,LEN($E226)&gt;20,NOT(IFERROR(ISNUMBER(1*$E226),FALSE())))),"Phone must be the LOCAL number for the destination country: digits only, no +, spaces, or country code, 6 to 20 digits. ","")&amp;IF(LEN($F226)&gt;35,"Recipient Company Name exceeds 35 characters. ","")&amp;IF($G226="","Enter Address Line 1. ","")&amp;IF(LEN($G226)&gt;35,"Address Line 1 exceeds the 35-character SAP limit. ","")&amp;IF(LEN($H226)&gt;35,"Address Line 2 exceeds the 35-character SAP limit. ","")&amp;IF(LEN($I226)&gt;35,"Address Line 3 exceeds the 35-character SAP limit. ","")&amp;IF($J226="","Enter Town. This must never be left blank, even if there is no conventional town name. ","")&amp;IF(LEN($J226)&gt;35,"Town exceeds 35 characters. ","")&amp;IF(AND($N226="IE",$K226=""),"County is required for deliveries within the Republic of Ireland. ","")&amp;IF(LEN($AB226)&gt;35,"County exceeds 35 characters. ","")&amp;IF(AND($L226="",AND($N226&lt;&gt;"AE",$N226&lt;&gt;"QA")),"Postcode is required for the selected country. If there is genuinely no postcode, enter the first 3 characters of the area (e.g. D15). ","")&amp;IF(LEN($L226)&gt;35,"Postcode exceeds 35 characters. ","")&amp;IF($AE226&lt;&gt;"",$AE226,"")&amp;IF(LEN($O226)&gt;40,"Gift Message Line 1 exceeds 40 characters. ","")&amp;IF(LEN($P226)&gt;40,"Gift Message Line 2 exceeds 40 characters. ","")&amp;IF(LEN($Q226)&gt;40,"Gift Message Line 3 exceeds 40 characters. ","")&amp;IF(LEN($R226)&gt;40,"Gift Message Line 4 exceeds 40 characters. ","")&amp;IF(LEN($S226)&gt;40,"Gift Message Line 5 exceeds 40 characters. ","")&amp;IF(LEN($T226)&gt;40,"Gift Message Line 6 exceeds 40 characters. ","")&amp;IF(LEN($U226)&gt;40,"Gift Message Line 7 exceeds 40 characters. ",""))</f>
        <v/>
      </c>
      <c r="Y226" s="44" t="str">
        <f t="shared" si="13"/>
        <v/>
      </c>
      <c r="Z226" s="44"/>
      <c r="AA226" s="44"/>
      <c r="AB226" s="32" t="str">
        <f t="shared" si="14"/>
        <v/>
      </c>
      <c r="AC226" s="32" t="str">
        <f>IF($A226="","",IFERROR(LEFT(INDEX('PRODUCT DATA'!$NO$2:$NO$25,MATCH($A226,'PRODUCT DATA'!$NP$2:$NP$25,0)),FIND("|",INDEX('PRODUCT DATA'!$NO$2:$NO$25,MATCH($A226,'PRODUCT DATA'!$NP$2:$NP$25,0)))-1),$A226))</f>
        <v/>
      </c>
      <c r="AD226" s="45"/>
      <c r="AE226" s="45" t="str">
        <f t="shared" si="15"/>
        <v/>
      </c>
    </row>
    <row r="227" spans="1:31" ht="15" customHeight="1" x14ac:dyDescent="0.25">
      <c r="A227" s="40"/>
      <c r="B227" s="43" t="str">
        <f>IF($A227="","",IFERROR(VLOOKUP($AC227,'PRODUCT DATA'!$NR$2:$NS$374,2,FALSE()),"UNKNOWN ITEM CODE - please check"))</f>
        <v/>
      </c>
      <c r="C227" s="39">
        <v>1</v>
      </c>
      <c r="D227" s="39"/>
      <c r="E227" s="40"/>
      <c r="F227" s="41"/>
      <c r="G227" s="39"/>
      <c r="H227" s="41"/>
      <c r="I227" s="41"/>
      <c r="J227" s="39"/>
      <c r="K227" s="41"/>
      <c r="L227" s="40"/>
      <c r="M227" s="40"/>
      <c r="N227" s="42" t="str">
        <f>IF($M227="","",IFERROR(INDEX('PRODUCT DATA'!$B$2:$B$58,MATCH(IF(UPPER($M227)="UK","GB",$M227),'PRODUCT DATA'!$B$2:$B$58,0)),IFERROR(INDEX('PRODUCT DATA'!$B$2:$B$58,MATCH(IF(UPPER($M227)="UK","GB",$M227),'PRODUCT DATA'!$A$2:$A$58,0)),"UNKNOWN COUNTRY - please check")))</f>
        <v/>
      </c>
      <c r="O227" s="41"/>
      <c r="P227" s="41"/>
      <c r="Q227" s="41"/>
      <c r="R227" s="41"/>
      <c r="S227" s="41"/>
      <c r="T227" s="41"/>
      <c r="U227" s="41"/>
      <c r="V227" s="43" t="str">
        <f t="shared" si="12"/>
        <v/>
      </c>
      <c r="W227" s="44" t="str">
        <f ca="1">IF(COUNTA($A227,$D227:$M227,$O227:$U227)=0,"",IF($A227="","Item Code; ","")&amp;IF(AND($A227&lt;&gt;"",ISNA(MATCH($AC227,'PRODUCT DATA'!$D$2:$D$394,0))),"Item Code; ","")&amp;IF($M227="","Country; ","")&amp;IF(AND($M227&lt;&gt;"",NOT(OR(NOT(ISNA(MATCH(IF(UPPER($M227)="UK","GB",$M227),'PRODUCT DATA'!$A$2:$A$58,0))),NOT(ISNA(MATCH(IF(UPPER($M227)="UK","GB",$M227),'PRODUCT DATA'!$B$2:$B$58,0)))))),"Country; ","")&amp;IF(AND($A227&lt;&gt;"",$M227&lt;&gt;"",NOT(ISNA(MATCH($AC227,'PRODUCT DATA'!$D$2:$D$394,0))),OR(NOT(ISNA(MATCH(IF(UPPER($M227)="UK","GB",$M227),'PRODUCT DATA'!$A$2:$A$58,0))),NOT(ISNA(MATCH(IF(UPPER($M227)="UK","GB",$M227),'PRODUCT DATA'!$B$2:$B$58,0)))),NOT(IFERROR(COUNTIF(OFFSET('PRODUCT DATA'!$F$2,0,MATCH($AC227,'PRODUCT DATA'!$F$1:$NN$1,0)-1,114,1),$N227)&gt;0,FALSE()))),IF(UPPER(IFERROR(OFFSET('PRODUCT DATA'!$C$2,MATCH($N227,'PRODUCT DATA'!$B$2:$B$58,0)-1,0),""))="NO","Alcohol Restriction; ","Item Code / Country combination; "),"")&amp;IF($C227="","Quantity; ","")&amp;IF(AND($C227&lt;&gt;"",OR(NOT(ISNUMBER($C227)),$C227&lt;1,$C227&gt;999,MOD($C227,1)&lt;&gt;0)),"Quantity; ","")&amp;IF($D227="","Recipient Name; ","")&amp;IF(LEN($D227)&gt;35,"Recipient Name; ","")&amp;IF($E227="","Recipient Phone; ","")&amp;IF(AND($E227&lt;&gt;"",OR(LEN($E227)&lt;6,LEN($E227)&gt;20,NOT(IFERROR(ISNUMBER(1*$E227),FALSE())))),"Recipient Phone; ","")&amp;IF(LEN($F227)&gt;35,"Recipient Company Name; ","")&amp;IF($G227="","Address Line 1; ","")&amp;IF(LEN($G227)&gt;35,"Address Line 1; ","")&amp;IF(LEN($H227)&gt;35,"Address Line 2; ","")&amp;IF(LEN($I227)&gt;35,"Address Line 3; ","")&amp;IF($J227="","Town; ","")&amp;IF(LEN($J227)&gt;35,"Town; ","")&amp;IF(AND($N227="IE",$K227=""),"County; ","")&amp;IF(LEN($AB227)&gt;35,"County; ","")&amp;IF(AND($L227="",AND($N227&lt;&gt;"AE",$N227&lt;&gt;"QA")),"Postcode; ","")&amp;IF(LEN($L227)&gt;35,"Postcode; ","")&amp;IF($AE227&lt;&gt;"","Postcode; ","")&amp;IF(LEN($O227)&gt;40,"Gift Message 1; ","")&amp;IF(LEN($P227)&gt;40,"Gift Message 2; ","")&amp;IF(LEN($Q227)&gt;40,"Gift Message 3; ","")&amp;IF(LEN($R227)&gt;40,"Gift Message 4; ","")&amp;IF(LEN($S227)&gt;40,"Gift Message 5; ","")&amp;IF(LEN($T227)&gt;40,"Gift Message 6; ","")&amp;IF(LEN($U227)&gt;40,"Gift Message 7; ",""))</f>
        <v/>
      </c>
      <c r="X227" s="44" t="str">
        <f ca="1">IF(COUNTA($A227,$D227:$M227,$O227:$U227)=0,"",IF($A227="","Enter the Item Code (hamper) - type it, paste it, or choose it from the dropdown. ","")&amp;IF(AND($A227&lt;&gt;"",ISNA(MATCH($AC227,'PRODUCT DATA'!$D$2:$D$394,0))),"This Item Code is not recognised. Check the code (case does not matter, but spelling and digits must match exactly) or choose it from the dropdown. ","")&amp;IF($M227="","Enter the Country after the Item Code - type or paste the name or the 2-letter code, or choose it from the dropdown. ","")&amp;IF(AND($M227&lt;&gt;"",NOT(OR(NOT(ISNA(MATCH(IF(UPPER($M227)="UK","GB",$M227),'PRODUCT DATA'!$A$2:$A$58,0))),NOT(ISNA(MATCH(IF(UPPER($M227)="UK","GB",$M227),'PRODUCT DATA'!$B$2:$B$58,0)))))),"This Country is not recognised as either a full name or a 2-letter code. Check the spelling (case does not matter) or choose it from the dropdown. ","")&amp;IF(AND($A227&lt;&gt;"",$M227&lt;&gt;"",NOT(ISNA(MATCH($AC227,'PRODUCT DATA'!$D$2:$D$394,0))),OR(NOT(ISNA(MATCH(IF(UPPER($M227)="UK","GB",$M227),'PRODUCT DATA'!$A$2:$A$58,0))),NOT(ISNA(MATCH(IF(UPPER($M227)="UK","GB",$M227),'PRODUCT DATA'!$B$2:$B$58,0)))),NOT(IFERROR(COUNTIF(OFFSET('PRODUCT DATA'!$F$2,0,MATCH($AC227,'PRODUCT DATA'!$F$1:$NN$1,0)-1,114,1),$N227)&gt;0,FALSE()))),IF(UPPER(IFERROR(OFFSET('PRODUCT DATA'!$C$2,MATCH($N227,'PRODUCT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"),"")&amp;IF($C227="","Enter Quantity. ","")&amp;IF(AND($C227&lt;&gt;"",OR(NOT(ISNUMBER($C227)),$C227&lt;1,$C227&gt;999,MOD($C227,1)&lt;&gt;0)),"Quantity must be a whole number from 1 to 999 (use a quantity above 1 only for a genuine bulk order of identical items to ONE address — otherwise use a separate row per recipient). ","")&amp;IF($D227="","Enter Recipient Name. ","")&amp;IF(LEN($D227)&gt;35,"Recipient Name exceeds 35 characters. ","")&amp;IF($E227="","Enter Recipient Phone. ","")&amp;IF(AND($E227&lt;&gt;"",OR(LEN($E227)&lt;6,LEN($E227)&gt;20,NOT(IFERROR(ISNUMBER(1*$E227),FALSE())))),"Phone must be the LOCAL number for the destination country: digits only, no +, spaces, or country code, 6 to 20 digits. ","")&amp;IF(LEN($F227)&gt;35,"Recipient Company Name exceeds 35 characters. ","")&amp;IF($G227="","Enter Address Line 1. ","")&amp;IF(LEN($G227)&gt;35,"Address Line 1 exceeds the 35-character SAP limit. ","")&amp;IF(LEN($H227)&gt;35,"Address Line 2 exceeds the 35-character SAP limit. ","")&amp;IF(LEN($I227)&gt;35,"Address Line 3 exceeds the 35-character SAP limit. ","")&amp;IF($J227="","Enter Town. This must never be left blank, even if there is no conventional town name. ","")&amp;IF(LEN($J227)&gt;35,"Town exceeds 35 characters. ","")&amp;IF(AND($N227="IE",$K227=""),"County is required for deliveries within the Republic of Ireland. ","")&amp;IF(LEN($AB227)&gt;35,"County exceeds 35 characters. ","")&amp;IF(AND($L227="",AND($N227&lt;&gt;"AE",$N227&lt;&gt;"QA")),"Postcode is required for the selected country. If there is genuinely no postcode, enter the first 3 characters of the area (e.g. D15). ","")&amp;IF(LEN($L227)&gt;35,"Postcode exceeds 35 characters. ","")&amp;IF($AE227&lt;&gt;"",$AE227,"")&amp;IF(LEN($O227)&gt;40,"Gift Message Line 1 exceeds 40 characters. ","")&amp;IF(LEN($P227)&gt;40,"Gift Message Line 2 exceeds 40 characters. ","")&amp;IF(LEN($Q227)&gt;40,"Gift Message Line 3 exceeds 40 characters. ","")&amp;IF(LEN($R227)&gt;40,"Gift Message Line 4 exceeds 40 characters. ","")&amp;IF(LEN($S227)&gt;40,"Gift Message Line 5 exceeds 40 characters. ","")&amp;IF(LEN($T227)&gt;40,"Gift Message Line 6 exceeds 40 characters. ","")&amp;IF(LEN($U227)&gt;40,"Gift Message Line 7 exceeds 40 characters. ",""))</f>
        <v/>
      </c>
      <c r="Y227" s="44" t="str">
        <f t="shared" si="13"/>
        <v/>
      </c>
      <c r="Z227" s="44"/>
      <c r="AA227" s="44"/>
      <c r="AB227" s="32" t="str">
        <f t="shared" si="14"/>
        <v/>
      </c>
      <c r="AC227" s="32" t="str">
        <f>IF($A227="","",IFERROR(LEFT(INDEX('PRODUCT DATA'!$NO$2:$NO$25,MATCH($A227,'PRODUCT DATA'!$NP$2:$NP$25,0)),FIND("|",INDEX('PRODUCT DATA'!$NO$2:$NO$25,MATCH($A227,'PRODUCT DATA'!$NP$2:$NP$25,0)))-1),$A227))</f>
        <v/>
      </c>
      <c r="AD227" s="45"/>
      <c r="AE227" s="45" t="str">
        <f t="shared" si="15"/>
        <v/>
      </c>
    </row>
    <row r="228" spans="1:31" ht="15" customHeight="1" x14ac:dyDescent="0.25">
      <c r="A228" s="40"/>
      <c r="B228" s="43" t="str">
        <f>IF($A228="","",IFERROR(VLOOKUP($AC228,'PRODUCT DATA'!$NR$2:$NS$374,2,FALSE()),"UNKNOWN ITEM CODE - please check"))</f>
        <v/>
      </c>
      <c r="C228" s="39">
        <v>1</v>
      </c>
      <c r="D228" s="39"/>
      <c r="E228" s="40"/>
      <c r="F228" s="41"/>
      <c r="G228" s="39"/>
      <c r="H228" s="41"/>
      <c r="I228" s="41"/>
      <c r="J228" s="39"/>
      <c r="K228" s="41"/>
      <c r="L228" s="40"/>
      <c r="M228" s="40"/>
      <c r="N228" s="42" t="str">
        <f>IF($M228="","",IFERROR(INDEX('PRODUCT DATA'!$B$2:$B$58,MATCH(IF(UPPER($M228)="UK","GB",$M228),'PRODUCT DATA'!$B$2:$B$58,0)),IFERROR(INDEX('PRODUCT DATA'!$B$2:$B$58,MATCH(IF(UPPER($M228)="UK","GB",$M228),'PRODUCT DATA'!$A$2:$A$58,0)),"UNKNOWN COUNTRY - please check")))</f>
        <v/>
      </c>
      <c r="O228" s="41"/>
      <c r="P228" s="41"/>
      <c r="Q228" s="41"/>
      <c r="R228" s="41"/>
      <c r="S228" s="41"/>
      <c r="T228" s="41"/>
      <c r="U228" s="41"/>
      <c r="V228" s="43" t="str">
        <f t="shared" si="12"/>
        <v/>
      </c>
      <c r="W228" s="44" t="str">
        <f ca="1">IF(COUNTA($A228,$D228:$M228,$O228:$U228)=0,"",IF($A228="","Item Code; ","")&amp;IF(AND($A228&lt;&gt;"",ISNA(MATCH($AC228,'PRODUCT DATA'!$D$2:$D$394,0))),"Item Code; ","")&amp;IF($M228="","Country; ","")&amp;IF(AND($M228&lt;&gt;"",NOT(OR(NOT(ISNA(MATCH(IF(UPPER($M228)="UK","GB",$M228),'PRODUCT DATA'!$A$2:$A$58,0))),NOT(ISNA(MATCH(IF(UPPER($M228)="UK","GB",$M228),'PRODUCT DATA'!$B$2:$B$58,0)))))),"Country; ","")&amp;IF(AND($A228&lt;&gt;"",$M228&lt;&gt;"",NOT(ISNA(MATCH($AC228,'PRODUCT DATA'!$D$2:$D$394,0))),OR(NOT(ISNA(MATCH(IF(UPPER($M228)="UK","GB",$M228),'PRODUCT DATA'!$A$2:$A$58,0))),NOT(ISNA(MATCH(IF(UPPER($M228)="UK","GB",$M228),'PRODUCT DATA'!$B$2:$B$58,0)))),NOT(IFERROR(COUNTIF(OFFSET('PRODUCT DATA'!$F$2,0,MATCH($AC228,'PRODUCT DATA'!$F$1:$NN$1,0)-1,114,1),$N228)&gt;0,FALSE()))),IF(UPPER(IFERROR(OFFSET('PRODUCT DATA'!$C$2,MATCH($N228,'PRODUCT DATA'!$B$2:$B$58,0)-1,0),""))="NO","Alcohol Restriction; ","Item Code / Country combination; "),"")&amp;IF($C228="","Quantity; ","")&amp;IF(AND($C228&lt;&gt;"",OR(NOT(ISNUMBER($C228)),$C228&lt;1,$C228&gt;999,MOD($C228,1)&lt;&gt;0)),"Quantity; ","")&amp;IF($D228="","Recipient Name; ","")&amp;IF(LEN($D228)&gt;35,"Recipient Name; ","")&amp;IF($E228="","Recipient Phone; ","")&amp;IF(AND($E228&lt;&gt;"",OR(LEN($E228)&lt;6,LEN($E228)&gt;20,NOT(IFERROR(ISNUMBER(1*$E228),FALSE())))),"Recipient Phone; ","")&amp;IF(LEN($F228)&gt;35,"Recipient Company Name; ","")&amp;IF($G228="","Address Line 1; ","")&amp;IF(LEN($G228)&gt;35,"Address Line 1; ","")&amp;IF(LEN($H228)&gt;35,"Address Line 2; ","")&amp;IF(LEN($I228)&gt;35,"Address Line 3; ","")&amp;IF($J228="","Town; ","")&amp;IF(LEN($J228)&gt;35,"Town; ","")&amp;IF(AND($N228="IE",$K228=""),"County; ","")&amp;IF(LEN($AB228)&gt;35,"County; ","")&amp;IF(AND($L228="",AND($N228&lt;&gt;"AE",$N228&lt;&gt;"QA")),"Postcode; ","")&amp;IF(LEN($L228)&gt;35,"Postcode; ","")&amp;IF($AE228&lt;&gt;"","Postcode; ","")&amp;IF(LEN($O228)&gt;40,"Gift Message 1; ","")&amp;IF(LEN($P228)&gt;40,"Gift Message 2; ","")&amp;IF(LEN($Q228)&gt;40,"Gift Message 3; ","")&amp;IF(LEN($R228)&gt;40,"Gift Message 4; ","")&amp;IF(LEN($S228)&gt;40,"Gift Message 5; ","")&amp;IF(LEN($T228)&gt;40,"Gift Message 6; ","")&amp;IF(LEN($U228)&gt;40,"Gift Message 7; ",""))</f>
        <v/>
      </c>
      <c r="X228" s="44" t="str">
        <f ca="1">IF(COUNTA($A228,$D228:$M228,$O228:$U228)=0,"",IF($A228="","Enter the Item Code (hamper) - type it, paste it, or choose it from the dropdown. ","")&amp;IF(AND($A228&lt;&gt;"",ISNA(MATCH($AC228,'PRODUCT DATA'!$D$2:$D$394,0))),"This Item Code is not recognised. Check the code (case does not matter, but spelling and digits must match exactly) or choose it from the dropdown. ","")&amp;IF($M228="","Enter the Country after the Item Code - type or paste the name or the 2-letter code, or choose it from the dropdown. ","")&amp;IF(AND($M228&lt;&gt;"",NOT(OR(NOT(ISNA(MATCH(IF(UPPER($M228)="UK","GB",$M228),'PRODUCT DATA'!$A$2:$A$58,0))),NOT(ISNA(MATCH(IF(UPPER($M228)="UK","GB",$M228),'PRODUCT DATA'!$B$2:$B$58,0)))))),"This Country is not recognised as either a full name or a 2-letter code. Check the spelling (case does not matter) or choose it from the dropdown. ","")&amp;IF(AND($A228&lt;&gt;"",$M228&lt;&gt;"",NOT(ISNA(MATCH($AC228,'PRODUCT DATA'!$D$2:$D$394,0))),OR(NOT(ISNA(MATCH(IF(UPPER($M228)="UK","GB",$M228),'PRODUCT DATA'!$A$2:$A$58,0))),NOT(ISNA(MATCH(IF(UPPER($M228)="UK","GB",$M228),'PRODUCT DATA'!$B$2:$B$58,0)))),NOT(IFERROR(COUNTIF(OFFSET('PRODUCT DATA'!$F$2,0,MATCH($AC228,'PRODUCT DATA'!$F$1:$NN$1,0)-1,114,1),$N228)&gt;0,FALSE()))),IF(UPPER(IFERROR(OFFSET('PRODUCT DATA'!$C$2,MATCH($N228,'PRODUCT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"),"")&amp;IF($C228="","Enter Quantity. ","")&amp;IF(AND($C228&lt;&gt;"",OR(NOT(ISNUMBER($C228)),$C228&lt;1,$C228&gt;999,MOD($C228,1)&lt;&gt;0)),"Quantity must be a whole number from 1 to 999 (use a quantity above 1 only for a genuine bulk order of identical items to ONE address — otherwise use a separate row per recipient). ","")&amp;IF($D228="","Enter Recipient Name. ","")&amp;IF(LEN($D228)&gt;35,"Recipient Name exceeds 35 characters. ","")&amp;IF($E228="","Enter Recipient Phone. ","")&amp;IF(AND($E228&lt;&gt;"",OR(LEN($E228)&lt;6,LEN($E228)&gt;20,NOT(IFERROR(ISNUMBER(1*$E228),FALSE())))),"Phone must be the LOCAL number for the destination country: digits only, no +, spaces, or country code, 6 to 20 digits. ","")&amp;IF(LEN($F228)&gt;35,"Recipient Company Name exceeds 35 characters. ","")&amp;IF($G228="","Enter Address Line 1. ","")&amp;IF(LEN($G228)&gt;35,"Address Line 1 exceeds the 35-character SAP limit. ","")&amp;IF(LEN($H228)&gt;35,"Address Line 2 exceeds the 35-character SAP limit. ","")&amp;IF(LEN($I228)&gt;35,"Address Line 3 exceeds the 35-character SAP limit. ","")&amp;IF($J228="","Enter Town. This must never be left blank, even if there is no conventional town name. ","")&amp;IF(LEN($J228)&gt;35,"Town exceeds 35 characters. ","")&amp;IF(AND($N228="IE",$K228=""),"County is required for deliveries within the Republic of Ireland. ","")&amp;IF(LEN($AB228)&gt;35,"County exceeds 35 characters. ","")&amp;IF(AND($L228="",AND($N228&lt;&gt;"AE",$N228&lt;&gt;"QA")),"Postcode is required for the selected country. If there is genuinely no postcode, enter the first 3 characters of the area (e.g. D15). ","")&amp;IF(LEN($L228)&gt;35,"Postcode exceeds 35 characters. ","")&amp;IF($AE228&lt;&gt;"",$AE228,"")&amp;IF(LEN($O228)&gt;40,"Gift Message Line 1 exceeds 40 characters. ","")&amp;IF(LEN($P228)&gt;40,"Gift Message Line 2 exceeds 40 characters. ","")&amp;IF(LEN($Q228)&gt;40,"Gift Message Line 3 exceeds 40 characters. ","")&amp;IF(LEN($R228)&gt;40,"Gift Message Line 4 exceeds 40 characters. ","")&amp;IF(LEN($S228)&gt;40,"Gift Message Line 5 exceeds 40 characters. ","")&amp;IF(LEN($T228)&gt;40,"Gift Message Line 6 exceeds 40 characters. ","")&amp;IF(LEN($U228)&gt;40,"Gift Message Line 7 exceeds 40 characters. ",""))</f>
        <v/>
      </c>
      <c r="Y228" s="44" t="str">
        <f t="shared" si="13"/>
        <v/>
      </c>
      <c r="Z228" s="44"/>
      <c r="AA228" s="44"/>
      <c r="AB228" s="32" t="str">
        <f t="shared" si="14"/>
        <v/>
      </c>
      <c r="AC228" s="32" t="str">
        <f>IF($A228="","",IFERROR(LEFT(INDEX('PRODUCT DATA'!$NO$2:$NO$25,MATCH($A228,'PRODUCT DATA'!$NP$2:$NP$25,0)),FIND("|",INDEX('PRODUCT DATA'!$NO$2:$NO$25,MATCH($A228,'PRODUCT DATA'!$NP$2:$NP$25,0)))-1),$A228))</f>
        <v/>
      </c>
      <c r="AD228" s="45"/>
      <c r="AE228" s="45" t="str">
        <f t="shared" si="15"/>
        <v/>
      </c>
    </row>
    <row r="229" spans="1:31" ht="15" customHeight="1" x14ac:dyDescent="0.25">
      <c r="A229" s="40"/>
      <c r="B229" s="43" t="str">
        <f>IF($A229="","",IFERROR(VLOOKUP($AC229,'PRODUCT DATA'!$NR$2:$NS$374,2,FALSE()),"UNKNOWN ITEM CODE - please check"))</f>
        <v/>
      </c>
      <c r="C229" s="39">
        <v>1</v>
      </c>
      <c r="D229" s="39"/>
      <c r="E229" s="40"/>
      <c r="F229" s="41"/>
      <c r="G229" s="39"/>
      <c r="H229" s="41"/>
      <c r="I229" s="41"/>
      <c r="J229" s="39"/>
      <c r="K229" s="41"/>
      <c r="L229" s="40"/>
      <c r="M229" s="40"/>
      <c r="N229" s="42" t="str">
        <f>IF($M229="","",IFERROR(INDEX('PRODUCT DATA'!$B$2:$B$58,MATCH(IF(UPPER($M229)="UK","GB",$M229),'PRODUCT DATA'!$B$2:$B$58,0)),IFERROR(INDEX('PRODUCT DATA'!$B$2:$B$58,MATCH(IF(UPPER($M229)="UK","GB",$M229),'PRODUCT DATA'!$A$2:$A$58,0)),"UNKNOWN COUNTRY - please check")))</f>
        <v/>
      </c>
      <c r="O229" s="41"/>
      <c r="P229" s="41"/>
      <c r="Q229" s="41"/>
      <c r="R229" s="41"/>
      <c r="S229" s="41"/>
      <c r="T229" s="41"/>
      <c r="U229" s="41"/>
      <c r="V229" s="43" t="str">
        <f t="shared" si="12"/>
        <v/>
      </c>
      <c r="W229" s="44" t="str">
        <f ca="1">IF(COUNTA($A229,$D229:$M229,$O229:$U229)=0,"",IF($A229="","Item Code; ","")&amp;IF(AND($A229&lt;&gt;"",ISNA(MATCH($AC229,'PRODUCT DATA'!$D$2:$D$394,0))),"Item Code; ","")&amp;IF($M229="","Country; ","")&amp;IF(AND($M229&lt;&gt;"",NOT(OR(NOT(ISNA(MATCH(IF(UPPER($M229)="UK","GB",$M229),'PRODUCT DATA'!$A$2:$A$58,0))),NOT(ISNA(MATCH(IF(UPPER($M229)="UK","GB",$M229),'PRODUCT DATA'!$B$2:$B$58,0)))))),"Country; ","")&amp;IF(AND($A229&lt;&gt;"",$M229&lt;&gt;"",NOT(ISNA(MATCH($AC229,'PRODUCT DATA'!$D$2:$D$394,0))),OR(NOT(ISNA(MATCH(IF(UPPER($M229)="UK","GB",$M229),'PRODUCT DATA'!$A$2:$A$58,0))),NOT(ISNA(MATCH(IF(UPPER($M229)="UK","GB",$M229),'PRODUCT DATA'!$B$2:$B$58,0)))),NOT(IFERROR(COUNTIF(OFFSET('PRODUCT DATA'!$F$2,0,MATCH($AC229,'PRODUCT DATA'!$F$1:$NN$1,0)-1,114,1),$N229)&gt;0,FALSE()))),IF(UPPER(IFERROR(OFFSET('PRODUCT DATA'!$C$2,MATCH($N229,'PRODUCT DATA'!$B$2:$B$58,0)-1,0),""))="NO","Alcohol Restriction; ","Item Code / Country combination; "),"")&amp;IF($C229="","Quantity; ","")&amp;IF(AND($C229&lt;&gt;"",OR(NOT(ISNUMBER($C229)),$C229&lt;1,$C229&gt;999,MOD($C229,1)&lt;&gt;0)),"Quantity; ","")&amp;IF($D229="","Recipient Name; ","")&amp;IF(LEN($D229)&gt;35,"Recipient Name; ","")&amp;IF($E229="","Recipient Phone; ","")&amp;IF(AND($E229&lt;&gt;"",OR(LEN($E229)&lt;6,LEN($E229)&gt;20,NOT(IFERROR(ISNUMBER(1*$E229),FALSE())))),"Recipient Phone; ","")&amp;IF(LEN($F229)&gt;35,"Recipient Company Name; ","")&amp;IF($G229="","Address Line 1; ","")&amp;IF(LEN($G229)&gt;35,"Address Line 1; ","")&amp;IF(LEN($H229)&gt;35,"Address Line 2; ","")&amp;IF(LEN($I229)&gt;35,"Address Line 3; ","")&amp;IF($J229="","Town; ","")&amp;IF(LEN($J229)&gt;35,"Town; ","")&amp;IF(AND($N229="IE",$K229=""),"County; ","")&amp;IF(LEN($AB229)&gt;35,"County; ","")&amp;IF(AND($L229="",AND($N229&lt;&gt;"AE",$N229&lt;&gt;"QA")),"Postcode; ","")&amp;IF(LEN($L229)&gt;35,"Postcode; ","")&amp;IF($AE229&lt;&gt;"","Postcode; ","")&amp;IF(LEN($O229)&gt;40,"Gift Message 1; ","")&amp;IF(LEN($P229)&gt;40,"Gift Message 2; ","")&amp;IF(LEN($Q229)&gt;40,"Gift Message 3; ","")&amp;IF(LEN($R229)&gt;40,"Gift Message 4; ","")&amp;IF(LEN($S229)&gt;40,"Gift Message 5; ","")&amp;IF(LEN($T229)&gt;40,"Gift Message 6; ","")&amp;IF(LEN($U229)&gt;40,"Gift Message 7; ",""))</f>
        <v/>
      </c>
      <c r="X229" s="44" t="str">
        <f ca="1">IF(COUNTA($A229,$D229:$M229,$O229:$U229)=0,"",IF($A229="","Enter the Item Code (hamper) - type it, paste it, or choose it from the dropdown. ","")&amp;IF(AND($A229&lt;&gt;"",ISNA(MATCH($AC229,'PRODUCT DATA'!$D$2:$D$394,0))),"This Item Code is not recognised. Check the code (case does not matter, but spelling and digits must match exactly) or choose it from the dropdown. ","")&amp;IF($M229="","Enter the Country after the Item Code - type or paste the name or the 2-letter code, or choose it from the dropdown. ","")&amp;IF(AND($M229&lt;&gt;"",NOT(OR(NOT(ISNA(MATCH(IF(UPPER($M229)="UK","GB",$M229),'PRODUCT DATA'!$A$2:$A$58,0))),NOT(ISNA(MATCH(IF(UPPER($M229)="UK","GB",$M229),'PRODUCT DATA'!$B$2:$B$58,0)))))),"This Country is not recognised as either a full name or a 2-letter code. Check the spelling (case does not matter) or choose it from the dropdown. ","")&amp;IF(AND($A229&lt;&gt;"",$M229&lt;&gt;"",NOT(ISNA(MATCH($AC229,'PRODUCT DATA'!$D$2:$D$394,0))),OR(NOT(ISNA(MATCH(IF(UPPER($M229)="UK","GB",$M229),'PRODUCT DATA'!$A$2:$A$58,0))),NOT(ISNA(MATCH(IF(UPPER($M229)="UK","GB",$M229),'PRODUCT DATA'!$B$2:$B$58,0)))),NOT(IFERROR(COUNTIF(OFFSET('PRODUCT DATA'!$F$2,0,MATCH($AC229,'PRODUCT DATA'!$F$1:$NN$1,0)-1,114,1),$N229)&gt;0,FALSE()))),IF(UPPER(IFERROR(OFFSET('PRODUCT DATA'!$C$2,MATCH($N229,'PRODUCT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"),"")&amp;IF($C229="","Enter Quantity. ","")&amp;IF(AND($C229&lt;&gt;"",OR(NOT(ISNUMBER($C229)),$C229&lt;1,$C229&gt;999,MOD($C229,1)&lt;&gt;0)),"Quantity must be a whole number from 1 to 999 (use a quantity above 1 only for a genuine bulk order of identical items to ONE address — otherwise use a separate row per recipient). ","")&amp;IF($D229="","Enter Recipient Name. ","")&amp;IF(LEN($D229)&gt;35,"Recipient Name exceeds 35 characters. ","")&amp;IF($E229="","Enter Recipient Phone. ","")&amp;IF(AND($E229&lt;&gt;"",OR(LEN($E229)&lt;6,LEN($E229)&gt;20,NOT(IFERROR(ISNUMBER(1*$E229),FALSE())))),"Phone must be the LOCAL number for the destination country: digits only, no +, spaces, or country code, 6 to 20 digits. ","")&amp;IF(LEN($F229)&gt;35,"Recipient Company Name exceeds 35 characters. ","")&amp;IF($G229="","Enter Address Line 1. ","")&amp;IF(LEN($G229)&gt;35,"Address Line 1 exceeds the 35-character SAP limit. ","")&amp;IF(LEN($H229)&gt;35,"Address Line 2 exceeds the 35-character SAP limit. ","")&amp;IF(LEN($I229)&gt;35,"Address Line 3 exceeds the 35-character SAP limit. ","")&amp;IF($J229="","Enter Town. This must never be left blank, even if there is no conventional town name. ","")&amp;IF(LEN($J229)&gt;35,"Town exceeds 35 characters. ","")&amp;IF(AND($N229="IE",$K229=""),"County is required for deliveries within the Republic of Ireland. ","")&amp;IF(LEN($AB229)&gt;35,"County exceeds 35 characters. ","")&amp;IF(AND($L229="",AND($N229&lt;&gt;"AE",$N229&lt;&gt;"QA")),"Postcode is required for the selected country. If there is genuinely no postcode, enter the first 3 characters of the area (e.g. D15). ","")&amp;IF(LEN($L229)&gt;35,"Postcode exceeds 35 characters. ","")&amp;IF($AE229&lt;&gt;"",$AE229,"")&amp;IF(LEN($O229)&gt;40,"Gift Message Line 1 exceeds 40 characters. ","")&amp;IF(LEN($P229)&gt;40,"Gift Message Line 2 exceeds 40 characters. ","")&amp;IF(LEN($Q229)&gt;40,"Gift Message Line 3 exceeds 40 characters. ","")&amp;IF(LEN($R229)&gt;40,"Gift Message Line 4 exceeds 40 characters. ","")&amp;IF(LEN($S229)&gt;40,"Gift Message Line 5 exceeds 40 characters. ","")&amp;IF(LEN($T229)&gt;40,"Gift Message Line 6 exceeds 40 characters. ","")&amp;IF(LEN($U229)&gt;40,"Gift Message Line 7 exceeds 40 characters. ",""))</f>
        <v/>
      </c>
      <c r="Y229" s="44" t="str">
        <f t="shared" si="13"/>
        <v/>
      </c>
      <c r="Z229" s="44"/>
      <c r="AA229" s="44"/>
      <c r="AB229" s="32" t="str">
        <f t="shared" si="14"/>
        <v/>
      </c>
      <c r="AC229" s="32" t="str">
        <f>IF($A229="","",IFERROR(LEFT(INDEX('PRODUCT DATA'!$NO$2:$NO$25,MATCH($A229,'PRODUCT DATA'!$NP$2:$NP$25,0)),FIND("|",INDEX('PRODUCT DATA'!$NO$2:$NO$25,MATCH($A229,'PRODUCT DATA'!$NP$2:$NP$25,0)))-1),$A229))</f>
        <v/>
      </c>
      <c r="AD229" s="45"/>
      <c r="AE229" s="45" t="str">
        <f t="shared" si="15"/>
        <v/>
      </c>
    </row>
    <row r="230" spans="1:31" ht="15" customHeight="1" x14ac:dyDescent="0.25">
      <c r="A230" s="40"/>
      <c r="B230" s="43" t="str">
        <f>IF($A230="","",IFERROR(VLOOKUP($AC230,'PRODUCT DATA'!$NR$2:$NS$374,2,FALSE()),"UNKNOWN ITEM CODE - please check"))</f>
        <v/>
      </c>
      <c r="C230" s="39">
        <v>1</v>
      </c>
      <c r="D230" s="39"/>
      <c r="E230" s="40"/>
      <c r="F230" s="41"/>
      <c r="G230" s="39"/>
      <c r="H230" s="41"/>
      <c r="I230" s="41"/>
      <c r="J230" s="39"/>
      <c r="K230" s="41"/>
      <c r="L230" s="40"/>
      <c r="M230" s="40"/>
      <c r="N230" s="42" t="str">
        <f>IF($M230="","",IFERROR(INDEX('PRODUCT DATA'!$B$2:$B$58,MATCH(IF(UPPER($M230)="UK","GB",$M230),'PRODUCT DATA'!$B$2:$B$58,0)),IFERROR(INDEX('PRODUCT DATA'!$B$2:$B$58,MATCH(IF(UPPER($M230)="UK","GB",$M230),'PRODUCT DATA'!$A$2:$A$58,0)),"UNKNOWN COUNTRY - please check")))</f>
        <v/>
      </c>
      <c r="O230" s="41"/>
      <c r="P230" s="41"/>
      <c r="Q230" s="41"/>
      <c r="R230" s="41"/>
      <c r="S230" s="41"/>
      <c r="T230" s="41"/>
      <c r="U230" s="41"/>
      <c r="V230" s="43" t="str">
        <f t="shared" si="12"/>
        <v/>
      </c>
      <c r="W230" s="44" t="str">
        <f ca="1">IF(COUNTA($A230,$D230:$M230,$O230:$U230)=0,"",IF($A230="","Item Code; ","")&amp;IF(AND($A230&lt;&gt;"",ISNA(MATCH($AC230,'PRODUCT DATA'!$D$2:$D$394,0))),"Item Code; ","")&amp;IF($M230="","Country; ","")&amp;IF(AND($M230&lt;&gt;"",NOT(OR(NOT(ISNA(MATCH(IF(UPPER($M230)="UK","GB",$M230),'PRODUCT DATA'!$A$2:$A$58,0))),NOT(ISNA(MATCH(IF(UPPER($M230)="UK","GB",$M230),'PRODUCT DATA'!$B$2:$B$58,0)))))),"Country; ","")&amp;IF(AND($A230&lt;&gt;"",$M230&lt;&gt;"",NOT(ISNA(MATCH($AC230,'PRODUCT DATA'!$D$2:$D$394,0))),OR(NOT(ISNA(MATCH(IF(UPPER($M230)="UK","GB",$M230),'PRODUCT DATA'!$A$2:$A$58,0))),NOT(ISNA(MATCH(IF(UPPER($M230)="UK","GB",$M230),'PRODUCT DATA'!$B$2:$B$58,0)))),NOT(IFERROR(COUNTIF(OFFSET('PRODUCT DATA'!$F$2,0,MATCH($AC230,'PRODUCT DATA'!$F$1:$NN$1,0)-1,114,1),$N230)&gt;0,FALSE()))),IF(UPPER(IFERROR(OFFSET('PRODUCT DATA'!$C$2,MATCH($N230,'PRODUCT DATA'!$B$2:$B$58,0)-1,0),""))="NO","Alcohol Restriction; ","Item Code / Country combination; "),"")&amp;IF($C230="","Quantity; ","")&amp;IF(AND($C230&lt;&gt;"",OR(NOT(ISNUMBER($C230)),$C230&lt;1,$C230&gt;999,MOD($C230,1)&lt;&gt;0)),"Quantity; ","")&amp;IF($D230="","Recipient Name; ","")&amp;IF(LEN($D230)&gt;35,"Recipient Name; ","")&amp;IF($E230="","Recipient Phone; ","")&amp;IF(AND($E230&lt;&gt;"",OR(LEN($E230)&lt;6,LEN($E230)&gt;20,NOT(IFERROR(ISNUMBER(1*$E230),FALSE())))),"Recipient Phone; ","")&amp;IF(LEN($F230)&gt;35,"Recipient Company Name; ","")&amp;IF($G230="","Address Line 1; ","")&amp;IF(LEN($G230)&gt;35,"Address Line 1; ","")&amp;IF(LEN($H230)&gt;35,"Address Line 2; ","")&amp;IF(LEN($I230)&gt;35,"Address Line 3; ","")&amp;IF($J230="","Town; ","")&amp;IF(LEN($J230)&gt;35,"Town; ","")&amp;IF(AND($N230="IE",$K230=""),"County; ","")&amp;IF(LEN($AB230)&gt;35,"County; ","")&amp;IF(AND($L230="",AND($N230&lt;&gt;"AE",$N230&lt;&gt;"QA")),"Postcode; ","")&amp;IF(LEN($L230)&gt;35,"Postcode; ","")&amp;IF($AE230&lt;&gt;"","Postcode; ","")&amp;IF(LEN($O230)&gt;40,"Gift Message 1; ","")&amp;IF(LEN($P230)&gt;40,"Gift Message 2; ","")&amp;IF(LEN($Q230)&gt;40,"Gift Message 3; ","")&amp;IF(LEN($R230)&gt;40,"Gift Message 4; ","")&amp;IF(LEN($S230)&gt;40,"Gift Message 5; ","")&amp;IF(LEN($T230)&gt;40,"Gift Message 6; ","")&amp;IF(LEN($U230)&gt;40,"Gift Message 7; ",""))</f>
        <v/>
      </c>
      <c r="X230" s="44" t="str">
        <f ca="1">IF(COUNTA($A230,$D230:$M230,$O230:$U230)=0,"",IF($A230="","Enter the Item Code (hamper) - type it, paste it, or choose it from the dropdown. ","")&amp;IF(AND($A230&lt;&gt;"",ISNA(MATCH($AC230,'PRODUCT DATA'!$D$2:$D$394,0))),"This Item Code is not recognised. Check the code (case does not matter, but spelling and digits must match exactly) or choose it from the dropdown. ","")&amp;IF($M230="","Enter the Country after the Item Code - type or paste the name or the 2-letter code, or choose it from the dropdown. ","")&amp;IF(AND($M230&lt;&gt;"",NOT(OR(NOT(ISNA(MATCH(IF(UPPER($M230)="UK","GB",$M230),'PRODUCT DATA'!$A$2:$A$58,0))),NOT(ISNA(MATCH(IF(UPPER($M230)="UK","GB",$M230),'PRODUCT DATA'!$B$2:$B$58,0)))))),"This Country is not recognised as either a full name or a 2-letter code. Check the spelling (case does not matter) or choose it from the dropdown. ","")&amp;IF(AND($A230&lt;&gt;"",$M230&lt;&gt;"",NOT(ISNA(MATCH($AC230,'PRODUCT DATA'!$D$2:$D$394,0))),OR(NOT(ISNA(MATCH(IF(UPPER($M230)="UK","GB",$M230),'PRODUCT DATA'!$A$2:$A$58,0))),NOT(ISNA(MATCH(IF(UPPER($M230)="UK","GB",$M230),'PRODUCT DATA'!$B$2:$B$58,0)))),NOT(IFERROR(COUNTIF(OFFSET('PRODUCT DATA'!$F$2,0,MATCH($AC230,'PRODUCT DATA'!$F$1:$NN$1,0)-1,114,1),$N230)&gt;0,FALSE()))),IF(UPPER(IFERROR(OFFSET('PRODUCT DATA'!$C$2,MATCH($N230,'PRODUCT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"),"")&amp;IF($C230="","Enter Quantity. ","")&amp;IF(AND($C230&lt;&gt;"",OR(NOT(ISNUMBER($C230)),$C230&lt;1,$C230&gt;999,MOD($C230,1)&lt;&gt;0)),"Quantity must be a whole number from 1 to 999 (use a quantity above 1 only for a genuine bulk order of identical items to ONE address — otherwise use a separate row per recipient). ","")&amp;IF($D230="","Enter Recipient Name. ","")&amp;IF(LEN($D230)&gt;35,"Recipient Name exceeds 35 characters. ","")&amp;IF($E230="","Enter Recipient Phone. ","")&amp;IF(AND($E230&lt;&gt;"",OR(LEN($E230)&lt;6,LEN($E230)&gt;20,NOT(IFERROR(ISNUMBER(1*$E230),FALSE())))),"Phone must be the LOCAL number for the destination country: digits only, no +, spaces, or country code, 6 to 20 digits. ","")&amp;IF(LEN($F230)&gt;35,"Recipient Company Name exceeds 35 characters. ","")&amp;IF($G230="","Enter Address Line 1. ","")&amp;IF(LEN($G230)&gt;35,"Address Line 1 exceeds the 35-character SAP limit. ","")&amp;IF(LEN($H230)&gt;35,"Address Line 2 exceeds the 35-character SAP limit. ","")&amp;IF(LEN($I230)&gt;35,"Address Line 3 exceeds the 35-character SAP limit. ","")&amp;IF($J230="","Enter Town. This must never be left blank, even if there is no conventional town name. ","")&amp;IF(LEN($J230)&gt;35,"Town exceeds 35 characters. ","")&amp;IF(AND($N230="IE",$K230=""),"County is required for deliveries within the Republic of Ireland. ","")&amp;IF(LEN($AB230)&gt;35,"County exceeds 35 characters. ","")&amp;IF(AND($L230="",AND($N230&lt;&gt;"AE",$N230&lt;&gt;"QA")),"Postcode is required for the selected country. If there is genuinely no postcode, enter the first 3 characters of the area (e.g. D15). ","")&amp;IF(LEN($L230)&gt;35,"Postcode exceeds 35 characters. ","")&amp;IF($AE230&lt;&gt;"",$AE230,"")&amp;IF(LEN($O230)&gt;40,"Gift Message Line 1 exceeds 40 characters. ","")&amp;IF(LEN($P230)&gt;40,"Gift Message Line 2 exceeds 40 characters. ","")&amp;IF(LEN($Q230)&gt;40,"Gift Message Line 3 exceeds 40 characters. ","")&amp;IF(LEN($R230)&gt;40,"Gift Message Line 4 exceeds 40 characters. ","")&amp;IF(LEN($S230)&gt;40,"Gift Message Line 5 exceeds 40 characters. ","")&amp;IF(LEN($T230)&gt;40,"Gift Message Line 6 exceeds 40 characters. ","")&amp;IF(LEN($U230)&gt;40,"Gift Message Line 7 exceeds 40 characters. ",""))</f>
        <v/>
      </c>
      <c r="Y230" s="44" t="str">
        <f t="shared" si="13"/>
        <v/>
      </c>
      <c r="Z230" s="44"/>
      <c r="AA230" s="44"/>
      <c r="AB230" s="32" t="str">
        <f t="shared" si="14"/>
        <v/>
      </c>
      <c r="AC230" s="32" t="str">
        <f>IF($A230="","",IFERROR(LEFT(INDEX('PRODUCT DATA'!$NO$2:$NO$25,MATCH($A230,'PRODUCT DATA'!$NP$2:$NP$25,0)),FIND("|",INDEX('PRODUCT DATA'!$NO$2:$NO$25,MATCH($A230,'PRODUCT DATA'!$NP$2:$NP$25,0)))-1),$A230))</f>
        <v/>
      </c>
      <c r="AD230" s="45"/>
      <c r="AE230" s="45" t="str">
        <f t="shared" si="15"/>
        <v/>
      </c>
    </row>
    <row r="231" spans="1:31" ht="15" customHeight="1" x14ac:dyDescent="0.25">
      <c r="A231" s="40"/>
      <c r="B231" s="43" t="str">
        <f>IF($A231="","",IFERROR(VLOOKUP($AC231,'PRODUCT DATA'!$NR$2:$NS$374,2,FALSE()),"UNKNOWN ITEM CODE - please check"))</f>
        <v/>
      </c>
      <c r="C231" s="39">
        <v>1</v>
      </c>
      <c r="D231" s="39"/>
      <c r="E231" s="40"/>
      <c r="F231" s="41"/>
      <c r="G231" s="39"/>
      <c r="H231" s="41"/>
      <c r="I231" s="41"/>
      <c r="J231" s="39"/>
      <c r="K231" s="41"/>
      <c r="L231" s="40"/>
      <c r="M231" s="40"/>
      <c r="N231" s="42" t="str">
        <f>IF($M231="","",IFERROR(INDEX('PRODUCT DATA'!$B$2:$B$58,MATCH(IF(UPPER($M231)="UK","GB",$M231),'PRODUCT DATA'!$B$2:$B$58,0)),IFERROR(INDEX('PRODUCT DATA'!$B$2:$B$58,MATCH(IF(UPPER($M231)="UK","GB",$M231),'PRODUCT DATA'!$A$2:$A$58,0)),"UNKNOWN COUNTRY - please check")))</f>
        <v/>
      </c>
      <c r="O231" s="41"/>
      <c r="P231" s="41"/>
      <c r="Q231" s="41"/>
      <c r="R231" s="41"/>
      <c r="S231" s="41"/>
      <c r="T231" s="41"/>
      <c r="U231" s="41"/>
      <c r="V231" s="43" t="str">
        <f t="shared" si="12"/>
        <v/>
      </c>
      <c r="W231" s="44" t="str">
        <f ca="1">IF(COUNTA($A231,$D231:$M231,$O231:$U231)=0,"",IF($A231="","Item Code; ","")&amp;IF(AND($A231&lt;&gt;"",ISNA(MATCH($AC231,'PRODUCT DATA'!$D$2:$D$394,0))),"Item Code; ","")&amp;IF($M231="","Country; ","")&amp;IF(AND($M231&lt;&gt;"",NOT(OR(NOT(ISNA(MATCH(IF(UPPER($M231)="UK","GB",$M231),'PRODUCT DATA'!$A$2:$A$58,0))),NOT(ISNA(MATCH(IF(UPPER($M231)="UK","GB",$M231),'PRODUCT DATA'!$B$2:$B$58,0)))))),"Country; ","")&amp;IF(AND($A231&lt;&gt;"",$M231&lt;&gt;"",NOT(ISNA(MATCH($AC231,'PRODUCT DATA'!$D$2:$D$394,0))),OR(NOT(ISNA(MATCH(IF(UPPER($M231)="UK","GB",$M231),'PRODUCT DATA'!$A$2:$A$58,0))),NOT(ISNA(MATCH(IF(UPPER($M231)="UK","GB",$M231),'PRODUCT DATA'!$B$2:$B$58,0)))),NOT(IFERROR(COUNTIF(OFFSET('PRODUCT DATA'!$F$2,0,MATCH($AC231,'PRODUCT DATA'!$F$1:$NN$1,0)-1,114,1),$N231)&gt;0,FALSE()))),IF(UPPER(IFERROR(OFFSET('PRODUCT DATA'!$C$2,MATCH($N231,'PRODUCT DATA'!$B$2:$B$58,0)-1,0),""))="NO","Alcohol Restriction; ","Item Code / Country combination; "),"")&amp;IF($C231="","Quantity; ","")&amp;IF(AND($C231&lt;&gt;"",OR(NOT(ISNUMBER($C231)),$C231&lt;1,$C231&gt;999,MOD($C231,1)&lt;&gt;0)),"Quantity; ","")&amp;IF($D231="","Recipient Name; ","")&amp;IF(LEN($D231)&gt;35,"Recipient Name; ","")&amp;IF($E231="","Recipient Phone; ","")&amp;IF(AND($E231&lt;&gt;"",OR(LEN($E231)&lt;6,LEN($E231)&gt;20,NOT(IFERROR(ISNUMBER(1*$E231),FALSE())))),"Recipient Phone; ","")&amp;IF(LEN($F231)&gt;35,"Recipient Company Name; ","")&amp;IF($G231="","Address Line 1; ","")&amp;IF(LEN($G231)&gt;35,"Address Line 1; ","")&amp;IF(LEN($H231)&gt;35,"Address Line 2; ","")&amp;IF(LEN($I231)&gt;35,"Address Line 3; ","")&amp;IF($J231="","Town; ","")&amp;IF(LEN($J231)&gt;35,"Town; ","")&amp;IF(AND($N231="IE",$K231=""),"County; ","")&amp;IF(LEN($AB231)&gt;35,"County; ","")&amp;IF(AND($L231="",AND($N231&lt;&gt;"AE",$N231&lt;&gt;"QA")),"Postcode; ","")&amp;IF(LEN($L231)&gt;35,"Postcode; ","")&amp;IF($AE231&lt;&gt;"","Postcode; ","")&amp;IF(LEN($O231)&gt;40,"Gift Message 1; ","")&amp;IF(LEN($P231)&gt;40,"Gift Message 2; ","")&amp;IF(LEN($Q231)&gt;40,"Gift Message 3; ","")&amp;IF(LEN($R231)&gt;40,"Gift Message 4; ","")&amp;IF(LEN($S231)&gt;40,"Gift Message 5; ","")&amp;IF(LEN($T231)&gt;40,"Gift Message 6; ","")&amp;IF(LEN($U231)&gt;40,"Gift Message 7; ",""))</f>
        <v/>
      </c>
      <c r="X231" s="44" t="str">
        <f ca="1">IF(COUNTA($A231,$D231:$M231,$O231:$U231)=0,"",IF($A231="","Enter the Item Code (hamper) - type it, paste it, or choose it from the dropdown. ","")&amp;IF(AND($A231&lt;&gt;"",ISNA(MATCH($AC231,'PRODUCT DATA'!$D$2:$D$394,0))),"This Item Code is not recognised. Check the code (case does not matter, but spelling and digits must match exactly) or choose it from the dropdown. ","")&amp;IF($M231="","Enter the Country after the Item Code - type or paste the name or the 2-letter code, or choose it from the dropdown. ","")&amp;IF(AND($M231&lt;&gt;"",NOT(OR(NOT(ISNA(MATCH(IF(UPPER($M231)="UK","GB",$M231),'PRODUCT DATA'!$A$2:$A$58,0))),NOT(ISNA(MATCH(IF(UPPER($M231)="UK","GB",$M231),'PRODUCT DATA'!$B$2:$B$58,0)))))),"This Country is not recognised as either a full name or a 2-letter code. Check the spelling (case does not matter) or choose it from the dropdown. ","")&amp;IF(AND($A231&lt;&gt;"",$M231&lt;&gt;"",NOT(ISNA(MATCH($AC231,'PRODUCT DATA'!$D$2:$D$394,0))),OR(NOT(ISNA(MATCH(IF(UPPER($M231)="UK","GB",$M231),'PRODUCT DATA'!$A$2:$A$58,0))),NOT(ISNA(MATCH(IF(UPPER($M231)="UK","GB",$M231),'PRODUCT DATA'!$B$2:$B$58,0)))),NOT(IFERROR(COUNTIF(OFFSET('PRODUCT DATA'!$F$2,0,MATCH($AC231,'PRODUCT DATA'!$F$1:$NN$1,0)-1,114,1),$N231)&gt;0,FALSE()))),IF(UPPER(IFERROR(OFFSET('PRODUCT DATA'!$C$2,MATCH($N231,'PRODUCT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"),"")&amp;IF($C231="","Enter Quantity. ","")&amp;IF(AND($C231&lt;&gt;"",OR(NOT(ISNUMBER($C231)),$C231&lt;1,$C231&gt;999,MOD($C231,1)&lt;&gt;0)),"Quantity must be a whole number from 1 to 999 (use a quantity above 1 only for a genuine bulk order of identical items to ONE address — otherwise use a separate row per recipient). ","")&amp;IF($D231="","Enter Recipient Name. ","")&amp;IF(LEN($D231)&gt;35,"Recipient Name exceeds 35 characters. ","")&amp;IF($E231="","Enter Recipient Phone. ","")&amp;IF(AND($E231&lt;&gt;"",OR(LEN($E231)&lt;6,LEN($E231)&gt;20,NOT(IFERROR(ISNUMBER(1*$E231),FALSE())))),"Phone must be the LOCAL number for the destination country: digits only, no +, spaces, or country code, 6 to 20 digits. ","")&amp;IF(LEN($F231)&gt;35,"Recipient Company Name exceeds 35 characters. ","")&amp;IF($G231="","Enter Address Line 1. ","")&amp;IF(LEN($G231)&gt;35,"Address Line 1 exceeds the 35-character SAP limit. ","")&amp;IF(LEN($H231)&gt;35,"Address Line 2 exceeds the 35-character SAP limit. ","")&amp;IF(LEN($I231)&gt;35,"Address Line 3 exceeds the 35-character SAP limit. ","")&amp;IF($J231="","Enter Town. This must never be left blank, even if there is no conventional town name. ","")&amp;IF(LEN($J231)&gt;35,"Town exceeds 35 characters. ","")&amp;IF(AND($N231="IE",$K231=""),"County is required for deliveries within the Republic of Ireland. ","")&amp;IF(LEN($AB231)&gt;35,"County exceeds 35 characters. ","")&amp;IF(AND($L231="",AND($N231&lt;&gt;"AE",$N231&lt;&gt;"QA")),"Postcode is required for the selected country. If there is genuinely no postcode, enter the first 3 characters of the area (e.g. D15). ","")&amp;IF(LEN($L231)&gt;35,"Postcode exceeds 35 characters. ","")&amp;IF($AE231&lt;&gt;"",$AE231,"")&amp;IF(LEN($O231)&gt;40,"Gift Message Line 1 exceeds 40 characters. ","")&amp;IF(LEN($P231)&gt;40,"Gift Message Line 2 exceeds 40 characters. ","")&amp;IF(LEN($Q231)&gt;40,"Gift Message Line 3 exceeds 40 characters. ","")&amp;IF(LEN($R231)&gt;40,"Gift Message Line 4 exceeds 40 characters. ","")&amp;IF(LEN($S231)&gt;40,"Gift Message Line 5 exceeds 40 characters. ","")&amp;IF(LEN($T231)&gt;40,"Gift Message Line 6 exceeds 40 characters. ","")&amp;IF(LEN($U231)&gt;40,"Gift Message Line 7 exceeds 40 characters. ",""))</f>
        <v/>
      </c>
      <c r="Y231" s="44" t="str">
        <f t="shared" si="13"/>
        <v/>
      </c>
      <c r="Z231" s="44"/>
      <c r="AA231" s="44"/>
      <c r="AB231" s="32" t="str">
        <f t="shared" si="14"/>
        <v/>
      </c>
      <c r="AC231" s="32" t="str">
        <f>IF($A231="","",IFERROR(LEFT(INDEX('PRODUCT DATA'!$NO$2:$NO$25,MATCH($A231,'PRODUCT DATA'!$NP$2:$NP$25,0)),FIND("|",INDEX('PRODUCT DATA'!$NO$2:$NO$25,MATCH($A231,'PRODUCT DATA'!$NP$2:$NP$25,0)))-1),$A231))</f>
        <v/>
      </c>
      <c r="AD231" s="45"/>
      <c r="AE231" s="45" t="str">
        <f t="shared" si="15"/>
        <v/>
      </c>
    </row>
    <row r="232" spans="1:31" ht="15" customHeight="1" x14ac:dyDescent="0.25">
      <c r="A232" s="40"/>
      <c r="B232" s="43" t="str">
        <f>IF($A232="","",IFERROR(VLOOKUP($AC232,'PRODUCT DATA'!$NR$2:$NS$374,2,FALSE()),"UNKNOWN ITEM CODE - please check"))</f>
        <v/>
      </c>
      <c r="C232" s="39">
        <v>1</v>
      </c>
      <c r="D232" s="39"/>
      <c r="E232" s="40"/>
      <c r="F232" s="41"/>
      <c r="G232" s="39"/>
      <c r="H232" s="41"/>
      <c r="I232" s="41"/>
      <c r="J232" s="39"/>
      <c r="K232" s="41"/>
      <c r="L232" s="40"/>
      <c r="M232" s="40"/>
      <c r="N232" s="42" t="str">
        <f>IF($M232="","",IFERROR(INDEX('PRODUCT DATA'!$B$2:$B$58,MATCH(IF(UPPER($M232)="UK","GB",$M232),'PRODUCT DATA'!$B$2:$B$58,0)),IFERROR(INDEX('PRODUCT DATA'!$B$2:$B$58,MATCH(IF(UPPER($M232)="UK","GB",$M232),'PRODUCT DATA'!$A$2:$A$58,0)),"UNKNOWN COUNTRY - please check")))</f>
        <v/>
      </c>
      <c r="O232" s="41"/>
      <c r="P232" s="41"/>
      <c r="Q232" s="41"/>
      <c r="R232" s="41"/>
      <c r="S232" s="41"/>
      <c r="T232" s="41"/>
      <c r="U232" s="41"/>
      <c r="V232" s="43" t="str">
        <f t="shared" si="12"/>
        <v/>
      </c>
      <c r="W232" s="44" t="str">
        <f ca="1">IF(COUNTA($A232,$D232:$M232,$O232:$U232)=0,"",IF($A232="","Item Code; ","")&amp;IF(AND($A232&lt;&gt;"",ISNA(MATCH($AC232,'PRODUCT DATA'!$D$2:$D$394,0))),"Item Code; ","")&amp;IF($M232="","Country; ","")&amp;IF(AND($M232&lt;&gt;"",NOT(OR(NOT(ISNA(MATCH(IF(UPPER($M232)="UK","GB",$M232),'PRODUCT DATA'!$A$2:$A$58,0))),NOT(ISNA(MATCH(IF(UPPER($M232)="UK","GB",$M232),'PRODUCT DATA'!$B$2:$B$58,0)))))),"Country; ","")&amp;IF(AND($A232&lt;&gt;"",$M232&lt;&gt;"",NOT(ISNA(MATCH($AC232,'PRODUCT DATA'!$D$2:$D$394,0))),OR(NOT(ISNA(MATCH(IF(UPPER($M232)="UK","GB",$M232),'PRODUCT DATA'!$A$2:$A$58,0))),NOT(ISNA(MATCH(IF(UPPER($M232)="UK","GB",$M232),'PRODUCT DATA'!$B$2:$B$58,0)))),NOT(IFERROR(COUNTIF(OFFSET('PRODUCT DATA'!$F$2,0,MATCH($AC232,'PRODUCT DATA'!$F$1:$NN$1,0)-1,114,1),$N232)&gt;0,FALSE()))),IF(UPPER(IFERROR(OFFSET('PRODUCT DATA'!$C$2,MATCH($N232,'PRODUCT DATA'!$B$2:$B$58,0)-1,0),""))="NO","Alcohol Restriction; ","Item Code / Country combination; "),"")&amp;IF($C232="","Quantity; ","")&amp;IF(AND($C232&lt;&gt;"",OR(NOT(ISNUMBER($C232)),$C232&lt;1,$C232&gt;999,MOD($C232,1)&lt;&gt;0)),"Quantity; ","")&amp;IF($D232="","Recipient Name; ","")&amp;IF(LEN($D232)&gt;35,"Recipient Name; ","")&amp;IF($E232="","Recipient Phone; ","")&amp;IF(AND($E232&lt;&gt;"",OR(LEN($E232)&lt;6,LEN($E232)&gt;20,NOT(IFERROR(ISNUMBER(1*$E232),FALSE())))),"Recipient Phone; ","")&amp;IF(LEN($F232)&gt;35,"Recipient Company Name; ","")&amp;IF($G232="","Address Line 1; ","")&amp;IF(LEN($G232)&gt;35,"Address Line 1; ","")&amp;IF(LEN($H232)&gt;35,"Address Line 2; ","")&amp;IF(LEN($I232)&gt;35,"Address Line 3; ","")&amp;IF($J232="","Town; ","")&amp;IF(LEN($J232)&gt;35,"Town; ","")&amp;IF(AND($N232="IE",$K232=""),"County; ","")&amp;IF(LEN($AB232)&gt;35,"County; ","")&amp;IF(AND($L232="",AND($N232&lt;&gt;"AE",$N232&lt;&gt;"QA")),"Postcode; ","")&amp;IF(LEN($L232)&gt;35,"Postcode; ","")&amp;IF($AE232&lt;&gt;"","Postcode; ","")&amp;IF(LEN($O232)&gt;40,"Gift Message 1; ","")&amp;IF(LEN($P232)&gt;40,"Gift Message 2; ","")&amp;IF(LEN($Q232)&gt;40,"Gift Message 3; ","")&amp;IF(LEN($R232)&gt;40,"Gift Message 4; ","")&amp;IF(LEN($S232)&gt;40,"Gift Message 5; ","")&amp;IF(LEN($T232)&gt;40,"Gift Message 6; ","")&amp;IF(LEN($U232)&gt;40,"Gift Message 7; ",""))</f>
        <v/>
      </c>
      <c r="X232" s="44" t="str">
        <f ca="1">IF(COUNTA($A232,$D232:$M232,$O232:$U232)=0,"",IF($A232="","Enter the Item Code (hamper) - type it, paste it, or choose it from the dropdown. ","")&amp;IF(AND($A232&lt;&gt;"",ISNA(MATCH($AC232,'PRODUCT DATA'!$D$2:$D$394,0))),"This Item Code is not recognised. Check the code (case does not matter, but spelling and digits must match exactly) or choose it from the dropdown. ","")&amp;IF($M232="","Enter the Country after the Item Code - type or paste the name or the 2-letter code, or choose it from the dropdown. ","")&amp;IF(AND($M232&lt;&gt;"",NOT(OR(NOT(ISNA(MATCH(IF(UPPER($M232)="UK","GB",$M232),'PRODUCT DATA'!$A$2:$A$58,0))),NOT(ISNA(MATCH(IF(UPPER($M232)="UK","GB",$M232),'PRODUCT DATA'!$B$2:$B$58,0)))))),"This Country is not recognised as either a full name or a 2-letter code. Check the spelling (case does not matter) or choose it from the dropdown. ","")&amp;IF(AND($A232&lt;&gt;"",$M232&lt;&gt;"",NOT(ISNA(MATCH($AC232,'PRODUCT DATA'!$D$2:$D$394,0))),OR(NOT(ISNA(MATCH(IF(UPPER($M232)="UK","GB",$M232),'PRODUCT DATA'!$A$2:$A$58,0))),NOT(ISNA(MATCH(IF(UPPER($M232)="UK","GB",$M232),'PRODUCT DATA'!$B$2:$B$58,0)))),NOT(IFERROR(COUNTIF(OFFSET('PRODUCT DATA'!$F$2,0,MATCH($AC232,'PRODUCT DATA'!$F$1:$NN$1,0)-1,114,1),$N232)&gt;0,FALSE()))),IF(UPPER(IFERROR(OFFSET('PRODUCT DATA'!$C$2,MATCH($N232,'PRODUCT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"),"")&amp;IF($C232="","Enter Quantity. ","")&amp;IF(AND($C232&lt;&gt;"",OR(NOT(ISNUMBER($C232)),$C232&lt;1,$C232&gt;999,MOD($C232,1)&lt;&gt;0)),"Quantity must be a whole number from 1 to 999 (use a quantity above 1 only for a genuine bulk order of identical items to ONE address — otherwise use a separate row per recipient). ","")&amp;IF($D232="","Enter Recipient Name. ","")&amp;IF(LEN($D232)&gt;35,"Recipient Name exceeds 35 characters. ","")&amp;IF($E232="","Enter Recipient Phone. ","")&amp;IF(AND($E232&lt;&gt;"",OR(LEN($E232)&lt;6,LEN($E232)&gt;20,NOT(IFERROR(ISNUMBER(1*$E232),FALSE())))),"Phone must be the LOCAL number for the destination country: digits only, no +, spaces, or country code, 6 to 20 digits. ","")&amp;IF(LEN($F232)&gt;35,"Recipient Company Name exceeds 35 characters. ","")&amp;IF($G232="","Enter Address Line 1. ","")&amp;IF(LEN($G232)&gt;35,"Address Line 1 exceeds the 35-character SAP limit. ","")&amp;IF(LEN($H232)&gt;35,"Address Line 2 exceeds the 35-character SAP limit. ","")&amp;IF(LEN($I232)&gt;35,"Address Line 3 exceeds the 35-character SAP limit. ","")&amp;IF($J232="","Enter Town. This must never be left blank, even if there is no conventional town name. ","")&amp;IF(LEN($J232)&gt;35,"Town exceeds 35 characters. ","")&amp;IF(AND($N232="IE",$K232=""),"County is required for deliveries within the Republic of Ireland. ","")&amp;IF(LEN($AB232)&gt;35,"County exceeds 35 characters. ","")&amp;IF(AND($L232="",AND($N232&lt;&gt;"AE",$N232&lt;&gt;"QA")),"Postcode is required for the selected country. If there is genuinely no postcode, enter the first 3 characters of the area (e.g. D15). ","")&amp;IF(LEN($L232)&gt;35,"Postcode exceeds 35 characters. ","")&amp;IF($AE232&lt;&gt;"",$AE232,"")&amp;IF(LEN($O232)&gt;40,"Gift Message Line 1 exceeds 40 characters. ","")&amp;IF(LEN($P232)&gt;40,"Gift Message Line 2 exceeds 40 characters. ","")&amp;IF(LEN($Q232)&gt;40,"Gift Message Line 3 exceeds 40 characters. ","")&amp;IF(LEN($R232)&gt;40,"Gift Message Line 4 exceeds 40 characters. ","")&amp;IF(LEN($S232)&gt;40,"Gift Message Line 5 exceeds 40 characters. ","")&amp;IF(LEN($T232)&gt;40,"Gift Message Line 6 exceeds 40 characters. ","")&amp;IF(LEN($U232)&gt;40,"Gift Message Line 7 exceeds 40 characters. ",""))</f>
        <v/>
      </c>
      <c r="Y232" s="44" t="str">
        <f t="shared" si="13"/>
        <v/>
      </c>
      <c r="Z232" s="44"/>
      <c r="AA232" s="44"/>
      <c r="AB232" s="32" t="str">
        <f t="shared" si="14"/>
        <v/>
      </c>
      <c r="AC232" s="32" t="str">
        <f>IF($A232="","",IFERROR(LEFT(INDEX('PRODUCT DATA'!$NO$2:$NO$25,MATCH($A232,'PRODUCT DATA'!$NP$2:$NP$25,0)),FIND("|",INDEX('PRODUCT DATA'!$NO$2:$NO$25,MATCH($A232,'PRODUCT DATA'!$NP$2:$NP$25,0)))-1),$A232))</f>
        <v/>
      </c>
      <c r="AD232" s="45"/>
      <c r="AE232" s="45" t="str">
        <f t="shared" si="15"/>
        <v/>
      </c>
    </row>
    <row r="233" spans="1:31" ht="15" customHeight="1" x14ac:dyDescent="0.25">
      <c r="A233" s="40"/>
      <c r="B233" s="43" t="str">
        <f>IF($A233="","",IFERROR(VLOOKUP($AC233,'PRODUCT DATA'!$NR$2:$NS$374,2,FALSE()),"UNKNOWN ITEM CODE - please check"))</f>
        <v/>
      </c>
      <c r="C233" s="39">
        <v>1</v>
      </c>
      <c r="D233" s="39"/>
      <c r="E233" s="40"/>
      <c r="F233" s="41"/>
      <c r="G233" s="39"/>
      <c r="H233" s="41"/>
      <c r="I233" s="41"/>
      <c r="J233" s="39"/>
      <c r="K233" s="41"/>
      <c r="L233" s="40"/>
      <c r="M233" s="40"/>
      <c r="N233" s="42" t="str">
        <f>IF($M233="","",IFERROR(INDEX('PRODUCT DATA'!$B$2:$B$58,MATCH(IF(UPPER($M233)="UK","GB",$M233),'PRODUCT DATA'!$B$2:$B$58,0)),IFERROR(INDEX('PRODUCT DATA'!$B$2:$B$58,MATCH(IF(UPPER($M233)="UK","GB",$M233),'PRODUCT DATA'!$A$2:$A$58,0)),"UNKNOWN COUNTRY - please check")))</f>
        <v/>
      </c>
      <c r="O233" s="41"/>
      <c r="P233" s="41"/>
      <c r="Q233" s="41"/>
      <c r="R233" s="41"/>
      <c r="S233" s="41"/>
      <c r="T233" s="41"/>
      <c r="U233" s="41"/>
      <c r="V233" s="43" t="str">
        <f t="shared" si="12"/>
        <v/>
      </c>
      <c r="W233" s="44" t="str">
        <f ca="1">IF(COUNTA($A233,$D233:$M233,$O233:$U233)=0,"",IF($A233="","Item Code; ","")&amp;IF(AND($A233&lt;&gt;"",ISNA(MATCH($AC233,'PRODUCT DATA'!$D$2:$D$394,0))),"Item Code; ","")&amp;IF($M233="","Country; ","")&amp;IF(AND($M233&lt;&gt;"",NOT(OR(NOT(ISNA(MATCH(IF(UPPER($M233)="UK","GB",$M233),'PRODUCT DATA'!$A$2:$A$58,0))),NOT(ISNA(MATCH(IF(UPPER($M233)="UK","GB",$M233),'PRODUCT DATA'!$B$2:$B$58,0)))))),"Country; ","")&amp;IF(AND($A233&lt;&gt;"",$M233&lt;&gt;"",NOT(ISNA(MATCH($AC233,'PRODUCT DATA'!$D$2:$D$394,0))),OR(NOT(ISNA(MATCH(IF(UPPER($M233)="UK","GB",$M233),'PRODUCT DATA'!$A$2:$A$58,0))),NOT(ISNA(MATCH(IF(UPPER($M233)="UK","GB",$M233),'PRODUCT DATA'!$B$2:$B$58,0)))),NOT(IFERROR(COUNTIF(OFFSET('PRODUCT DATA'!$F$2,0,MATCH($AC233,'PRODUCT DATA'!$F$1:$NN$1,0)-1,114,1),$N233)&gt;0,FALSE()))),IF(UPPER(IFERROR(OFFSET('PRODUCT DATA'!$C$2,MATCH($N233,'PRODUCT DATA'!$B$2:$B$58,0)-1,0),""))="NO","Alcohol Restriction; ","Item Code / Country combination; "),"")&amp;IF($C233="","Quantity; ","")&amp;IF(AND($C233&lt;&gt;"",OR(NOT(ISNUMBER($C233)),$C233&lt;1,$C233&gt;999,MOD($C233,1)&lt;&gt;0)),"Quantity; ","")&amp;IF($D233="","Recipient Name; ","")&amp;IF(LEN($D233)&gt;35,"Recipient Name; ","")&amp;IF($E233="","Recipient Phone; ","")&amp;IF(AND($E233&lt;&gt;"",OR(LEN($E233)&lt;6,LEN($E233)&gt;20,NOT(IFERROR(ISNUMBER(1*$E233),FALSE())))),"Recipient Phone; ","")&amp;IF(LEN($F233)&gt;35,"Recipient Company Name; ","")&amp;IF($G233="","Address Line 1; ","")&amp;IF(LEN($G233)&gt;35,"Address Line 1; ","")&amp;IF(LEN($H233)&gt;35,"Address Line 2; ","")&amp;IF(LEN($I233)&gt;35,"Address Line 3; ","")&amp;IF($J233="","Town; ","")&amp;IF(LEN($J233)&gt;35,"Town; ","")&amp;IF(AND($N233="IE",$K233=""),"County; ","")&amp;IF(LEN($AB233)&gt;35,"County; ","")&amp;IF(AND($L233="",AND($N233&lt;&gt;"AE",$N233&lt;&gt;"QA")),"Postcode; ","")&amp;IF(LEN($L233)&gt;35,"Postcode; ","")&amp;IF($AE233&lt;&gt;"","Postcode; ","")&amp;IF(LEN($O233)&gt;40,"Gift Message 1; ","")&amp;IF(LEN($P233)&gt;40,"Gift Message 2; ","")&amp;IF(LEN($Q233)&gt;40,"Gift Message 3; ","")&amp;IF(LEN($R233)&gt;40,"Gift Message 4; ","")&amp;IF(LEN($S233)&gt;40,"Gift Message 5; ","")&amp;IF(LEN($T233)&gt;40,"Gift Message 6; ","")&amp;IF(LEN($U233)&gt;40,"Gift Message 7; ",""))</f>
        <v/>
      </c>
      <c r="X233" s="44" t="str">
        <f ca="1">IF(COUNTA($A233,$D233:$M233,$O233:$U233)=0,"",IF($A233="","Enter the Item Code (hamper) - type it, paste it, or choose it from the dropdown. ","")&amp;IF(AND($A233&lt;&gt;"",ISNA(MATCH($AC233,'PRODUCT DATA'!$D$2:$D$394,0))),"This Item Code is not recognised. Check the code (case does not matter, but spelling and digits must match exactly) or choose it from the dropdown. ","")&amp;IF($M233="","Enter the Country after the Item Code - type or paste the name or the 2-letter code, or choose it from the dropdown. ","")&amp;IF(AND($M233&lt;&gt;"",NOT(OR(NOT(ISNA(MATCH(IF(UPPER($M233)="UK","GB",$M233),'PRODUCT DATA'!$A$2:$A$58,0))),NOT(ISNA(MATCH(IF(UPPER($M233)="UK","GB",$M233),'PRODUCT DATA'!$B$2:$B$58,0)))))),"This Country is not recognised as either a full name or a 2-letter code. Check the spelling (case does not matter) or choose it from the dropdown. ","")&amp;IF(AND($A233&lt;&gt;"",$M233&lt;&gt;"",NOT(ISNA(MATCH($AC233,'PRODUCT DATA'!$D$2:$D$394,0))),OR(NOT(ISNA(MATCH(IF(UPPER($M233)="UK","GB",$M233),'PRODUCT DATA'!$A$2:$A$58,0))),NOT(ISNA(MATCH(IF(UPPER($M233)="UK","GB",$M233),'PRODUCT DATA'!$B$2:$B$58,0)))),NOT(IFERROR(COUNTIF(OFFSET('PRODUCT DATA'!$F$2,0,MATCH($AC233,'PRODUCT DATA'!$F$1:$NN$1,0)-1,114,1),$N233)&gt;0,FALSE()))),IF(UPPER(IFERROR(OFFSET('PRODUCT DATA'!$C$2,MATCH($N233,'PRODUCT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"),"")&amp;IF($C233="","Enter Quantity. ","")&amp;IF(AND($C233&lt;&gt;"",OR(NOT(ISNUMBER($C233)),$C233&lt;1,$C233&gt;999,MOD($C233,1)&lt;&gt;0)),"Quantity must be a whole number from 1 to 999 (use a quantity above 1 only for a genuine bulk order of identical items to ONE address — otherwise use a separate row per recipient). ","")&amp;IF($D233="","Enter Recipient Name. ","")&amp;IF(LEN($D233)&gt;35,"Recipient Name exceeds 35 characters. ","")&amp;IF($E233="","Enter Recipient Phone. ","")&amp;IF(AND($E233&lt;&gt;"",OR(LEN($E233)&lt;6,LEN($E233)&gt;20,NOT(IFERROR(ISNUMBER(1*$E233),FALSE())))),"Phone must be the LOCAL number for the destination country: digits only, no +, spaces, or country code, 6 to 20 digits. ","")&amp;IF(LEN($F233)&gt;35,"Recipient Company Name exceeds 35 characters. ","")&amp;IF($G233="","Enter Address Line 1. ","")&amp;IF(LEN($G233)&gt;35,"Address Line 1 exceeds the 35-character SAP limit. ","")&amp;IF(LEN($H233)&gt;35,"Address Line 2 exceeds the 35-character SAP limit. ","")&amp;IF(LEN($I233)&gt;35,"Address Line 3 exceeds the 35-character SAP limit. ","")&amp;IF($J233="","Enter Town. This must never be left blank, even if there is no conventional town name. ","")&amp;IF(LEN($J233)&gt;35,"Town exceeds 35 characters. ","")&amp;IF(AND($N233="IE",$K233=""),"County is required for deliveries within the Republic of Ireland. ","")&amp;IF(LEN($AB233)&gt;35,"County exceeds 35 characters. ","")&amp;IF(AND($L233="",AND($N233&lt;&gt;"AE",$N233&lt;&gt;"QA")),"Postcode is required for the selected country. If there is genuinely no postcode, enter the first 3 characters of the area (e.g. D15). ","")&amp;IF(LEN($L233)&gt;35,"Postcode exceeds 35 characters. ","")&amp;IF($AE233&lt;&gt;"",$AE233,"")&amp;IF(LEN($O233)&gt;40,"Gift Message Line 1 exceeds 40 characters. ","")&amp;IF(LEN($P233)&gt;40,"Gift Message Line 2 exceeds 40 characters. ","")&amp;IF(LEN($Q233)&gt;40,"Gift Message Line 3 exceeds 40 characters. ","")&amp;IF(LEN($R233)&gt;40,"Gift Message Line 4 exceeds 40 characters. ","")&amp;IF(LEN($S233)&gt;40,"Gift Message Line 5 exceeds 40 characters. ","")&amp;IF(LEN($T233)&gt;40,"Gift Message Line 6 exceeds 40 characters. ","")&amp;IF(LEN($U233)&gt;40,"Gift Message Line 7 exceeds 40 characters. ",""))</f>
        <v/>
      </c>
      <c r="Y233" s="44" t="str">
        <f t="shared" si="13"/>
        <v/>
      </c>
      <c r="Z233" s="44"/>
      <c r="AA233" s="44"/>
      <c r="AB233" s="32" t="str">
        <f t="shared" si="14"/>
        <v/>
      </c>
      <c r="AC233" s="32" t="str">
        <f>IF($A233="","",IFERROR(LEFT(INDEX('PRODUCT DATA'!$NO$2:$NO$25,MATCH($A233,'PRODUCT DATA'!$NP$2:$NP$25,0)),FIND("|",INDEX('PRODUCT DATA'!$NO$2:$NO$25,MATCH($A233,'PRODUCT DATA'!$NP$2:$NP$25,0)))-1),$A233))</f>
        <v/>
      </c>
      <c r="AD233" s="45"/>
      <c r="AE233" s="45" t="str">
        <f t="shared" si="15"/>
        <v/>
      </c>
    </row>
    <row r="234" spans="1:31" ht="15" customHeight="1" x14ac:dyDescent="0.25">
      <c r="A234" s="40"/>
      <c r="B234" s="43" t="str">
        <f>IF($A234="","",IFERROR(VLOOKUP($AC234,'PRODUCT DATA'!$NR$2:$NS$374,2,FALSE()),"UNKNOWN ITEM CODE - please check"))</f>
        <v/>
      </c>
      <c r="C234" s="39">
        <v>1</v>
      </c>
      <c r="D234" s="39"/>
      <c r="E234" s="40"/>
      <c r="F234" s="41"/>
      <c r="G234" s="39"/>
      <c r="H234" s="41"/>
      <c r="I234" s="41"/>
      <c r="J234" s="39"/>
      <c r="K234" s="41"/>
      <c r="L234" s="40"/>
      <c r="M234" s="40"/>
      <c r="N234" s="42" t="str">
        <f>IF($M234="","",IFERROR(INDEX('PRODUCT DATA'!$B$2:$B$58,MATCH(IF(UPPER($M234)="UK","GB",$M234),'PRODUCT DATA'!$B$2:$B$58,0)),IFERROR(INDEX('PRODUCT DATA'!$B$2:$B$58,MATCH(IF(UPPER($M234)="UK","GB",$M234),'PRODUCT DATA'!$A$2:$A$58,0)),"UNKNOWN COUNTRY - please check")))</f>
        <v/>
      </c>
      <c r="O234" s="41"/>
      <c r="P234" s="41"/>
      <c r="Q234" s="41"/>
      <c r="R234" s="41"/>
      <c r="S234" s="41"/>
      <c r="T234" s="41"/>
      <c r="U234" s="41"/>
      <c r="V234" s="43" t="str">
        <f t="shared" si="12"/>
        <v/>
      </c>
      <c r="W234" s="44" t="str">
        <f ca="1">IF(COUNTA($A234,$D234:$M234,$O234:$U234)=0,"",IF($A234="","Item Code; ","")&amp;IF(AND($A234&lt;&gt;"",ISNA(MATCH($AC234,'PRODUCT DATA'!$D$2:$D$394,0))),"Item Code; ","")&amp;IF($M234="","Country; ","")&amp;IF(AND($M234&lt;&gt;"",NOT(OR(NOT(ISNA(MATCH(IF(UPPER($M234)="UK","GB",$M234),'PRODUCT DATA'!$A$2:$A$58,0))),NOT(ISNA(MATCH(IF(UPPER($M234)="UK","GB",$M234),'PRODUCT DATA'!$B$2:$B$58,0)))))),"Country; ","")&amp;IF(AND($A234&lt;&gt;"",$M234&lt;&gt;"",NOT(ISNA(MATCH($AC234,'PRODUCT DATA'!$D$2:$D$394,0))),OR(NOT(ISNA(MATCH(IF(UPPER($M234)="UK","GB",$M234),'PRODUCT DATA'!$A$2:$A$58,0))),NOT(ISNA(MATCH(IF(UPPER($M234)="UK","GB",$M234),'PRODUCT DATA'!$B$2:$B$58,0)))),NOT(IFERROR(COUNTIF(OFFSET('PRODUCT DATA'!$F$2,0,MATCH($AC234,'PRODUCT DATA'!$F$1:$NN$1,0)-1,114,1),$N234)&gt;0,FALSE()))),IF(UPPER(IFERROR(OFFSET('PRODUCT DATA'!$C$2,MATCH($N234,'PRODUCT DATA'!$B$2:$B$58,0)-1,0),""))="NO","Alcohol Restriction; ","Item Code / Country combination; "),"")&amp;IF($C234="","Quantity; ","")&amp;IF(AND($C234&lt;&gt;"",OR(NOT(ISNUMBER($C234)),$C234&lt;1,$C234&gt;999,MOD($C234,1)&lt;&gt;0)),"Quantity; ","")&amp;IF($D234="","Recipient Name; ","")&amp;IF(LEN($D234)&gt;35,"Recipient Name; ","")&amp;IF($E234="","Recipient Phone; ","")&amp;IF(AND($E234&lt;&gt;"",OR(LEN($E234)&lt;6,LEN($E234)&gt;20,NOT(IFERROR(ISNUMBER(1*$E234),FALSE())))),"Recipient Phone; ","")&amp;IF(LEN($F234)&gt;35,"Recipient Company Name; ","")&amp;IF($G234="","Address Line 1; ","")&amp;IF(LEN($G234)&gt;35,"Address Line 1; ","")&amp;IF(LEN($H234)&gt;35,"Address Line 2; ","")&amp;IF(LEN($I234)&gt;35,"Address Line 3; ","")&amp;IF($J234="","Town; ","")&amp;IF(LEN($J234)&gt;35,"Town; ","")&amp;IF(AND($N234="IE",$K234=""),"County; ","")&amp;IF(LEN($AB234)&gt;35,"County; ","")&amp;IF(AND($L234="",AND($N234&lt;&gt;"AE",$N234&lt;&gt;"QA")),"Postcode; ","")&amp;IF(LEN($L234)&gt;35,"Postcode; ","")&amp;IF($AE234&lt;&gt;"","Postcode; ","")&amp;IF(LEN($O234)&gt;40,"Gift Message 1; ","")&amp;IF(LEN($P234)&gt;40,"Gift Message 2; ","")&amp;IF(LEN($Q234)&gt;40,"Gift Message 3; ","")&amp;IF(LEN($R234)&gt;40,"Gift Message 4; ","")&amp;IF(LEN($S234)&gt;40,"Gift Message 5; ","")&amp;IF(LEN($T234)&gt;40,"Gift Message 6; ","")&amp;IF(LEN($U234)&gt;40,"Gift Message 7; ",""))</f>
        <v/>
      </c>
      <c r="X234" s="44" t="str">
        <f ca="1">IF(COUNTA($A234,$D234:$M234,$O234:$U234)=0,"",IF($A234="","Enter the Item Code (hamper) - type it, paste it, or choose it from the dropdown. ","")&amp;IF(AND($A234&lt;&gt;"",ISNA(MATCH($AC234,'PRODUCT DATA'!$D$2:$D$394,0))),"This Item Code is not recognised. Check the code (case does not matter, but spelling and digits must match exactly) or choose it from the dropdown. ","")&amp;IF($M234="","Enter the Country after the Item Code - type or paste the name or the 2-letter code, or choose it from the dropdown. ","")&amp;IF(AND($M234&lt;&gt;"",NOT(OR(NOT(ISNA(MATCH(IF(UPPER($M234)="UK","GB",$M234),'PRODUCT DATA'!$A$2:$A$58,0))),NOT(ISNA(MATCH(IF(UPPER($M234)="UK","GB",$M234),'PRODUCT DATA'!$B$2:$B$58,0)))))),"This Country is not recognised as either a full name or a 2-letter code. Check the spelling (case does not matter) or choose it from the dropdown. ","")&amp;IF(AND($A234&lt;&gt;"",$M234&lt;&gt;"",NOT(ISNA(MATCH($AC234,'PRODUCT DATA'!$D$2:$D$394,0))),OR(NOT(ISNA(MATCH(IF(UPPER($M234)="UK","GB",$M234),'PRODUCT DATA'!$A$2:$A$58,0))),NOT(ISNA(MATCH(IF(UPPER($M234)="UK","GB",$M234),'PRODUCT DATA'!$B$2:$B$58,0)))),NOT(IFERROR(COUNTIF(OFFSET('PRODUCT DATA'!$F$2,0,MATCH($AC234,'PRODUCT DATA'!$F$1:$NN$1,0)-1,114,1),$N234)&gt;0,FALSE()))),IF(UPPER(IFERROR(OFFSET('PRODUCT DATA'!$C$2,MATCH($N234,'PRODUCT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"),"")&amp;IF($C234="","Enter Quantity. ","")&amp;IF(AND($C234&lt;&gt;"",OR(NOT(ISNUMBER($C234)),$C234&lt;1,$C234&gt;999,MOD($C234,1)&lt;&gt;0)),"Quantity must be a whole number from 1 to 999 (use a quantity above 1 only for a genuine bulk order of identical items to ONE address — otherwise use a separate row per recipient). ","")&amp;IF($D234="","Enter Recipient Name. ","")&amp;IF(LEN($D234)&gt;35,"Recipient Name exceeds 35 characters. ","")&amp;IF($E234="","Enter Recipient Phone. ","")&amp;IF(AND($E234&lt;&gt;"",OR(LEN($E234)&lt;6,LEN($E234)&gt;20,NOT(IFERROR(ISNUMBER(1*$E234),FALSE())))),"Phone must be the LOCAL number for the destination country: digits only, no +, spaces, or country code, 6 to 20 digits. ","")&amp;IF(LEN($F234)&gt;35,"Recipient Company Name exceeds 35 characters. ","")&amp;IF($G234="","Enter Address Line 1. ","")&amp;IF(LEN($G234)&gt;35,"Address Line 1 exceeds the 35-character SAP limit. ","")&amp;IF(LEN($H234)&gt;35,"Address Line 2 exceeds the 35-character SAP limit. ","")&amp;IF(LEN($I234)&gt;35,"Address Line 3 exceeds the 35-character SAP limit. ","")&amp;IF($J234="","Enter Town. This must never be left blank, even if there is no conventional town name. ","")&amp;IF(LEN($J234)&gt;35,"Town exceeds 35 characters. ","")&amp;IF(AND($N234="IE",$K234=""),"County is required for deliveries within the Republic of Ireland. ","")&amp;IF(LEN($AB234)&gt;35,"County exceeds 35 characters. ","")&amp;IF(AND($L234="",AND($N234&lt;&gt;"AE",$N234&lt;&gt;"QA")),"Postcode is required for the selected country. If there is genuinely no postcode, enter the first 3 characters of the area (e.g. D15). ","")&amp;IF(LEN($L234)&gt;35,"Postcode exceeds 35 characters. ","")&amp;IF($AE234&lt;&gt;"",$AE234,"")&amp;IF(LEN($O234)&gt;40,"Gift Message Line 1 exceeds 40 characters. ","")&amp;IF(LEN($P234)&gt;40,"Gift Message Line 2 exceeds 40 characters. ","")&amp;IF(LEN($Q234)&gt;40,"Gift Message Line 3 exceeds 40 characters. ","")&amp;IF(LEN($R234)&gt;40,"Gift Message Line 4 exceeds 40 characters. ","")&amp;IF(LEN($S234)&gt;40,"Gift Message Line 5 exceeds 40 characters. ","")&amp;IF(LEN($T234)&gt;40,"Gift Message Line 6 exceeds 40 characters. ","")&amp;IF(LEN($U234)&gt;40,"Gift Message Line 7 exceeds 40 characters. ",""))</f>
        <v/>
      </c>
      <c r="Y234" s="44" t="str">
        <f t="shared" si="13"/>
        <v/>
      </c>
      <c r="Z234" s="44"/>
      <c r="AA234" s="44"/>
      <c r="AB234" s="32" t="str">
        <f t="shared" si="14"/>
        <v/>
      </c>
      <c r="AC234" s="32" t="str">
        <f>IF($A234="","",IFERROR(LEFT(INDEX('PRODUCT DATA'!$NO$2:$NO$25,MATCH($A234,'PRODUCT DATA'!$NP$2:$NP$25,0)),FIND("|",INDEX('PRODUCT DATA'!$NO$2:$NO$25,MATCH($A234,'PRODUCT DATA'!$NP$2:$NP$25,0)))-1),$A234))</f>
        <v/>
      </c>
      <c r="AD234" s="45"/>
      <c r="AE234" s="45" t="str">
        <f t="shared" si="15"/>
        <v/>
      </c>
    </row>
    <row r="235" spans="1:31" ht="15" customHeight="1" x14ac:dyDescent="0.25">
      <c r="A235" s="40"/>
      <c r="B235" s="43" t="str">
        <f>IF($A235="","",IFERROR(VLOOKUP($AC235,'PRODUCT DATA'!$NR$2:$NS$374,2,FALSE()),"UNKNOWN ITEM CODE - please check"))</f>
        <v/>
      </c>
      <c r="C235" s="39">
        <v>1</v>
      </c>
      <c r="D235" s="39"/>
      <c r="E235" s="40"/>
      <c r="F235" s="41"/>
      <c r="G235" s="39"/>
      <c r="H235" s="41"/>
      <c r="I235" s="41"/>
      <c r="J235" s="39"/>
      <c r="K235" s="41"/>
      <c r="L235" s="40"/>
      <c r="M235" s="40"/>
      <c r="N235" s="42" t="str">
        <f>IF($M235="","",IFERROR(INDEX('PRODUCT DATA'!$B$2:$B$58,MATCH(IF(UPPER($M235)="UK","GB",$M235),'PRODUCT DATA'!$B$2:$B$58,0)),IFERROR(INDEX('PRODUCT DATA'!$B$2:$B$58,MATCH(IF(UPPER($M235)="UK","GB",$M235),'PRODUCT DATA'!$A$2:$A$58,0)),"UNKNOWN COUNTRY - please check")))</f>
        <v/>
      </c>
      <c r="O235" s="41"/>
      <c r="P235" s="41"/>
      <c r="Q235" s="41"/>
      <c r="R235" s="41"/>
      <c r="S235" s="41"/>
      <c r="T235" s="41"/>
      <c r="U235" s="41"/>
      <c r="V235" s="43" t="str">
        <f t="shared" si="12"/>
        <v/>
      </c>
      <c r="W235" s="44" t="str">
        <f ca="1">IF(COUNTA($A235,$D235:$M235,$O235:$U235)=0,"",IF($A235="","Item Code; ","")&amp;IF(AND($A235&lt;&gt;"",ISNA(MATCH($AC235,'PRODUCT DATA'!$D$2:$D$394,0))),"Item Code; ","")&amp;IF($M235="","Country; ","")&amp;IF(AND($M235&lt;&gt;"",NOT(OR(NOT(ISNA(MATCH(IF(UPPER($M235)="UK","GB",$M235),'PRODUCT DATA'!$A$2:$A$58,0))),NOT(ISNA(MATCH(IF(UPPER($M235)="UK","GB",$M235),'PRODUCT DATA'!$B$2:$B$58,0)))))),"Country; ","")&amp;IF(AND($A235&lt;&gt;"",$M235&lt;&gt;"",NOT(ISNA(MATCH($AC235,'PRODUCT DATA'!$D$2:$D$394,0))),OR(NOT(ISNA(MATCH(IF(UPPER($M235)="UK","GB",$M235),'PRODUCT DATA'!$A$2:$A$58,0))),NOT(ISNA(MATCH(IF(UPPER($M235)="UK","GB",$M235),'PRODUCT DATA'!$B$2:$B$58,0)))),NOT(IFERROR(COUNTIF(OFFSET('PRODUCT DATA'!$F$2,0,MATCH($AC235,'PRODUCT DATA'!$F$1:$NN$1,0)-1,114,1),$N235)&gt;0,FALSE()))),IF(UPPER(IFERROR(OFFSET('PRODUCT DATA'!$C$2,MATCH($N235,'PRODUCT DATA'!$B$2:$B$58,0)-1,0),""))="NO","Alcohol Restriction; ","Item Code / Country combination; "),"")&amp;IF($C235="","Quantity; ","")&amp;IF(AND($C235&lt;&gt;"",OR(NOT(ISNUMBER($C235)),$C235&lt;1,$C235&gt;999,MOD($C235,1)&lt;&gt;0)),"Quantity; ","")&amp;IF($D235="","Recipient Name; ","")&amp;IF(LEN($D235)&gt;35,"Recipient Name; ","")&amp;IF($E235="","Recipient Phone; ","")&amp;IF(AND($E235&lt;&gt;"",OR(LEN($E235)&lt;6,LEN($E235)&gt;20,NOT(IFERROR(ISNUMBER(1*$E235),FALSE())))),"Recipient Phone; ","")&amp;IF(LEN($F235)&gt;35,"Recipient Company Name; ","")&amp;IF($G235="","Address Line 1; ","")&amp;IF(LEN($G235)&gt;35,"Address Line 1; ","")&amp;IF(LEN($H235)&gt;35,"Address Line 2; ","")&amp;IF(LEN($I235)&gt;35,"Address Line 3; ","")&amp;IF($J235="","Town; ","")&amp;IF(LEN($J235)&gt;35,"Town; ","")&amp;IF(AND($N235="IE",$K235=""),"County; ","")&amp;IF(LEN($AB235)&gt;35,"County; ","")&amp;IF(AND($L235="",AND($N235&lt;&gt;"AE",$N235&lt;&gt;"QA")),"Postcode; ","")&amp;IF(LEN($L235)&gt;35,"Postcode; ","")&amp;IF($AE235&lt;&gt;"","Postcode; ","")&amp;IF(LEN($O235)&gt;40,"Gift Message 1; ","")&amp;IF(LEN($P235)&gt;40,"Gift Message 2; ","")&amp;IF(LEN($Q235)&gt;40,"Gift Message 3; ","")&amp;IF(LEN($R235)&gt;40,"Gift Message 4; ","")&amp;IF(LEN($S235)&gt;40,"Gift Message 5; ","")&amp;IF(LEN($T235)&gt;40,"Gift Message 6; ","")&amp;IF(LEN($U235)&gt;40,"Gift Message 7; ",""))</f>
        <v/>
      </c>
      <c r="X235" s="44" t="str">
        <f ca="1">IF(COUNTA($A235,$D235:$M235,$O235:$U235)=0,"",IF($A235="","Enter the Item Code (hamper) - type it, paste it, or choose it from the dropdown. ","")&amp;IF(AND($A235&lt;&gt;"",ISNA(MATCH($AC235,'PRODUCT DATA'!$D$2:$D$394,0))),"This Item Code is not recognised. Check the code (case does not matter, but spelling and digits must match exactly) or choose it from the dropdown. ","")&amp;IF($M235="","Enter the Country after the Item Code - type or paste the name or the 2-letter code, or choose it from the dropdown. ","")&amp;IF(AND($M235&lt;&gt;"",NOT(OR(NOT(ISNA(MATCH(IF(UPPER($M235)="UK","GB",$M235),'PRODUCT DATA'!$A$2:$A$58,0))),NOT(ISNA(MATCH(IF(UPPER($M235)="UK","GB",$M235),'PRODUCT DATA'!$B$2:$B$58,0)))))),"This Country is not recognised as either a full name or a 2-letter code. Check the spelling (case does not matter) or choose it from the dropdown. ","")&amp;IF(AND($A235&lt;&gt;"",$M235&lt;&gt;"",NOT(ISNA(MATCH($AC235,'PRODUCT DATA'!$D$2:$D$394,0))),OR(NOT(ISNA(MATCH(IF(UPPER($M235)="UK","GB",$M235),'PRODUCT DATA'!$A$2:$A$58,0))),NOT(ISNA(MATCH(IF(UPPER($M235)="UK","GB",$M235),'PRODUCT DATA'!$B$2:$B$58,0)))),NOT(IFERROR(COUNTIF(OFFSET('PRODUCT DATA'!$F$2,0,MATCH($AC235,'PRODUCT DATA'!$F$1:$NN$1,0)-1,114,1),$N235)&gt;0,FALSE()))),IF(UPPER(IFERROR(OFFSET('PRODUCT DATA'!$C$2,MATCH($N235,'PRODUCT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"),"")&amp;IF($C235="","Enter Quantity. ","")&amp;IF(AND($C235&lt;&gt;"",OR(NOT(ISNUMBER($C235)),$C235&lt;1,$C235&gt;999,MOD($C235,1)&lt;&gt;0)),"Quantity must be a whole number from 1 to 999 (use a quantity above 1 only for a genuine bulk order of identical items to ONE address — otherwise use a separate row per recipient). ","")&amp;IF($D235="","Enter Recipient Name. ","")&amp;IF(LEN($D235)&gt;35,"Recipient Name exceeds 35 characters. ","")&amp;IF($E235="","Enter Recipient Phone. ","")&amp;IF(AND($E235&lt;&gt;"",OR(LEN($E235)&lt;6,LEN($E235)&gt;20,NOT(IFERROR(ISNUMBER(1*$E235),FALSE())))),"Phone must be the LOCAL number for the destination country: digits only, no +, spaces, or country code, 6 to 20 digits. ","")&amp;IF(LEN($F235)&gt;35,"Recipient Company Name exceeds 35 characters. ","")&amp;IF($G235="","Enter Address Line 1. ","")&amp;IF(LEN($G235)&gt;35,"Address Line 1 exceeds the 35-character SAP limit. ","")&amp;IF(LEN($H235)&gt;35,"Address Line 2 exceeds the 35-character SAP limit. ","")&amp;IF(LEN($I235)&gt;35,"Address Line 3 exceeds the 35-character SAP limit. ","")&amp;IF($J235="","Enter Town. This must never be left blank, even if there is no conventional town name. ","")&amp;IF(LEN($J235)&gt;35,"Town exceeds 35 characters. ","")&amp;IF(AND($N235="IE",$K235=""),"County is required for deliveries within the Republic of Ireland. ","")&amp;IF(LEN($AB235)&gt;35,"County exceeds 35 characters. ","")&amp;IF(AND($L235="",AND($N235&lt;&gt;"AE",$N235&lt;&gt;"QA")),"Postcode is required for the selected country. If there is genuinely no postcode, enter the first 3 characters of the area (e.g. D15). ","")&amp;IF(LEN($L235)&gt;35,"Postcode exceeds 35 characters. ","")&amp;IF($AE235&lt;&gt;"",$AE235,"")&amp;IF(LEN($O235)&gt;40,"Gift Message Line 1 exceeds 40 characters. ","")&amp;IF(LEN($P235)&gt;40,"Gift Message Line 2 exceeds 40 characters. ","")&amp;IF(LEN($Q235)&gt;40,"Gift Message Line 3 exceeds 40 characters. ","")&amp;IF(LEN($R235)&gt;40,"Gift Message Line 4 exceeds 40 characters. ","")&amp;IF(LEN($S235)&gt;40,"Gift Message Line 5 exceeds 40 characters. ","")&amp;IF(LEN($T235)&gt;40,"Gift Message Line 6 exceeds 40 characters. ","")&amp;IF(LEN($U235)&gt;40,"Gift Message Line 7 exceeds 40 characters. ",""))</f>
        <v/>
      </c>
      <c r="Y235" s="44" t="str">
        <f t="shared" si="13"/>
        <v/>
      </c>
      <c r="Z235" s="44"/>
      <c r="AA235" s="44"/>
      <c r="AB235" s="32" t="str">
        <f t="shared" si="14"/>
        <v/>
      </c>
      <c r="AC235" s="32" t="str">
        <f>IF($A235="","",IFERROR(LEFT(INDEX('PRODUCT DATA'!$NO$2:$NO$25,MATCH($A235,'PRODUCT DATA'!$NP$2:$NP$25,0)),FIND("|",INDEX('PRODUCT DATA'!$NO$2:$NO$25,MATCH($A235,'PRODUCT DATA'!$NP$2:$NP$25,0)))-1),$A235))</f>
        <v/>
      </c>
      <c r="AD235" s="45"/>
      <c r="AE235" s="45" t="str">
        <f t="shared" si="15"/>
        <v/>
      </c>
    </row>
    <row r="236" spans="1:31" ht="15" customHeight="1" x14ac:dyDescent="0.25">
      <c r="A236" s="40"/>
      <c r="B236" s="43" t="str">
        <f>IF($A236="","",IFERROR(VLOOKUP($AC236,'PRODUCT DATA'!$NR$2:$NS$374,2,FALSE()),"UNKNOWN ITEM CODE - please check"))</f>
        <v/>
      </c>
      <c r="C236" s="39">
        <v>1</v>
      </c>
      <c r="D236" s="39"/>
      <c r="E236" s="40"/>
      <c r="F236" s="41"/>
      <c r="G236" s="39"/>
      <c r="H236" s="41"/>
      <c r="I236" s="41"/>
      <c r="J236" s="39"/>
      <c r="K236" s="41"/>
      <c r="L236" s="40"/>
      <c r="M236" s="40"/>
      <c r="N236" s="42" t="str">
        <f>IF($M236="","",IFERROR(INDEX('PRODUCT DATA'!$B$2:$B$58,MATCH(IF(UPPER($M236)="UK","GB",$M236),'PRODUCT DATA'!$B$2:$B$58,0)),IFERROR(INDEX('PRODUCT DATA'!$B$2:$B$58,MATCH(IF(UPPER($M236)="UK","GB",$M236),'PRODUCT DATA'!$A$2:$A$58,0)),"UNKNOWN COUNTRY - please check")))</f>
        <v/>
      </c>
      <c r="O236" s="41"/>
      <c r="P236" s="41"/>
      <c r="Q236" s="41"/>
      <c r="R236" s="41"/>
      <c r="S236" s="41"/>
      <c r="T236" s="41"/>
      <c r="U236" s="41"/>
      <c r="V236" s="43" t="str">
        <f t="shared" si="12"/>
        <v/>
      </c>
      <c r="W236" s="44" t="str">
        <f ca="1">IF(COUNTA($A236,$D236:$M236,$O236:$U236)=0,"",IF($A236="","Item Code; ","")&amp;IF(AND($A236&lt;&gt;"",ISNA(MATCH($AC236,'PRODUCT DATA'!$D$2:$D$394,0))),"Item Code; ","")&amp;IF($M236="","Country; ","")&amp;IF(AND($M236&lt;&gt;"",NOT(OR(NOT(ISNA(MATCH(IF(UPPER($M236)="UK","GB",$M236),'PRODUCT DATA'!$A$2:$A$58,0))),NOT(ISNA(MATCH(IF(UPPER($M236)="UK","GB",$M236),'PRODUCT DATA'!$B$2:$B$58,0)))))),"Country; ","")&amp;IF(AND($A236&lt;&gt;"",$M236&lt;&gt;"",NOT(ISNA(MATCH($AC236,'PRODUCT DATA'!$D$2:$D$394,0))),OR(NOT(ISNA(MATCH(IF(UPPER($M236)="UK","GB",$M236),'PRODUCT DATA'!$A$2:$A$58,0))),NOT(ISNA(MATCH(IF(UPPER($M236)="UK","GB",$M236),'PRODUCT DATA'!$B$2:$B$58,0)))),NOT(IFERROR(COUNTIF(OFFSET('PRODUCT DATA'!$F$2,0,MATCH($AC236,'PRODUCT DATA'!$F$1:$NN$1,0)-1,114,1),$N236)&gt;0,FALSE()))),IF(UPPER(IFERROR(OFFSET('PRODUCT DATA'!$C$2,MATCH($N236,'PRODUCT DATA'!$B$2:$B$58,0)-1,0),""))="NO","Alcohol Restriction; ","Item Code / Country combination; "),"")&amp;IF($C236="","Quantity; ","")&amp;IF(AND($C236&lt;&gt;"",OR(NOT(ISNUMBER($C236)),$C236&lt;1,$C236&gt;999,MOD($C236,1)&lt;&gt;0)),"Quantity; ","")&amp;IF($D236="","Recipient Name; ","")&amp;IF(LEN($D236)&gt;35,"Recipient Name; ","")&amp;IF($E236="","Recipient Phone; ","")&amp;IF(AND($E236&lt;&gt;"",OR(LEN($E236)&lt;6,LEN($E236)&gt;20,NOT(IFERROR(ISNUMBER(1*$E236),FALSE())))),"Recipient Phone; ","")&amp;IF(LEN($F236)&gt;35,"Recipient Company Name; ","")&amp;IF($G236="","Address Line 1; ","")&amp;IF(LEN($G236)&gt;35,"Address Line 1; ","")&amp;IF(LEN($H236)&gt;35,"Address Line 2; ","")&amp;IF(LEN($I236)&gt;35,"Address Line 3; ","")&amp;IF($J236="","Town; ","")&amp;IF(LEN($J236)&gt;35,"Town; ","")&amp;IF(AND($N236="IE",$K236=""),"County; ","")&amp;IF(LEN($AB236)&gt;35,"County; ","")&amp;IF(AND($L236="",AND($N236&lt;&gt;"AE",$N236&lt;&gt;"QA")),"Postcode; ","")&amp;IF(LEN($L236)&gt;35,"Postcode; ","")&amp;IF($AE236&lt;&gt;"","Postcode; ","")&amp;IF(LEN($O236)&gt;40,"Gift Message 1; ","")&amp;IF(LEN($P236)&gt;40,"Gift Message 2; ","")&amp;IF(LEN($Q236)&gt;40,"Gift Message 3; ","")&amp;IF(LEN($R236)&gt;40,"Gift Message 4; ","")&amp;IF(LEN($S236)&gt;40,"Gift Message 5; ","")&amp;IF(LEN($T236)&gt;40,"Gift Message 6; ","")&amp;IF(LEN($U236)&gt;40,"Gift Message 7; ",""))</f>
        <v/>
      </c>
      <c r="X236" s="44" t="str">
        <f ca="1">IF(COUNTA($A236,$D236:$M236,$O236:$U236)=0,"",IF($A236="","Enter the Item Code (hamper) - type it, paste it, or choose it from the dropdown. ","")&amp;IF(AND($A236&lt;&gt;"",ISNA(MATCH($AC236,'PRODUCT DATA'!$D$2:$D$394,0))),"This Item Code is not recognised. Check the code (case does not matter, but spelling and digits must match exactly) or choose it from the dropdown. ","")&amp;IF($M236="","Enter the Country after the Item Code - type or paste the name or the 2-letter code, or choose it from the dropdown. ","")&amp;IF(AND($M236&lt;&gt;"",NOT(OR(NOT(ISNA(MATCH(IF(UPPER($M236)="UK","GB",$M236),'PRODUCT DATA'!$A$2:$A$58,0))),NOT(ISNA(MATCH(IF(UPPER($M236)="UK","GB",$M236),'PRODUCT DATA'!$B$2:$B$58,0)))))),"This Country is not recognised as either a full name or a 2-letter code. Check the spelling (case does not matter) or choose it from the dropdown. ","")&amp;IF(AND($A236&lt;&gt;"",$M236&lt;&gt;"",NOT(ISNA(MATCH($AC236,'PRODUCT DATA'!$D$2:$D$394,0))),OR(NOT(ISNA(MATCH(IF(UPPER($M236)="UK","GB",$M236),'PRODUCT DATA'!$A$2:$A$58,0))),NOT(ISNA(MATCH(IF(UPPER($M236)="UK","GB",$M236),'PRODUCT DATA'!$B$2:$B$58,0)))),NOT(IFERROR(COUNTIF(OFFSET('PRODUCT DATA'!$F$2,0,MATCH($AC236,'PRODUCT DATA'!$F$1:$NN$1,0)-1,114,1),$N236)&gt;0,FALSE()))),IF(UPPER(IFERROR(OFFSET('PRODUCT DATA'!$C$2,MATCH($N236,'PRODUCT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"),"")&amp;IF($C236="","Enter Quantity. ","")&amp;IF(AND($C236&lt;&gt;"",OR(NOT(ISNUMBER($C236)),$C236&lt;1,$C236&gt;999,MOD($C236,1)&lt;&gt;0)),"Quantity must be a whole number from 1 to 999 (use a quantity above 1 only for a genuine bulk order of identical items to ONE address — otherwise use a separate row per recipient). ","")&amp;IF($D236="","Enter Recipient Name. ","")&amp;IF(LEN($D236)&gt;35,"Recipient Name exceeds 35 characters. ","")&amp;IF($E236="","Enter Recipient Phone. ","")&amp;IF(AND($E236&lt;&gt;"",OR(LEN($E236)&lt;6,LEN($E236)&gt;20,NOT(IFERROR(ISNUMBER(1*$E236),FALSE())))),"Phone must be the LOCAL number for the destination country: digits only, no +, spaces, or country code, 6 to 20 digits. ","")&amp;IF(LEN($F236)&gt;35,"Recipient Company Name exceeds 35 characters. ","")&amp;IF($G236="","Enter Address Line 1. ","")&amp;IF(LEN($G236)&gt;35,"Address Line 1 exceeds the 35-character SAP limit. ","")&amp;IF(LEN($H236)&gt;35,"Address Line 2 exceeds the 35-character SAP limit. ","")&amp;IF(LEN($I236)&gt;35,"Address Line 3 exceeds the 35-character SAP limit. ","")&amp;IF($J236="","Enter Town. This must never be left blank, even if there is no conventional town name. ","")&amp;IF(LEN($J236)&gt;35,"Town exceeds 35 characters. ","")&amp;IF(AND($N236="IE",$K236=""),"County is required for deliveries within the Republic of Ireland. ","")&amp;IF(LEN($AB236)&gt;35,"County exceeds 35 characters. ","")&amp;IF(AND($L236="",AND($N236&lt;&gt;"AE",$N236&lt;&gt;"QA")),"Postcode is required for the selected country. If there is genuinely no postcode, enter the first 3 characters of the area (e.g. D15). ","")&amp;IF(LEN($L236)&gt;35,"Postcode exceeds 35 characters. ","")&amp;IF($AE236&lt;&gt;"",$AE236,"")&amp;IF(LEN($O236)&gt;40,"Gift Message Line 1 exceeds 40 characters. ","")&amp;IF(LEN($P236)&gt;40,"Gift Message Line 2 exceeds 40 characters. ","")&amp;IF(LEN($Q236)&gt;40,"Gift Message Line 3 exceeds 40 characters. ","")&amp;IF(LEN($R236)&gt;40,"Gift Message Line 4 exceeds 40 characters. ","")&amp;IF(LEN($S236)&gt;40,"Gift Message Line 5 exceeds 40 characters. ","")&amp;IF(LEN($T236)&gt;40,"Gift Message Line 6 exceeds 40 characters. ","")&amp;IF(LEN($U236)&gt;40,"Gift Message Line 7 exceeds 40 characters. ",""))</f>
        <v/>
      </c>
      <c r="Y236" s="44" t="str">
        <f t="shared" si="13"/>
        <v/>
      </c>
      <c r="Z236" s="44"/>
      <c r="AA236" s="44"/>
      <c r="AB236" s="32" t="str">
        <f t="shared" si="14"/>
        <v/>
      </c>
      <c r="AC236" s="32" t="str">
        <f>IF($A236="","",IFERROR(LEFT(INDEX('PRODUCT DATA'!$NO$2:$NO$25,MATCH($A236,'PRODUCT DATA'!$NP$2:$NP$25,0)),FIND("|",INDEX('PRODUCT DATA'!$NO$2:$NO$25,MATCH($A236,'PRODUCT DATA'!$NP$2:$NP$25,0)))-1),$A236))</f>
        <v/>
      </c>
      <c r="AD236" s="45"/>
      <c r="AE236" s="45" t="str">
        <f t="shared" si="15"/>
        <v/>
      </c>
    </row>
    <row r="237" spans="1:31" ht="15" customHeight="1" x14ac:dyDescent="0.25">
      <c r="A237" s="40"/>
      <c r="B237" s="43" t="str">
        <f>IF($A237="","",IFERROR(VLOOKUP($AC237,'PRODUCT DATA'!$NR$2:$NS$374,2,FALSE()),"UNKNOWN ITEM CODE - please check"))</f>
        <v/>
      </c>
      <c r="C237" s="39">
        <v>1</v>
      </c>
      <c r="D237" s="39"/>
      <c r="E237" s="40"/>
      <c r="F237" s="41"/>
      <c r="G237" s="39"/>
      <c r="H237" s="41"/>
      <c r="I237" s="41"/>
      <c r="J237" s="39"/>
      <c r="K237" s="41"/>
      <c r="L237" s="40"/>
      <c r="M237" s="40"/>
      <c r="N237" s="42" t="str">
        <f>IF($M237="","",IFERROR(INDEX('PRODUCT DATA'!$B$2:$B$58,MATCH(IF(UPPER($M237)="UK","GB",$M237),'PRODUCT DATA'!$B$2:$B$58,0)),IFERROR(INDEX('PRODUCT DATA'!$B$2:$B$58,MATCH(IF(UPPER($M237)="UK","GB",$M237),'PRODUCT DATA'!$A$2:$A$58,0)),"UNKNOWN COUNTRY - please check")))</f>
        <v/>
      </c>
      <c r="O237" s="41"/>
      <c r="P237" s="41"/>
      <c r="Q237" s="41"/>
      <c r="R237" s="41"/>
      <c r="S237" s="41"/>
      <c r="T237" s="41"/>
      <c r="U237" s="41"/>
      <c r="V237" s="43" t="str">
        <f t="shared" si="12"/>
        <v/>
      </c>
      <c r="W237" s="44" t="str">
        <f ca="1">IF(COUNTA($A237,$D237:$M237,$O237:$U237)=0,"",IF($A237="","Item Code; ","")&amp;IF(AND($A237&lt;&gt;"",ISNA(MATCH($AC237,'PRODUCT DATA'!$D$2:$D$394,0))),"Item Code; ","")&amp;IF($M237="","Country; ","")&amp;IF(AND($M237&lt;&gt;"",NOT(OR(NOT(ISNA(MATCH(IF(UPPER($M237)="UK","GB",$M237),'PRODUCT DATA'!$A$2:$A$58,0))),NOT(ISNA(MATCH(IF(UPPER($M237)="UK","GB",$M237),'PRODUCT DATA'!$B$2:$B$58,0)))))),"Country; ","")&amp;IF(AND($A237&lt;&gt;"",$M237&lt;&gt;"",NOT(ISNA(MATCH($AC237,'PRODUCT DATA'!$D$2:$D$394,0))),OR(NOT(ISNA(MATCH(IF(UPPER($M237)="UK","GB",$M237),'PRODUCT DATA'!$A$2:$A$58,0))),NOT(ISNA(MATCH(IF(UPPER($M237)="UK","GB",$M237),'PRODUCT DATA'!$B$2:$B$58,0)))),NOT(IFERROR(COUNTIF(OFFSET('PRODUCT DATA'!$F$2,0,MATCH($AC237,'PRODUCT DATA'!$F$1:$NN$1,0)-1,114,1),$N237)&gt;0,FALSE()))),IF(UPPER(IFERROR(OFFSET('PRODUCT DATA'!$C$2,MATCH($N237,'PRODUCT DATA'!$B$2:$B$58,0)-1,0),""))="NO","Alcohol Restriction; ","Item Code / Country combination; "),"")&amp;IF($C237="","Quantity; ","")&amp;IF(AND($C237&lt;&gt;"",OR(NOT(ISNUMBER($C237)),$C237&lt;1,$C237&gt;999,MOD($C237,1)&lt;&gt;0)),"Quantity; ","")&amp;IF($D237="","Recipient Name; ","")&amp;IF(LEN($D237)&gt;35,"Recipient Name; ","")&amp;IF($E237="","Recipient Phone; ","")&amp;IF(AND($E237&lt;&gt;"",OR(LEN($E237)&lt;6,LEN($E237)&gt;20,NOT(IFERROR(ISNUMBER(1*$E237),FALSE())))),"Recipient Phone; ","")&amp;IF(LEN($F237)&gt;35,"Recipient Company Name; ","")&amp;IF($G237="","Address Line 1; ","")&amp;IF(LEN($G237)&gt;35,"Address Line 1; ","")&amp;IF(LEN($H237)&gt;35,"Address Line 2; ","")&amp;IF(LEN($I237)&gt;35,"Address Line 3; ","")&amp;IF($J237="","Town; ","")&amp;IF(LEN($J237)&gt;35,"Town; ","")&amp;IF(AND($N237="IE",$K237=""),"County; ","")&amp;IF(LEN($AB237)&gt;35,"County; ","")&amp;IF(AND($L237="",AND($N237&lt;&gt;"AE",$N237&lt;&gt;"QA")),"Postcode; ","")&amp;IF(LEN($L237)&gt;35,"Postcode; ","")&amp;IF($AE237&lt;&gt;"","Postcode; ","")&amp;IF(LEN($O237)&gt;40,"Gift Message 1; ","")&amp;IF(LEN($P237)&gt;40,"Gift Message 2; ","")&amp;IF(LEN($Q237)&gt;40,"Gift Message 3; ","")&amp;IF(LEN($R237)&gt;40,"Gift Message 4; ","")&amp;IF(LEN($S237)&gt;40,"Gift Message 5; ","")&amp;IF(LEN($T237)&gt;40,"Gift Message 6; ","")&amp;IF(LEN($U237)&gt;40,"Gift Message 7; ",""))</f>
        <v/>
      </c>
      <c r="X237" s="44" t="str">
        <f ca="1">IF(COUNTA($A237,$D237:$M237,$O237:$U237)=0,"",IF($A237="","Enter the Item Code (hamper) - type it, paste it, or choose it from the dropdown. ","")&amp;IF(AND($A237&lt;&gt;"",ISNA(MATCH($AC237,'PRODUCT DATA'!$D$2:$D$394,0))),"This Item Code is not recognised. Check the code (case does not matter, but spelling and digits must match exactly) or choose it from the dropdown. ","")&amp;IF($M237="","Enter the Country after the Item Code - type or paste the name or the 2-letter code, or choose it from the dropdown. ","")&amp;IF(AND($M237&lt;&gt;"",NOT(OR(NOT(ISNA(MATCH(IF(UPPER($M237)="UK","GB",$M237),'PRODUCT DATA'!$A$2:$A$58,0))),NOT(ISNA(MATCH(IF(UPPER($M237)="UK","GB",$M237),'PRODUCT DATA'!$B$2:$B$58,0)))))),"This Country is not recognised as either a full name or a 2-letter code. Check the spelling (case does not matter) or choose it from the dropdown. ","")&amp;IF(AND($A237&lt;&gt;"",$M237&lt;&gt;"",NOT(ISNA(MATCH($AC237,'PRODUCT DATA'!$D$2:$D$394,0))),OR(NOT(ISNA(MATCH(IF(UPPER($M237)="UK","GB",$M237),'PRODUCT DATA'!$A$2:$A$58,0))),NOT(ISNA(MATCH(IF(UPPER($M237)="UK","GB",$M237),'PRODUCT DATA'!$B$2:$B$58,0)))),NOT(IFERROR(COUNTIF(OFFSET('PRODUCT DATA'!$F$2,0,MATCH($AC237,'PRODUCT DATA'!$F$1:$NN$1,0)-1,114,1),$N237)&gt;0,FALSE()))),IF(UPPER(IFERROR(OFFSET('PRODUCT DATA'!$C$2,MATCH($N237,'PRODUCT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"),"")&amp;IF($C237="","Enter Quantity. ","")&amp;IF(AND($C237&lt;&gt;"",OR(NOT(ISNUMBER($C237)),$C237&lt;1,$C237&gt;999,MOD($C237,1)&lt;&gt;0)),"Quantity must be a whole number from 1 to 999 (use a quantity above 1 only for a genuine bulk order of identical items to ONE address — otherwise use a separate row per recipient). ","")&amp;IF($D237="","Enter Recipient Name. ","")&amp;IF(LEN($D237)&gt;35,"Recipient Name exceeds 35 characters. ","")&amp;IF($E237="","Enter Recipient Phone. ","")&amp;IF(AND($E237&lt;&gt;"",OR(LEN($E237)&lt;6,LEN($E237)&gt;20,NOT(IFERROR(ISNUMBER(1*$E237),FALSE())))),"Phone must be the LOCAL number for the destination country: digits only, no +, spaces, or country code, 6 to 20 digits. ","")&amp;IF(LEN($F237)&gt;35,"Recipient Company Name exceeds 35 characters. ","")&amp;IF($G237="","Enter Address Line 1. ","")&amp;IF(LEN($G237)&gt;35,"Address Line 1 exceeds the 35-character SAP limit. ","")&amp;IF(LEN($H237)&gt;35,"Address Line 2 exceeds the 35-character SAP limit. ","")&amp;IF(LEN($I237)&gt;35,"Address Line 3 exceeds the 35-character SAP limit. ","")&amp;IF($J237="","Enter Town. This must never be left blank, even if there is no conventional town name. ","")&amp;IF(LEN($J237)&gt;35,"Town exceeds 35 characters. ","")&amp;IF(AND($N237="IE",$K237=""),"County is required for deliveries within the Republic of Ireland. ","")&amp;IF(LEN($AB237)&gt;35,"County exceeds 35 characters. ","")&amp;IF(AND($L237="",AND($N237&lt;&gt;"AE",$N237&lt;&gt;"QA")),"Postcode is required for the selected country. If there is genuinely no postcode, enter the first 3 characters of the area (e.g. D15). ","")&amp;IF(LEN($L237)&gt;35,"Postcode exceeds 35 characters. ","")&amp;IF($AE237&lt;&gt;"",$AE237,"")&amp;IF(LEN($O237)&gt;40,"Gift Message Line 1 exceeds 40 characters. ","")&amp;IF(LEN($P237)&gt;40,"Gift Message Line 2 exceeds 40 characters. ","")&amp;IF(LEN($Q237)&gt;40,"Gift Message Line 3 exceeds 40 characters. ","")&amp;IF(LEN($R237)&gt;40,"Gift Message Line 4 exceeds 40 characters. ","")&amp;IF(LEN($S237)&gt;40,"Gift Message Line 5 exceeds 40 characters. ","")&amp;IF(LEN($T237)&gt;40,"Gift Message Line 6 exceeds 40 characters. ","")&amp;IF(LEN($U237)&gt;40,"Gift Message Line 7 exceeds 40 characters. ",""))</f>
        <v/>
      </c>
      <c r="Y237" s="44" t="str">
        <f t="shared" si="13"/>
        <v/>
      </c>
      <c r="Z237" s="44"/>
      <c r="AA237" s="44"/>
      <c r="AB237" s="32" t="str">
        <f t="shared" si="14"/>
        <v/>
      </c>
      <c r="AC237" s="32" t="str">
        <f>IF($A237="","",IFERROR(LEFT(INDEX('PRODUCT DATA'!$NO$2:$NO$25,MATCH($A237,'PRODUCT DATA'!$NP$2:$NP$25,0)),FIND("|",INDEX('PRODUCT DATA'!$NO$2:$NO$25,MATCH($A237,'PRODUCT DATA'!$NP$2:$NP$25,0)))-1),$A237))</f>
        <v/>
      </c>
      <c r="AD237" s="45"/>
      <c r="AE237" s="45" t="str">
        <f t="shared" si="15"/>
        <v/>
      </c>
    </row>
    <row r="238" spans="1:31" ht="15" customHeight="1" x14ac:dyDescent="0.25">
      <c r="A238" s="40"/>
      <c r="B238" s="43" t="str">
        <f>IF($A238="","",IFERROR(VLOOKUP($AC238,'PRODUCT DATA'!$NR$2:$NS$374,2,FALSE()),"UNKNOWN ITEM CODE - please check"))</f>
        <v/>
      </c>
      <c r="C238" s="39">
        <v>1</v>
      </c>
      <c r="D238" s="39"/>
      <c r="E238" s="40"/>
      <c r="F238" s="41"/>
      <c r="G238" s="39"/>
      <c r="H238" s="41"/>
      <c r="I238" s="41"/>
      <c r="J238" s="39"/>
      <c r="K238" s="41"/>
      <c r="L238" s="40"/>
      <c r="M238" s="40"/>
      <c r="N238" s="42" t="str">
        <f>IF($M238="","",IFERROR(INDEX('PRODUCT DATA'!$B$2:$B$58,MATCH(IF(UPPER($M238)="UK","GB",$M238),'PRODUCT DATA'!$B$2:$B$58,0)),IFERROR(INDEX('PRODUCT DATA'!$B$2:$B$58,MATCH(IF(UPPER($M238)="UK","GB",$M238),'PRODUCT DATA'!$A$2:$A$58,0)),"UNKNOWN COUNTRY - please check")))</f>
        <v/>
      </c>
      <c r="O238" s="41"/>
      <c r="P238" s="41"/>
      <c r="Q238" s="41"/>
      <c r="R238" s="41"/>
      <c r="S238" s="41"/>
      <c r="T238" s="41"/>
      <c r="U238" s="41"/>
      <c r="V238" s="43" t="str">
        <f t="shared" si="12"/>
        <v/>
      </c>
      <c r="W238" s="44" t="str">
        <f ca="1">IF(COUNTA($A238,$D238:$M238,$O238:$U238)=0,"",IF($A238="","Item Code; ","")&amp;IF(AND($A238&lt;&gt;"",ISNA(MATCH($AC238,'PRODUCT DATA'!$D$2:$D$394,0))),"Item Code; ","")&amp;IF($M238="","Country; ","")&amp;IF(AND($M238&lt;&gt;"",NOT(OR(NOT(ISNA(MATCH(IF(UPPER($M238)="UK","GB",$M238),'PRODUCT DATA'!$A$2:$A$58,0))),NOT(ISNA(MATCH(IF(UPPER($M238)="UK","GB",$M238),'PRODUCT DATA'!$B$2:$B$58,0)))))),"Country; ","")&amp;IF(AND($A238&lt;&gt;"",$M238&lt;&gt;"",NOT(ISNA(MATCH($AC238,'PRODUCT DATA'!$D$2:$D$394,0))),OR(NOT(ISNA(MATCH(IF(UPPER($M238)="UK","GB",$M238),'PRODUCT DATA'!$A$2:$A$58,0))),NOT(ISNA(MATCH(IF(UPPER($M238)="UK","GB",$M238),'PRODUCT DATA'!$B$2:$B$58,0)))),NOT(IFERROR(COUNTIF(OFFSET('PRODUCT DATA'!$F$2,0,MATCH($AC238,'PRODUCT DATA'!$F$1:$NN$1,0)-1,114,1),$N238)&gt;0,FALSE()))),IF(UPPER(IFERROR(OFFSET('PRODUCT DATA'!$C$2,MATCH($N238,'PRODUCT DATA'!$B$2:$B$58,0)-1,0),""))="NO","Alcohol Restriction; ","Item Code / Country combination; "),"")&amp;IF($C238="","Quantity; ","")&amp;IF(AND($C238&lt;&gt;"",OR(NOT(ISNUMBER($C238)),$C238&lt;1,$C238&gt;999,MOD($C238,1)&lt;&gt;0)),"Quantity; ","")&amp;IF($D238="","Recipient Name; ","")&amp;IF(LEN($D238)&gt;35,"Recipient Name; ","")&amp;IF($E238="","Recipient Phone; ","")&amp;IF(AND($E238&lt;&gt;"",OR(LEN($E238)&lt;6,LEN($E238)&gt;20,NOT(IFERROR(ISNUMBER(1*$E238),FALSE())))),"Recipient Phone; ","")&amp;IF(LEN($F238)&gt;35,"Recipient Company Name; ","")&amp;IF($G238="","Address Line 1; ","")&amp;IF(LEN($G238)&gt;35,"Address Line 1; ","")&amp;IF(LEN($H238)&gt;35,"Address Line 2; ","")&amp;IF(LEN($I238)&gt;35,"Address Line 3; ","")&amp;IF($J238="","Town; ","")&amp;IF(LEN($J238)&gt;35,"Town; ","")&amp;IF(AND($N238="IE",$K238=""),"County; ","")&amp;IF(LEN($AB238)&gt;35,"County; ","")&amp;IF(AND($L238="",AND($N238&lt;&gt;"AE",$N238&lt;&gt;"QA")),"Postcode; ","")&amp;IF(LEN($L238)&gt;35,"Postcode; ","")&amp;IF($AE238&lt;&gt;"","Postcode; ","")&amp;IF(LEN($O238)&gt;40,"Gift Message 1; ","")&amp;IF(LEN($P238)&gt;40,"Gift Message 2; ","")&amp;IF(LEN($Q238)&gt;40,"Gift Message 3; ","")&amp;IF(LEN($R238)&gt;40,"Gift Message 4; ","")&amp;IF(LEN($S238)&gt;40,"Gift Message 5; ","")&amp;IF(LEN($T238)&gt;40,"Gift Message 6; ","")&amp;IF(LEN($U238)&gt;40,"Gift Message 7; ",""))</f>
        <v/>
      </c>
      <c r="X238" s="44" t="str">
        <f ca="1">IF(COUNTA($A238,$D238:$M238,$O238:$U238)=0,"",IF($A238="","Enter the Item Code (hamper) - type it, paste it, or choose it from the dropdown. ","")&amp;IF(AND($A238&lt;&gt;"",ISNA(MATCH($AC238,'PRODUCT DATA'!$D$2:$D$394,0))),"This Item Code is not recognised. Check the code (case does not matter, but spelling and digits must match exactly) or choose it from the dropdown. ","")&amp;IF($M238="","Enter the Country after the Item Code - type or paste the name or the 2-letter code, or choose it from the dropdown. ","")&amp;IF(AND($M238&lt;&gt;"",NOT(OR(NOT(ISNA(MATCH(IF(UPPER($M238)="UK","GB",$M238),'PRODUCT DATA'!$A$2:$A$58,0))),NOT(ISNA(MATCH(IF(UPPER($M238)="UK","GB",$M238),'PRODUCT DATA'!$B$2:$B$58,0)))))),"This Country is not recognised as either a full name or a 2-letter code. Check the spelling (case does not matter) or choose it from the dropdown. ","")&amp;IF(AND($A238&lt;&gt;"",$M238&lt;&gt;"",NOT(ISNA(MATCH($AC238,'PRODUCT DATA'!$D$2:$D$394,0))),OR(NOT(ISNA(MATCH(IF(UPPER($M238)="UK","GB",$M238),'PRODUCT DATA'!$A$2:$A$58,0))),NOT(ISNA(MATCH(IF(UPPER($M238)="UK","GB",$M238),'PRODUCT DATA'!$B$2:$B$58,0)))),NOT(IFERROR(COUNTIF(OFFSET('PRODUCT DATA'!$F$2,0,MATCH($AC238,'PRODUCT DATA'!$F$1:$NN$1,0)-1,114,1),$N238)&gt;0,FALSE()))),IF(UPPER(IFERROR(OFFSET('PRODUCT DATA'!$C$2,MATCH($N238,'PRODUCT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"),"")&amp;IF($C238="","Enter Quantity. ","")&amp;IF(AND($C238&lt;&gt;"",OR(NOT(ISNUMBER($C238)),$C238&lt;1,$C238&gt;999,MOD($C238,1)&lt;&gt;0)),"Quantity must be a whole number from 1 to 999 (use a quantity above 1 only for a genuine bulk order of identical items to ONE address — otherwise use a separate row per recipient). ","")&amp;IF($D238="","Enter Recipient Name. ","")&amp;IF(LEN($D238)&gt;35,"Recipient Name exceeds 35 characters. ","")&amp;IF($E238="","Enter Recipient Phone. ","")&amp;IF(AND($E238&lt;&gt;"",OR(LEN($E238)&lt;6,LEN($E238)&gt;20,NOT(IFERROR(ISNUMBER(1*$E238),FALSE())))),"Phone must be the LOCAL number for the destination country: digits only, no +, spaces, or country code, 6 to 20 digits. ","")&amp;IF(LEN($F238)&gt;35,"Recipient Company Name exceeds 35 characters. ","")&amp;IF($G238="","Enter Address Line 1. ","")&amp;IF(LEN($G238)&gt;35,"Address Line 1 exceeds the 35-character SAP limit. ","")&amp;IF(LEN($H238)&gt;35,"Address Line 2 exceeds the 35-character SAP limit. ","")&amp;IF(LEN($I238)&gt;35,"Address Line 3 exceeds the 35-character SAP limit. ","")&amp;IF($J238="","Enter Town. This must never be left blank, even if there is no conventional town name. ","")&amp;IF(LEN($J238)&gt;35,"Town exceeds 35 characters. ","")&amp;IF(AND($N238="IE",$K238=""),"County is required for deliveries within the Republic of Ireland. ","")&amp;IF(LEN($AB238)&gt;35,"County exceeds 35 characters. ","")&amp;IF(AND($L238="",AND($N238&lt;&gt;"AE",$N238&lt;&gt;"QA")),"Postcode is required for the selected country. If there is genuinely no postcode, enter the first 3 characters of the area (e.g. D15). ","")&amp;IF(LEN($L238)&gt;35,"Postcode exceeds 35 characters. ","")&amp;IF($AE238&lt;&gt;"",$AE238,"")&amp;IF(LEN($O238)&gt;40,"Gift Message Line 1 exceeds 40 characters. ","")&amp;IF(LEN($P238)&gt;40,"Gift Message Line 2 exceeds 40 characters. ","")&amp;IF(LEN($Q238)&gt;40,"Gift Message Line 3 exceeds 40 characters. ","")&amp;IF(LEN($R238)&gt;40,"Gift Message Line 4 exceeds 40 characters. ","")&amp;IF(LEN($S238)&gt;40,"Gift Message Line 5 exceeds 40 characters. ","")&amp;IF(LEN($T238)&gt;40,"Gift Message Line 6 exceeds 40 characters. ","")&amp;IF(LEN($U238)&gt;40,"Gift Message Line 7 exceeds 40 characters. ",""))</f>
        <v/>
      </c>
      <c r="Y238" s="44" t="str">
        <f t="shared" si="13"/>
        <v/>
      </c>
      <c r="Z238" s="44"/>
      <c r="AA238" s="44"/>
      <c r="AB238" s="32" t="str">
        <f t="shared" si="14"/>
        <v/>
      </c>
      <c r="AC238" s="32" t="str">
        <f>IF($A238="","",IFERROR(LEFT(INDEX('PRODUCT DATA'!$NO$2:$NO$25,MATCH($A238,'PRODUCT DATA'!$NP$2:$NP$25,0)),FIND("|",INDEX('PRODUCT DATA'!$NO$2:$NO$25,MATCH($A238,'PRODUCT DATA'!$NP$2:$NP$25,0)))-1),$A238))</f>
        <v/>
      </c>
      <c r="AD238" s="45"/>
      <c r="AE238" s="45" t="str">
        <f t="shared" si="15"/>
        <v/>
      </c>
    </row>
    <row r="239" spans="1:31" ht="15" customHeight="1" x14ac:dyDescent="0.25">
      <c r="A239" s="40"/>
      <c r="B239" s="43" t="str">
        <f>IF($A239="","",IFERROR(VLOOKUP($AC239,'PRODUCT DATA'!$NR$2:$NS$374,2,FALSE()),"UNKNOWN ITEM CODE - please check"))</f>
        <v/>
      </c>
      <c r="C239" s="39">
        <v>1</v>
      </c>
      <c r="D239" s="39"/>
      <c r="E239" s="40"/>
      <c r="F239" s="41"/>
      <c r="G239" s="39"/>
      <c r="H239" s="41"/>
      <c r="I239" s="41"/>
      <c r="J239" s="39"/>
      <c r="K239" s="41"/>
      <c r="L239" s="40"/>
      <c r="M239" s="40"/>
      <c r="N239" s="42" t="str">
        <f>IF($M239="","",IFERROR(INDEX('PRODUCT DATA'!$B$2:$B$58,MATCH(IF(UPPER($M239)="UK","GB",$M239),'PRODUCT DATA'!$B$2:$B$58,0)),IFERROR(INDEX('PRODUCT DATA'!$B$2:$B$58,MATCH(IF(UPPER($M239)="UK","GB",$M239),'PRODUCT DATA'!$A$2:$A$58,0)),"UNKNOWN COUNTRY - please check")))</f>
        <v/>
      </c>
      <c r="O239" s="41"/>
      <c r="P239" s="41"/>
      <c r="Q239" s="41"/>
      <c r="R239" s="41"/>
      <c r="S239" s="41"/>
      <c r="T239" s="41"/>
      <c r="U239" s="41"/>
      <c r="V239" s="43" t="str">
        <f t="shared" si="12"/>
        <v/>
      </c>
      <c r="W239" s="44" t="str">
        <f ca="1">IF(COUNTA($A239,$D239:$M239,$O239:$U239)=0,"",IF($A239="","Item Code; ","")&amp;IF(AND($A239&lt;&gt;"",ISNA(MATCH($AC239,'PRODUCT DATA'!$D$2:$D$394,0))),"Item Code; ","")&amp;IF($M239="","Country; ","")&amp;IF(AND($M239&lt;&gt;"",NOT(OR(NOT(ISNA(MATCH(IF(UPPER($M239)="UK","GB",$M239),'PRODUCT DATA'!$A$2:$A$58,0))),NOT(ISNA(MATCH(IF(UPPER($M239)="UK","GB",$M239),'PRODUCT DATA'!$B$2:$B$58,0)))))),"Country; ","")&amp;IF(AND($A239&lt;&gt;"",$M239&lt;&gt;"",NOT(ISNA(MATCH($AC239,'PRODUCT DATA'!$D$2:$D$394,0))),OR(NOT(ISNA(MATCH(IF(UPPER($M239)="UK","GB",$M239),'PRODUCT DATA'!$A$2:$A$58,0))),NOT(ISNA(MATCH(IF(UPPER($M239)="UK","GB",$M239),'PRODUCT DATA'!$B$2:$B$58,0)))),NOT(IFERROR(COUNTIF(OFFSET('PRODUCT DATA'!$F$2,0,MATCH($AC239,'PRODUCT DATA'!$F$1:$NN$1,0)-1,114,1),$N239)&gt;0,FALSE()))),IF(UPPER(IFERROR(OFFSET('PRODUCT DATA'!$C$2,MATCH($N239,'PRODUCT DATA'!$B$2:$B$58,0)-1,0),""))="NO","Alcohol Restriction; ","Item Code / Country combination; "),"")&amp;IF($C239="","Quantity; ","")&amp;IF(AND($C239&lt;&gt;"",OR(NOT(ISNUMBER($C239)),$C239&lt;1,$C239&gt;999,MOD($C239,1)&lt;&gt;0)),"Quantity; ","")&amp;IF($D239="","Recipient Name; ","")&amp;IF(LEN($D239)&gt;35,"Recipient Name; ","")&amp;IF($E239="","Recipient Phone; ","")&amp;IF(AND($E239&lt;&gt;"",OR(LEN($E239)&lt;6,LEN($E239)&gt;20,NOT(IFERROR(ISNUMBER(1*$E239),FALSE())))),"Recipient Phone; ","")&amp;IF(LEN($F239)&gt;35,"Recipient Company Name; ","")&amp;IF($G239="","Address Line 1; ","")&amp;IF(LEN($G239)&gt;35,"Address Line 1; ","")&amp;IF(LEN($H239)&gt;35,"Address Line 2; ","")&amp;IF(LEN($I239)&gt;35,"Address Line 3; ","")&amp;IF($J239="","Town; ","")&amp;IF(LEN($J239)&gt;35,"Town; ","")&amp;IF(AND($N239="IE",$K239=""),"County; ","")&amp;IF(LEN($AB239)&gt;35,"County; ","")&amp;IF(AND($L239="",AND($N239&lt;&gt;"AE",$N239&lt;&gt;"QA")),"Postcode; ","")&amp;IF(LEN($L239)&gt;35,"Postcode; ","")&amp;IF($AE239&lt;&gt;"","Postcode; ","")&amp;IF(LEN($O239)&gt;40,"Gift Message 1; ","")&amp;IF(LEN($P239)&gt;40,"Gift Message 2; ","")&amp;IF(LEN($Q239)&gt;40,"Gift Message 3; ","")&amp;IF(LEN($R239)&gt;40,"Gift Message 4; ","")&amp;IF(LEN($S239)&gt;40,"Gift Message 5; ","")&amp;IF(LEN($T239)&gt;40,"Gift Message 6; ","")&amp;IF(LEN($U239)&gt;40,"Gift Message 7; ",""))</f>
        <v/>
      </c>
      <c r="X239" s="44" t="str">
        <f ca="1">IF(COUNTA($A239,$D239:$M239,$O239:$U239)=0,"",IF($A239="","Enter the Item Code (hamper) - type it, paste it, or choose it from the dropdown. ","")&amp;IF(AND($A239&lt;&gt;"",ISNA(MATCH($AC239,'PRODUCT DATA'!$D$2:$D$394,0))),"This Item Code is not recognised. Check the code (case does not matter, but spelling and digits must match exactly) or choose it from the dropdown. ","")&amp;IF($M239="","Enter the Country after the Item Code - type or paste the name or the 2-letter code, or choose it from the dropdown. ","")&amp;IF(AND($M239&lt;&gt;"",NOT(OR(NOT(ISNA(MATCH(IF(UPPER($M239)="UK","GB",$M239),'PRODUCT DATA'!$A$2:$A$58,0))),NOT(ISNA(MATCH(IF(UPPER($M239)="UK","GB",$M239),'PRODUCT DATA'!$B$2:$B$58,0)))))),"This Country is not recognised as either a full name or a 2-letter code. Check the spelling (case does not matter) or choose it from the dropdown. ","")&amp;IF(AND($A239&lt;&gt;"",$M239&lt;&gt;"",NOT(ISNA(MATCH($AC239,'PRODUCT DATA'!$D$2:$D$394,0))),OR(NOT(ISNA(MATCH(IF(UPPER($M239)="UK","GB",$M239),'PRODUCT DATA'!$A$2:$A$58,0))),NOT(ISNA(MATCH(IF(UPPER($M239)="UK","GB",$M239),'PRODUCT DATA'!$B$2:$B$58,0)))),NOT(IFERROR(COUNTIF(OFFSET('PRODUCT DATA'!$F$2,0,MATCH($AC239,'PRODUCT DATA'!$F$1:$NN$1,0)-1,114,1),$N239)&gt;0,FALSE()))),IF(UPPER(IFERROR(OFFSET('PRODUCT DATA'!$C$2,MATCH($N239,'PRODUCT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"),"")&amp;IF($C239="","Enter Quantity. ","")&amp;IF(AND($C239&lt;&gt;"",OR(NOT(ISNUMBER($C239)),$C239&lt;1,$C239&gt;999,MOD($C239,1)&lt;&gt;0)),"Quantity must be a whole number from 1 to 999 (use a quantity above 1 only for a genuine bulk order of identical items to ONE address — otherwise use a separate row per recipient). ","")&amp;IF($D239="","Enter Recipient Name. ","")&amp;IF(LEN($D239)&gt;35,"Recipient Name exceeds 35 characters. ","")&amp;IF($E239="","Enter Recipient Phone. ","")&amp;IF(AND($E239&lt;&gt;"",OR(LEN($E239)&lt;6,LEN($E239)&gt;20,NOT(IFERROR(ISNUMBER(1*$E239),FALSE())))),"Phone must be the LOCAL number for the destination country: digits only, no +, spaces, or country code, 6 to 20 digits. ","")&amp;IF(LEN($F239)&gt;35,"Recipient Company Name exceeds 35 characters. ","")&amp;IF($G239="","Enter Address Line 1. ","")&amp;IF(LEN($G239)&gt;35,"Address Line 1 exceeds the 35-character SAP limit. ","")&amp;IF(LEN($H239)&gt;35,"Address Line 2 exceeds the 35-character SAP limit. ","")&amp;IF(LEN($I239)&gt;35,"Address Line 3 exceeds the 35-character SAP limit. ","")&amp;IF($J239="","Enter Town. This must never be left blank, even if there is no conventional town name. ","")&amp;IF(LEN($J239)&gt;35,"Town exceeds 35 characters. ","")&amp;IF(AND($N239="IE",$K239=""),"County is required for deliveries within the Republic of Ireland. ","")&amp;IF(LEN($AB239)&gt;35,"County exceeds 35 characters. ","")&amp;IF(AND($L239="",AND($N239&lt;&gt;"AE",$N239&lt;&gt;"QA")),"Postcode is required for the selected country. If there is genuinely no postcode, enter the first 3 characters of the area (e.g. D15). ","")&amp;IF(LEN($L239)&gt;35,"Postcode exceeds 35 characters. ","")&amp;IF($AE239&lt;&gt;"",$AE239,"")&amp;IF(LEN($O239)&gt;40,"Gift Message Line 1 exceeds 40 characters. ","")&amp;IF(LEN($P239)&gt;40,"Gift Message Line 2 exceeds 40 characters. ","")&amp;IF(LEN($Q239)&gt;40,"Gift Message Line 3 exceeds 40 characters. ","")&amp;IF(LEN($R239)&gt;40,"Gift Message Line 4 exceeds 40 characters. ","")&amp;IF(LEN($S239)&gt;40,"Gift Message Line 5 exceeds 40 characters. ","")&amp;IF(LEN($T239)&gt;40,"Gift Message Line 6 exceeds 40 characters. ","")&amp;IF(LEN($U239)&gt;40,"Gift Message Line 7 exceeds 40 characters. ",""))</f>
        <v/>
      </c>
      <c r="Y239" s="44" t="str">
        <f t="shared" si="13"/>
        <v/>
      </c>
      <c r="Z239" s="44"/>
      <c r="AA239" s="44"/>
      <c r="AB239" s="32" t="str">
        <f t="shared" si="14"/>
        <v/>
      </c>
      <c r="AC239" s="32" t="str">
        <f>IF($A239="","",IFERROR(LEFT(INDEX('PRODUCT DATA'!$NO$2:$NO$25,MATCH($A239,'PRODUCT DATA'!$NP$2:$NP$25,0)),FIND("|",INDEX('PRODUCT DATA'!$NO$2:$NO$25,MATCH($A239,'PRODUCT DATA'!$NP$2:$NP$25,0)))-1),$A239))</f>
        <v/>
      </c>
      <c r="AD239" s="45"/>
      <c r="AE239" s="45" t="str">
        <f t="shared" si="15"/>
        <v/>
      </c>
    </row>
    <row r="240" spans="1:31" ht="15" customHeight="1" x14ac:dyDescent="0.25">
      <c r="A240" s="40"/>
      <c r="B240" s="43" t="str">
        <f>IF($A240="","",IFERROR(VLOOKUP($AC240,'PRODUCT DATA'!$NR$2:$NS$374,2,FALSE()),"UNKNOWN ITEM CODE - please check"))</f>
        <v/>
      </c>
      <c r="C240" s="39">
        <v>1</v>
      </c>
      <c r="D240" s="39"/>
      <c r="E240" s="40"/>
      <c r="F240" s="41"/>
      <c r="G240" s="39"/>
      <c r="H240" s="41"/>
      <c r="I240" s="41"/>
      <c r="J240" s="39"/>
      <c r="K240" s="41"/>
      <c r="L240" s="40"/>
      <c r="M240" s="40"/>
      <c r="N240" s="42" t="str">
        <f>IF($M240="","",IFERROR(INDEX('PRODUCT DATA'!$B$2:$B$58,MATCH(IF(UPPER($M240)="UK","GB",$M240),'PRODUCT DATA'!$B$2:$B$58,0)),IFERROR(INDEX('PRODUCT DATA'!$B$2:$B$58,MATCH(IF(UPPER($M240)="UK","GB",$M240),'PRODUCT DATA'!$A$2:$A$58,0)),"UNKNOWN COUNTRY - please check")))</f>
        <v/>
      </c>
      <c r="O240" s="41"/>
      <c r="P240" s="41"/>
      <c r="Q240" s="41"/>
      <c r="R240" s="41"/>
      <c r="S240" s="41"/>
      <c r="T240" s="41"/>
      <c r="U240" s="41"/>
      <c r="V240" s="43" t="str">
        <f t="shared" si="12"/>
        <v/>
      </c>
      <c r="W240" s="44" t="str">
        <f ca="1">IF(COUNTA($A240,$D240:$M240,$O240:$U240)=0,"",IF($A240="","Item Code; ","")&amp;IF(AND($A240&lt;&gt;"",ISNA(MATCH($AC240,'PRODUCT DATA'!$D$2:$D$394,0))),"Item Code; ","")&amp;IF($M240="","Country; ","")&amp;IF(AND($M240&lt;&gt;"",NOT(OR(NOT(ISNA(MATCH(IF(UPPER($M240)="UK","GB",$M240),'PRODUCT DATA'!$A$2:$A$58,0))),NOT(ISNA(MATCH(IF(UPPER($M240)="UK","GB",$M240),'PRODUCT DATA'!$B$2:$B$58,0)))))),"Country; ","")&amp;IF(AND($A240&lt;&gt;"",$M240&lt;&gt;"",NOT(ISNA(MATCH($AC240,'PRODUCT DATA'!$D$2:$D$394,0))),OR(NOT(ISNA(MATCH(IF(UPPER($M240)="UK","GB",$M240),'PRODUCT DATA'!$A$2:$A$58,0))),NOT(ISNA(MATCH(IF(UPPER($M240)="UK","GB",$M240),'PRODUCT DATA'!$B$2:$B$58,0)))),NOT(IFERROR(COUNTIF(OFFSET('PRODUCT DATA'!$F$2,0,MATCH($AC240,'PRODUCT DATA'!$F$1:$NN$1,0)-1,114,1),$N240)&gt;0,FALSE()))),IF(UPPER(IFERROR(OFFSET('PRODUCT DATA'!$C$2,MATCH($N240,'PRODUCT DATA'!$B$2:$B$58,0)-1,0),""))="NO","Alcohol Restriction; ","Item Code / Country combination; "),"")&amp;IF($C240="","Quantity; ","")&amp;IF(AND($C240&lt;&gt;"",OR(NOT(ISNUMBER($C240)),$C240&lt;1,$C240&gt;999,MOD($C240,1)&lt;&gt;0)),"Quantity; ","")&amp;IF($D240="","Recipient Name; ","")&amp;IF(LEN($D240)&gt;35,"Recipient Name; ","")&amp;IF($E240="","Recipient Phone; ","")&amp;IF(AND($E240&lt;&gt;"",OR(LEN($E240)&lt;6,LEN($E240)&gt;20,NOT(IFERROR(ISNUMBER(1*$E240),FALSE())))),"Recipient Phone; ","")&amp;IF(LEN($F240)&gt;35,"Recipient Company Name; ","")&amp;IF($G240="","Address Line 1; ","")&amp;IF(LEN($G240)&gt;35,"Address Line 1; ","")&amp;IF(LEN($H240)&gt;35,"Address Line 2; ","")&amp;IF(LEN($I240)&gt;35,"Address Line 3; ","")&amp;IF($J240="","Town; ","")&amp;IF(LEN($J240)&gt;35,"Town; ","")&amp;IF(AND($N240="IE",$K240=""),"County; ","")&amp;IF(LEN($AB240)&gt;35,"County; ","")&amp;IF(AND($L240="",AND($N240&lt;&gt;"AE",$N240&lt;&gt;"QA")),"Postcode; ","")&amp;IF(LEN($L240)&gt;35,"Postcode; ","")&amp;IF($AE240&lt;&gt;"","Postcode; ","")&amp;IF(LEN($O240)&gt;40,"Gift Message 1; ","")&amp;IF(LEN($P240)&gt;40,"Gift Message 2; ","")&amp;IF(LEN($Q240)&gt;40,"Gift Message 3; ","")&amp;IF(LEN($R240)&gt;40,"Gift Message 4; ","")&amp;IF(LEN($S240)&gt;40,"Gift Message 5; ","")&amp;IF(LEN($T240)&gt;40,"Gift Message 6; ","")&amp;IF(LEN($U240)&gt;40,"Gift Message 7; ",""))</f>
        <v/>
      </c>
      <c r="X240" s="44" t="str">
        <f ca="1">IF(COUNTA($A240,$D240:$M240,$O240:$U240)=0,"",IF($A240="","Enter the Item Code (hamper) - type it, paste it, or choose it from the dropdown. ","")&amp;IF(AND($A240&lt;&gt;"",ISNA(MATCH($AC240,'PRODUCT DATA'!$D$2:$D$394,0))),"This Item Code is not recognised. Check the code (case does not matter, but spelling and digits must match exactly) or choose it from the dropdown. ","")&amp;IF($M240="","Enter the Country after the Item Code - type or paste the name or the 2-letter code, or choose it from the dropdown. ","")&amp;IF(AND($M240&lt;&gt;"",NOT(OR(NOT(ISNA(MATCH(IF(UPPER($M240)="UK","GB",$M240),'PRODUCT DATA'!$A$2:$A$58,0))),NOT(ISNA(MATCH(IF(UPPER($M240)="UK","GB",$M240),'PRODUCT DATA'!$B$2:$B$58,0)))))),"This Country is not recognised as either a full name or a 2-letter code. Check the spelling (case does not matter) or choose it from the dropdown. ","")&amp;IF(AND($A240&lt;&gt;"",$M240&lt;&gt;"",NOT(ISNA(MATCH($AC240,'PRODUCT DATA'!$D$2:$D$394,0))),OR(NOT(ISNA(MATCH(IF(UPPER($M240)="UK","GB",$M240),'PRODUCT DATA'!$A$2:$A$58,0))),NOT(ISNA(MATCH(IF(UPPER($M240)="UK","GB",$M240),'PRODUCT DATA'!$B$2:$B$58,0)))),NOT(IFERROR(COUNTIF(OFFSET('PRODUCT DATA'!$F$2,0,MATCH($AC240,'PRODUCT DATA'!$F$1:$NN$1,0)-1,114,1),$N240)&gt;0,FALSE()))),IF(UPPER(IFERROR(OFFSET('PRODUCT DATA'!$C$2,MATCH($N240,'PRODUCT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"),"")&amp;IF($C240="","Enter Quantity. ","")&amp;IF(AND($C240&lt;&gt;"",OR(NOT(ISNUMBER($C240)),$C240&lt;1,$C240&gt;999,MOD($C240,1)&lt;&gt;0)),"Quantity must be a whole number from 1 to 999 (use a quantity above 1 only for a genuine bulk order of identical items to ONE address — otherwise use a separate row per recipient). ","")&amp;IF($D240="","Enter Recipient Name. ","")&amp;IF(LEN($D240)&gt;35,"Recipient Name exceeds 35 characters. ","")&amp;IF($E240="","Enter Recipient Phone. ","")&amp;IF(AND($E240&lt;&gt;"",OR(LEN($E240)&lt;6,LEN($E240)&gt;20,NOT(IFERROR(ISNUMBER(1*$E240),FALSE())))),"Phone must be the LOCAL number for the destination country: digits only, no +, spaces, or country code, 6 to 20 digits. ","")&amp;IF(LEN($F240)&gt;35,"Recipient Company Name exceeds 35 characters. ","")&amp;IF($G240="","Enter Address Line 1. ","")&amp;IF(LEN($G240)&gt;35,"Address Line 1 exceeds the 35-character SAP limit. ","")&amp;IF(LEN($H240)&gt;35,"Address Line 2 exceeds the 35-character SAP limit. ","")&amp;IF(LEN($I240)&gt;35,"Address Line 3 exceeds the 35-character SAP limit. ","")&amp;IF($J240="","Enter Town. This must never be left blank, even if there is no conventional town name. ","")&amp;IF(LEN($J240)&gt;35,"Town exceeds 35 characters. ","")&amp;IF(AND($N240="IE",$K240=""),"County is required for deliveries within the Republic of Ireland. ","")&amp;IF(LEN($AB240)&gt;35,"County exceeds 35 characters. ","")&amp;IF(AND($L240="",AND($N240&lt;&gt;"AE",$N240&lt;&gt;"QA")),"Postcode is required for the selected country. If there is genuinely no postcode, enter the first 3 characters of the area (e.g. D15). ","")&amp;IF(LEN($L240)&gt;35,"Postcode exceeds 35 characters. ","")&amp;IF($AE240&lt;&gt;"",$AE240,"")&amp;IF(LEN($O240)&gt;40,"Gift Message Line 1 exceeds 40 characters. ","")&amp;IF(LEN($P240)&gt;40,"Gift Message Line 2 exceeds 40 characters. ","")&amp;IF(LEN($Q240)&gt;40,"Gift Message Line 3 exceeds 40 characters. ","")&amp;IF(LEN($R240)&gt;40,"Gift Message Line 4 exceeds 40 characters. ","")&amp;IF(LEN($S240)&gt;40,"Gift Message Line 5 exceeds 40 characters. ","")&amp;IF(LEN($T240)&gt;40,"Gift Message Line 6 exceeds 40 characters. ","")&amp;IF(LEN($U240)&gt;40,"Gift Message Line 7 exceeds 40 characters. ",""))</f>
        <v/>
      </c>
      <c r="Y240" s="44" t="str">
        <f t="shared" si="13"/>
        <v/>
      </c>
      <c r="Z240" s="44"/>
      <c r="AA240" s="44"/>
      <c r="AB240" s="32" t="str">
        <f t="shared" si="14"/>
        <v/>
      </c>
      <c r="AC240" s="32" t="str">
        <f>IF($A240="","",IFERROR(LEFT(INDEX('PRODUCT DATA'!$NO$2:$NO$25,MATCH($A240,'PRODUCT DATA'!$NP$2:$NP$25,0)),FIND("|",INDEX('PRODUCT DATA'!$NO$2:$NO$25,MATCH($A240,'PRODUCT DATA'!$NP$2:$NP$25,0)))-1),$A240))</f>
        <v/>
      </c>
      <c r="AD240" s="45"/>
      <c r="AE240" s="45" t="str">
        <f t="shared" si="15"/>
        <v/>
      </c>
    </row>
    <row r="241" spans="1:31" ht="15" customHeight="1" x14ac:dyDescent="0.25">
      <c r="A241" s="40"/>
      <c r="B241" s="43" t="str">
        <f>IF($A241="","",IFERROR(VLOOKUP($AC241,'PRODUCT DATA'!$NR$2:$NS$374,2,FALSE()),"UNKNOWN ITEM CODE - please check"))</f>
        <v/>
      </c>
      <c r="C241" s="39">
        <v>1</v>
      </c>
      <c r="D241" s="39"/>
      <c r="E241" s="40"/>
      <c r="F241" s="41"/>
      <c r="G241" s="39"/>
      <c r="H241" s="41"/>
      <c r="I241" s="41"/>
      <c r="J241" s="39"/>
      <c r="K241" s="41"/>
      <c r="L241" s="40"/>
      <c r="M241" s="40"/>
      <c r="N241" s="42" t="str">
        <f>IF($M241="","",IFERROR(INDEX('PRODUCT DATA'!$B$2:$B$58,MATCH(IF(UPPER($M241)="UK","GB",$M241),'PRODUCT DATA'!$B$2:$B$58,0)),IFERROR(INDEX('PRODUCT DATA'!$B$2:$B$58,MATCH(IF(UPPER($M241)="UK","GB",$M241),'PRODUCT DATA'!$A$2:$A$58,0)),"UNKNOWN COUNTRY - please check")))</f>
        <v/>
      </c>
      <c r="O241" s="41"/>
      <c r="P241" s="41"/>
      <c r="Q241" s="41"/>
      <c r="R241" s="41"/>
      <c r="S241" s="41"/>
      <c r="T241" s="41"/>
      <c r="U241" s="41"/>
      <c r="V241" s="43" t="str">
        <f t="shared" si="12"/>
        <v/>
      </c>
      <c r="W241" s="44" t="str">
        <f ca="1">IF(COUNTA($A241,$D241:$M241,$O241:$U241)=0,"",IF($A241="","Item Code; ","")&amp;IF(AND($A241&lt;&gt;"",ISNA(MATCH($AC241,'PRODUCT DATA'!$D$2:$D$394,0))),"Item Code; ","")&amp;IF($M241="","Country; ","")&amp;IF(AND($M241&lt;&gt;"",NOT(OR(NOT(ISNA(MATCH(IF(UPPER($M241)="UK","GB",$M241),'PRODUCT DATA'!$A$2:$A$58,0))),NOT(ISNA(MATCH(IF(UPPER($M241)="UK","GB",$M241),'PRODUCT DATA'!$B$2:$B$58,0)))))),"Country; ","")&amp;IF(AND($A241&lt;&gt;"",$M241&lt;&gt;"",NOT(ISNA(MATCH($AC241,'PRODUCT DATA'!$D$2:$D$394,0))),OR(NOT(ISNA(MATCH(IF(UPPER($M241)="UK","GB",$M241),'PRODUCT DATA'!$A$2:$A$58,0))),NOT(ISNA(MATCH(IF(UPPER($M241)="UK","GB",$M241),'PRODUCT DATA'!$B$2:$B$58,0)))),NOT(IFERROR(COUNTIF(OFFSET('PRODUCT DATA'!$F$2,0,MATCH($AC241,'PRODUCT DATA'!$F$1:$NN$1,0)-1,114,1),$N241)&gt;0,FALSE()))),IF(UPPER(IFERROR(OFFSET('PRODUCT DATA'!$C$2,MATCH($N241,'PRODUCT DATA'!$B$2:$B$58,0)-1,0),""))="NO","Alcohol Restriction; ","Item Code / Country combination; "),"")&amp;IF($C241="","Quantity; ","")&amp;IF(AND($C241&lt;&gt;"",OR(NOT(ISNUMBER($C241)),$C241&lt;1,$C241&gt;999,MOD($C241,1)&lt;&gt;0)),"Quantity; ","")&amp;IF($D241="","Recipient Name; ","")&amp;IF(LEN($D241)&gt;35,"Recipient Name; ","")&amp;IF($E241="","Recipient Phone; ","")&amp;IF(AND($E241&lt;&gt;"",OR(LEN($E241)&lt;6,LEN($E241)&gt;20,NOT(IFERROR(ISNUMBER(1*$E241),FALSE())))),"Recipient Phone; ","")&amp;IF(LEN($F241)&gt;35,"Recipient Company Name; ","")&amp;IF($G241="","Address Line 1; ","")&amp;IF(LEN($G241)&gt;35,"Address Line 1; ","")&amp;IF(LEN($H241)&gt;35,"Address Line 2; ","")&amp;IF(LEN($I241)&gt;35,"Address Line 3; ","")&amp;IF($J241="","Town; ","")&amp;IF(LEN($J241)&gt;35,"Town; ","")&amp;IF(AND($N241="IE",$K241=""),"County; ","")&amp;IF(LEN($AB241)&gt;35,"County; ","")&amp;IF(AND($L241="",AND($N241&lt;&gt;"AE",$N241&lt;&gt;"QA")),"Postcode; ","")&amp;IF(LEN($L241)&gt;35,"Postcode; ","")&amp;IF($AE241&lt;&gt;"","Postcode; ","")&amp;IF(LEN($O241)&gt;40,"Gift Message 1; ","")&amp;IF(LEN($P241)&gt;40,"Gift Message 2; ","")&amp;IF(LEN($Q241)&gt;40,"Gift Message 3; ","")&amp;IF(LEN($R241)&gt;40,"Gift Message 4; ","")&amp;IF(LEN($S241)&gt;40,"Gift Message 5; ","")&amp;IF(LEN($T241)&gt;40,"Gift Message 6; ","")&amp;IF(LEN($U241)&gt;40,"Gift Message 7; ",""))</f>
        <v/>
      </c>
      <c r="X241" s="44" t="str">
        <f ca="1">IF(COUNTA($A241,$D241:$M241,$O241:$U241)=0,"",IF($A241="","Enter the Item Code (hamper) - type it, paste it, or choose it from the dropdown. ","")&amp;IF(AND($A241&lt;&gt;"",ISNA(MATCH($AC241,'PRODUCT DATA'!$D$2:$D$394,0))),"This Item Code is not recognised. Check the code (case does not matter, but spelling and digits must match exactly) or choose it from the dropdown. ","")&amp;IF($M241="","Enter the Country after the Item Code - type or paste the name or the 2-letter code, or choose it from the dropdown. ","")&amp;IF(AND($M241&lt;&gt;"",NOT(OR(NOT(ISNA(MATCH(IF(UPPER($M241)="UK","GB",$M241),'PRODUCT DATA'!$A$2:$A$58,0))),NOT(ISNA(MATCH(IF(UPPER($M241)="UK","GB",$M241),'PRODUCT DATA'!$B$2:$B$58,0)))))),"This Country is not recognised as either a full name or a 2-letter code. Check the spelling (case does not matter) or choose it from the dropdown. ","")&amp;IF(AND($A241&lt;&gt;"",$M241&lt;&gt;"",NOT(ISNA(MATCH($AC241,'PRODUCT DATA'!$D$2:$D$394,0))),OR(NOT(ISNA(MATCH(IF(UPPER($M241)="UK","GB",$M241),'PRODUCT DATA'!$A$2:$A$58,0))),NOT(ISNA(MATCH(IF(UPPER($M241)="UK","GB",$M241),'PRODUCT DATA'!$B$2:$B$58,0)))),NOT(IFERROR(COUNTIF(OFFSET('PRODUCT DATA'!$F$2,0,MATCH($AC241,'PRODUCT DATA'!$F$1:$NN$1,0)-1,114,1),$N241)&gt;0,FALSE()))),IF(UPPER(IFERROR(OFFSET('PRODUCT DATA'!$C$2,MATCH($N241,'PRODUCT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"),"")&amp;IF($C241="","Enter Quantity. ","")&amp;IF(AND($C241&lt;&gt;"",OR(NOT(ISNUMBER($C241)),$C241&lt;1,$C241&gt;999,MOD($C241,1)&lt;&gt;0)),"Quantity must be a whole number from 1 to 999 (use a quantity above 1 only for a genuine bulk order of identical items to ONE address — otherwise use a separate row per recipient). ","")&amp;IF($D241="","Enter Recipient Name. ","")&amp;IF(LEN($D241)&gt;35,"Recipient Name exceeds 35 characters. ","")&amp;IF($E241="","Enter Recipient Phone. ","")&amp;IF(AND($E241&lt;&gt;"",OR(LEN($E241)&lt;6,LEN($E241)&gt;20,NOT(IFERROR(ISNUMBER(1*$E241),FALSE())))),"Phone must be the LOCAL number for the destination country: digits only, no +, spaces, or country code, 6 to 20 digits. ","")&amp;IF(LEN($F241)&gt;35,"Recipient Company Name exceeds 35 characters. ","")&amp;IF($G241="","Enter Address Line 1. ","")&amp;IF(LEN($G241)&gt;35,"Address Line 1 exceeds the 35-character SAP limit. ","")&amp;IF(LEN($H241)&gt;35,"Address Line 2 exceeds the 35-character SAP limit. ","")&amp;IF(LEN($I241)&gt;35,"Address Line 3 exceeds the 35-character SAP limit. ","")&amp;IF($J241="","Enter Town. This must never be left blank, even if there is no conventional town name. ","")&amp;IF(LEN($J241)&gt;35,"Town exceeds 35 characters. ","")&amp;IF(AND($N241="IE",$K241=""),"County is required for deliveries within the Republic of Ireland. ","")&amp;IF(LEN($AB241)&gt;35,"County exceeds 35 characters. ","")&amp;IF(AND($L241="",AND($N241&lt;&gt;"AE",$N241&lt;&gt;"QA")),"Postcode is required for the selected country. If there is genuinely no postcode, enter the first 3 characters of the area (e.g. D15). ","")&amp;IF(LEN($L241)&gt;35,"Postcode exceeds 35 characters. ","")&amp;IF($AE241&lt;&gt;"",$AE241,"")&amp;IF(LEN($O241)&gt;40,"Gift Message Line 1 exceeds 40 characters. ","")&amp;IF(LEN($P241)&gt;40,"Gift Message Line 2 exceeds 40 characters. ","")&amp;IF(LEN($Q241)&gt;40,"Gift Message Line 3 exceeds 40 characters. ","")&amp;IF(LEN($R241)&gt;40,"Gift Message Line 4 exceeds 40 characters. ","")&amp;IF(LEN($S241)&gt;40,"Gift Message Line 5 exceeds 40 characters. ","")&amp;IF(LEN($T241)&gt;40,"Gift Message Line 6 exceeds 40 characters. ","")&amp;IF(LEN($U241)&gt;40,"Gift Message Line 7 exceeds 40 characters. ",""))</f>
        <v/>
      </c>
      <c r="Y241" s="44" t="str">
        <f t="shared" si="13"/>
        <v/>
      </c>
      <c r="Z241" s="44"/>
      <c r="AA241" s="44"/>
      <c r="AB241" s="32" t="str">
        <f t="shared" si="14"/>
        <v/>
      </c>
      <c r="AC241" s="32" t="str">
        <f>IF($A241="","",IFERROR(LEFT(INDEX('PRODUCT DATA'!$NO$2:$NO$25,MATCH($A241,'PRODUCT DATA'!$NP$2:$NP$25,0)),FIND("|",INDEX('PRODUCT DATA'!$NO$2:$NO$25,MATCH($A241,'PRODUCT DATA'!$NP$2:$NP$25,0)))-1),$A241))</f>
        <v/>
      </c>
      <c r="AD241" s="45"/>
      <c r="AE241" s="45" t="str">
        <f t="shared" si="15"/>
        <v/>
      </c>
    </row>
    <row r="242" spans="1:31" ht="15" customHeight="1" x14ac:dyDescent="0.25">
      <c r="A242" s="40"/>
      <c r="B242" s="43" t="str">
        <f>IF($A242="","",IFERROR(VLOOKUP($AC242,'PRODUCT DATA'!$NR$2:$NS$374,2,FALSE()),"UNKNOWN ITEM CODE - please check"))</f>
        <v/>
      </c>
      <c r="C242" s="39">
        <v>1</v>
      </c>
      <c r="D242" s="39"/>
      <c r="E242" s="40"/>
      <c r="F242" s="41"/>
      <c r="G242" s="39"/>
      <c r="H242" s="41"/>
      <c r="I242" s="41"/>
      <c r="J242" s="39"/>
      <c r="K242" s="41"/>
      <c r="L242" s="40"/>
      <c r="M242" s="40"/>
      <c r="N242" s="42" t="str">
        <f>IF($M242="","",IFERROR(INDEX('PRODUCT DATA'!$B$2:$B$58,MATCH(IF(UPPER($M242)="UK","GB",$M242),'PRODUCT DATA'!$B$2:$B$58,0)),IFERROR(INDEX('PRODUCT DATA'!$B$2:$B$58,MATCH(IF(UPPER($M242)="UK","GB",$M242),'PRODUCT DATA'!$A$2:$A$58,0)),"UNKNOWN COUNTRY - please check")))</f>
        <v/>
      </c>
      <c r="O242" s="41"/>
      <c r="P242" s="41"/>
      <c r="Q242" s="41"/>
      <c r="R242" s="41"/>
      <c r="S242" s="41"/>
      <c r="T242" s="41"/>
      <c r="U242" s="41"/>
      <c r="V242" s="43" t="str">
        <f t="shared" si="12"/>
        <v/>
      </c>
      <c r="W242" s="44" t="str">
        <f ca="1">IF(COUNTA($A242,$D242:$M242,$O242:$U242)=0,"",IF($A242="","Item Code; ","")&amp;IF(AND($A242&lt;&gt;"",ISNA(MATCH($AC242,'PRODUCT DATA'!$D$2:$D$394,0))),"Item Code; ","")&amp;IF($M242="","Country; ","")&amp;IF(AND($M242&lt;&gt;"",NOT(OR(NOT(ISNA(MATCH(IF(UPPER($M242)="UK","GB",$M242),'PRODUCT DATA'!$A$2:$A$58,0))),NOT(ISNA(MATCH(IF(UPPER($M242)="UK","GB",$M242),'PRODUCT DATA'!$B$2:$B$58,0)))))),"Country; ","")&amp;IF(AND($A242&lt;&gt;"",$M242&lt;&gt;"",NOT(ISNA(MATCH($AC242,'PRODUCT DATA'!$D$2:$D$394,0))),OR(NOT(ISNA(MATCH(IF(UPPER($M242)="UK","GB",$M242),'PRODUCT DATA'!$A$2:$A$58,0))),NOT(ISNA(MATCH(IF(UPPER($M242)="UK","GB",$M242),'PRODUCT DATA'!$B$2:$B$58,0)))),NOT(IFERROR(COUNTIF(OFFSET('PRODUCT DATA'!$F$2,0,MATCH($AC242,'PRODUCT DATA'!$F$1:$NN$1,0)-1,114,1),$N242)&gt;0,FALSE()))),IF(UPPER(IFERROR(OFFSET('PRODUCT DATA'!$C$2,MATCH($N242,'PRODUCT DATA'!$B$2:$B$58,0)-1,0),""))="NO","Alcohol Restriction; ","Item Code / Country combination; "),"")&amp;IF($C242="","Quantity; ","")&amp;IF(AND($C242&lt;&gt;"",OR(NOT(ISNUMBER($C242)),$C242&lt;1,$C242&gt;999,MOD($C242,1)&lt;&gt;0)),"Quantity; ","")&amp;IF($D242="","Recipient Name; ","")&amp;IF(LEN($D242)&gt;35,"Recipient Name; ","")&amp;IF($E242="","Recipient Phone; ","")&amp;IF(AND($E242&lt;&gt;"",OR(LEN($E242)&lt;6,LEN($E242)&gt;20,NOT(IFERROR(ISNUMBER(1*$E242),FALSE())))),"Recipient Phone; ","")&amp;IF(LEN($F242)&gt;35,"Recipient Company Name; ","")&amp;IF($G242="","Address Line 1; ","")&amp;IF(LEN($G242)&gt;35,"Address Line 1; ","")&amp;IF(LEN($H242)&gt;35,"Address Line 2; ","")&amp;IF(LEN($I242)&gt;35,"Address Line 3; ","")&amp;IF($J242="","Town; ","")&amp;IF(LEN($J242)&gt;35,"Town; ","")&amp;IF(AND($N242="IE",$K242=""),"County; ","")&amp;IF(LEN($AB242)&gt;35,"County; ","")&amp;IF(AND($L242="",AND($N242&lt;&gt;"AE",$N242&lt;&gt;"QA")),"Postcode; ","")&amp;IF(LEN($L242)&gt;35,"Postcode; ","")&amp;IF($AE242&lt;&gt;"","Postcode; ","")&amp;IF(LEN($O242)&gt;40,"Gift Message 1; ","")&amp;IF(LEN($P242)&gt;40,"Gift Message 2; ","")&amp;IF(LEN($Q242)&gt;40,"Gift Message 3; ","")&amp;IF(LEN($R242)&gt;40,"Gift Message 4; ","")&amp;IF(LEN($S242)&gt;40,"Gift Message 5; ","")&amp;IF(LEN($T242)&gt;40,"Gift Message 6; ","")&amp;IF(LEN($U242)&gt;40,"Gift Message 7; ",""))</f>
        <v/>
      </c>
      <c r="X242" s="44" t="str">
        <f ca="1">IF(COUNTA($A242,$D242:$M242,$O242:$U242)=0,"",IF($A242="","Enter the Item Code (hamper) - type it, paste it, or choose it from the dropdown. ","")&amp;IF(AND($A242&lt;&gt;"",ISNA(MATCH($AC242,'PRODUCT DATA'!$D$2:$D$394,0))),"This Item Code is not recognised. Check the code (case does not matter, but spelling and digits must match exactly) or choose it from the dropdown. ","")&amp;IF($M242="","Enter the Country after the Item Code - type or paste the name or the 2-letter code, or choose it from the dropdown. ","")&amp;IF(AND($M242&lt;&gt;"",NOT(OR(NOT(ISNA(MATCH(IF(UPPER($M242)="UK","GB",$M242),'PRODUCT DATA'!$A$2:$A$58,0))),NOT(ISNA(MATCH(IF(UPPER($M242)="UK","GB",$M242),'PRODUCT DATA'!$B$2:$B$58,0)))))),"This Country is not recognised as either a full name or a 2-letter code. Check the spelling (case does not matter) or choose it from the dropdown. ","")&amp;IF(AND($A242&lt;&gt;"",$M242&lt;&gt;"",NOT(ISNA(MATCH($AC242,'PRODUCT DATA'!$D$2:$D$394,0))),OR(NOT(ISNA(MATCH(IF(UPPER($M242)="UK","GB",$M242),'PRODUCT DATA'!$A$2:$A$58,0))),NOT(ISNA(MATCH(IF(UPPER($M242)="UK","GB",$M242),'PRODUCT DATA'!$B$2:$B$58,0)))),NOT(IFERROR(COUNTIF(OFFSET('PRODUCT DATA'!$F$2,0,MATCH($AC242,'PRODUCT DATA'!$F$1:$NN$1,0)-1,114,1),$N242)&gt;0,FALSE()))),IF(UPPER(IFERROR(OFFSET('PRODUCT DATA'!$C$2,MATCH($N242,'PRODUCT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"),"")&amp;IF($C242="","Enter Quantity. ","")&amp;IF(AND($C242&lt;&gt;"",OR(NOT(ISNUMBER($C242)),$C242&lt;1,$C242&gt;999,MOD($C242,1)&lt;&gt;0)),"Quantity must be a whole number from 1 to 999 (use a quantity above 1 only for a genuine bulk order of identical items to ONE address — otherwise use a separate row per recipient). ","")&amp;IF($D242="","Enter Recipient Name. ","")&amp;IF(LEN($D242)&gt;35,"Recipient Name exceeds 35 characters. ","")&amp;IF($E242="","Enter Recipient Phone. ","")&amp;IF(AND($E242&lt;&gt;"",OR(LEN($E242)&lt;6,LEN($E242)&gt;20,NOT(IFERROR(ISNUMBER(1*$E242),FALSE())))),"Phone must be the LOCAL number for the destination country: digits only, no +, spaces, or country code, 6 to 20 digits. ","")&amp;IF(LEN($F242)&gt;35,"Recipient Company Name exceeds 35 characters. ","")&amp;IF($G242="","Enter Address Line 1. ","")&amp;IF(LEN($G242)&gt;35,"Address Line 1 exceeds the 35-character SAP limit. ","")&amp;IF(LEN($H242)&gt;35,"Address Line 2 exceeds the 35-character SAP limit. ","")&amp;IF(LEN($I242)&gt;35,"Address Line 3 exceeds the 35-character SAP limit. ","")&amp;IF($J242="","Enter Town. This must never be left blank, even if there is no conventional town name. ","")&amp;IF(LEN($J242)&gt;35,"Town exceeds 35 characters. ","")&amp;IF(AND($N242="IE",$K242=""),"County is required for deliveries within the Republic of Ireland. ","")&amp;IF(LEN($AB242)&gt;35,"County exceeds 35 characters. ","")&amp;IF(AND($L242="",AND($N242&lt;&gt;"AE",$N242&lt;&gt;"QA")),"Postcode is required for the selected country. If there is genuinely no postcode, enter the first 3 characters of the area (e.g. D15). ","")&amp;IF(LEN($L242)&gt;35,"Postcode exceeds 35 characters. ","")&amp;IF($AE242&lt;&gt;"",$AE242,"")&amp;IF(LEN($O242)&gt;40,"Gift Message Line 1 exceeds 40 characters. ","")&amp;IF(LEN($P242)&gt;40,"Gift Message Line 2 exceeds 40 characters. ","")&amp;IF(LEN($Q242)&gt;40,"Gift Message Line 3 exceeds 40 characters. ","")&amp;IF(LEN($R242)&gt;40,"Gift Message Line 4 exceeds 40 characters. ","")&amp;IF(LEN($S242)&gt;40,"Gift Message Line 5 exceeds 40 characters. ","")&amp;IF(LEN($T242)&gt;40,"Gift Message Line 6 exceeds 40 characters. ","")&amp;IF(LEN($U242)&gt;40,"Gift Message Line 7 exceeds 40 characters. ",""))</f>
        <v/>
      </c>
      <c r="Y242" s="44" t="str">
        <f t="shared" si="13"/>
        <v/>
      </c>
      <c r="Z242" s="44"/>
      <c r="AA242" s="44"/>
      <c r="AB242" s="32" t="str">
        <f t="shared" si="14"/>
        <v/>
      </c>
      <c r="AC242" s="32" t="str">
        <f>IF($A242="","",IFERROR(LEFT(INDEX('PRODUCT DATA'!$NO$2:$NO$25,MATCH($A242,'PRODUCT DATA'!$NP$2:$NP$25,0)),FIND("|",INDEX('PRODUCT DATA'!$NO$2:$NO$25,MATCH($A242,'PRODUCT DATA'!$NP$2:$NP$25,0)))-1),$A242))</f>
        <v/>
      </c>
      <c r="AD242" s="45"/>
      <c r="AE242" s="45" t="str">
        <f t="shared" si="15"/>
        <v/>
      </c>
    </row>
    <row r="243" spans="1:31" ht="15" customHeight="1" x14ac:dyDescent="0.25">
      <c r="A243" s="40"/>
      <c r="B243" s="43" t="str">
        <f>IF($A243="","",IFERROR(VLOOKUP($AC243,'PRODUCT DATA'!$NR$2:$NS$374,2,FALSE()),"UNKNOWN ITEM CODE - please check"))</f>
        <v/>
      </c>
      <c r="C243" s="39">
        <v>1</v>
      </c>
      <c r="D243" s="39"/>
      <c r="E243" s="40"/>
      <c r="F243" s="41"/>
      <c r="G243" s="39"/>
      <c r="H243" s="41"/>
      <c r="I243" s="41"/>
      <c r="J243" s="39"/>
      <c r="K243" s="41"/>
      <c r="L243" s="40"/>
      <c r="M243" s="40"/>
      <c r="N243" s="42" t="str">
        <f>IF($M243="","",IFERROR(INDEX('PRODUCT DATA'!$B$2:$B$58,MATCH(IF(UPPER($M243)="UK","GB",$M243),'PRODUCT DATA'!$B$2:$B$58,0)),IFERROR(INDEX('PRODUCT DATA'!$B$2:$B$58,MATCH(IF(UPPER($M243)="UK","GB",$M243),'PRODUCT DATA'!$A$2:$A$58,0)),"UNKNOWN COUNTRY - please check")))</f>
        <v/>
      </c>
      <c r="O243" s="41"/>
      <c r="P243" s="41"/>
      <c r="Q243" s="41"/>
      <c r="R243" s="41"/>
      <c r="S243" s="41"/>
      <c r="T243" s="41"/>
      <c r="U243" s="41"/>
      <c r="V243" s="43" t="str">
        <f t="shared" si="12"/>
        <v/>
      </c>
      <c r="W243" s="44" t="str">
        <f ca="1">IF(COUNTA($A243,$D243:$M243,$O243:$U243)=0,"",IF($A243="","Item Code; ","")&amp;IF(AND($A243&lt;&gt;"",ISNA(MATCH($AC243,'PRODUCT DATA'!$D$2:$D$394,0))),"Item Code; ","")&amp;IF($M243="","Country; ","")&amp;IF(AND($M243&lt;&gt;"",NOT(OR(NOT(ISNA(MATCH(IF(UPPER($M243)="UK","GB",$M243),'PRODUCT DATA'!$A$2:$A$58,0))),NOT(ISNA(MATCH(IF(UPPER($M243)="UK","GB",$M243),'PRODUCT DATA'!$B$2:$B$58,0)))))),"Country; ","")&amp;IF(AND($A243&lt;&gt;"",$M243&lt;&gt;"",NOT(ISNA(MATCH($AC243,'PRODUCT DATA'!$D$2:$D$394,0))),OR(NOT(ISNA(MATCH(IF(UPPER($M243)="UK","GB",$M243),'PRODUCT DATA'!$A$2:$A$58,0))),NOT(ISNA(MATCH(IF(UPPER($M243)="UK","GB",$M243),'PRODUCT DATA'!$B$2:$B$58,0)))),NOT(IFERROR(COUNTIF(OFFSET('PRODUCT DATA'!$F$2,0,MATCH($AC243,'PRODUCT DATA'!$F$1:$NN$1,0)-1,114,1),$N243)&gt;0,FALSE()))),IF(UPPER(IFERROR(OFFSET('PRODUCT DATA'!$C$2,MATCH($N243,'PRODUCT DATA'!$B$2:$B$58,0)-1,0),""))="NO","Alcohol Restriction; ","Item Code / Country combination; "),"")&amp;IF($C243="","Quantity; ","")&amp;IF(AND($C243&lt;&gt;"",OR(NOT(ISNUMBER($C243)),$C243&lt;1,$C243&gt;999,MOD($C243,1)&lt;&gt;0)),"Quantity; ","")&amp;IF($D243="","Recipient Name; ","")&amp;IF(LEN($D243)&gt;35,"Recipient Name; ","")&amp;IF($E243="","Recipient Phone; ","")&amp;IF(AND($E243&lt;&gt;"",OR(LEN($E243)&lt;6,LEN($E243)&gt;20,NOT(IFERROR(ISNUMBER(1*$E243),FALSE())))),"Recipient Phone; ","")&amp;IF(LEN($F243)&gt;35,"Recipient Company Name; ","")&amp;IF($G243="","Address Line 1; ","")&amp;IF(LEN($G243)&gt;35,"Address Line 1; ","")&amp;IF(LEN($H243)&gt;35,"Address Line 2; ","")&amp;IF(LEN($I243)&gt;35,"Address Line 3; ","")&amp;IF($J243="","Town; ","")&amp;IF(LEN($J243)&gt;35,"Town; ","")&amp;IF(AND($N243="IE",$K243=""),"County; ","")&amp;IF(LEN($AB243)&gt;35,"County; ","")&amp;IF(AND($L243="",AND($N243&lt;&gt;"AE",$N243&lt;&gt;"QA")),"Postcode; ","")&amp;IF(LEN($L243)&gt;35,"Postcode; ","")&amp;IF($AE243&lt;&gt;"","Postcode; ","")&amp;IF(LEN($O243)&gt;40,"Gift Message 1; ","")&amp;IF(LEN($P243)&gt;40,"Gift Message 2; ","")&amp;IF(LEN($Q243)&gt;40,"Gift Message 3; ","")&amp;IF(LEN($R243)&gt;40,"Gift Message 4; ","")&amp;IF(LEN($S243)&gt;40,"Gift Message 5; ","")&amp;IF(LEN($T243)&gt;40,"Gift Message 6; ","")&amp;IF(LEN($U243)&gt;40,"Gift Message 7; ",""))</f>
        <v/>
      </c>
      <c r="X243" s="44" t="str">
        <f ca="1">IF(COUNTA($A243,$D243:$M243,$O243:$U243)=0,"",IF($A243="","Enter the Item Code (hamper) - type it, paste it, or choose it from the dropdown. ","")&amp;IF(AND($A243&lt;&gt;"",ISNA(MATCH($AC243,'PRODUCT DATA'!$D$2:$D$394,0))),"This Item Code is not recognised. Check the code (case does not matter, but spelling and digits must match exactly) or choose it from the dropdown. ","")&amp;IF($M243="","Enter the Country after the Item Code - type or paste the name or the 2-letter code, or choose it from the dropdown. ","")&amp;IF(AND($M243&lt;&gt;"",NOT(OR(NOT(ISNA(MATCH(IF(UPPER($M243)="UK","GB",$M243),'PRODUCT DATA'!$A$2:$A$58,0))),NOT(ISNA(MATCH(IF(UPPER($M243)="UK","GB",$M243),'PRODUCT DATA'!$B$2:$B$58,0)))))),"This Country is not recognised as either a full name or a 2-letter code. Check the spelling (case does not matter) or choose it from the dropdown. ","")&amp;IF(AND($A243&lt;&gt;"",$M243&lt;&gt;"",NOT(ISNA(MATCH($AC243,'PRODUCT DATA'!$D$2:$D$394,0))),OR(NOT(ISNA(MATCH(IF(UPPER($M243)="UK","GB",$M243),'PRODUCT DATA'!$A$2:$A$58,0))),NOT(ISNA(MATCH(IF(UPPER($M243)="UK","GB",$M243),'PRODUCT DATA'!$B$2:$B$58,0)))),NOT(IFERROR(COUNTIF(OFFSET('PRODUCT DATA'!$F$2,0,MATCH($AC243,'PRODUCT DATA'!$F$1:$NN$1,0)-1,114,1),$N243)&gt;0,FALSE()))),IF(UPPER(IFERROR(OFFSET('PRODUCT DATA'!$C$2,MATCH($N243,'PRODUCT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"),"")&amp;IF($C243="","Enter Quantity. ","")&amp;IF(AND($C243&lt;&gt;"",OR(NOT(ISNUMBER($C243)),$C243&lt;1,$C243&gt;999,MOD($C243,1)&lt;&gt;0)),"Quantity must be a whole number from 1 to 999 (use a quantity above 1 only for a genuine bulk order of identical items to ONE address — otherwise use a separate row per recipient). ","")&amp;IF($D243="","Enter Recipient Name. ","")&amp;IF(LEN($D243)&gt;35,"Recipient Name exceeds 35 characters. ","")&amp;IF($E243="","Enter Recipient Phone. ","")&amp;IF(AND($E243&lt;&gt;"",OR(LEN($E243)&lt;6,LEN($E243)&gt;20,NOT(IFERROR(ISNUMBER(1*$E243),FALSE())))),"Phone must be the LOCAL number for the destination country: digits only, no +, spaces, or country code, 6 to 20 digits. ","")&amp;IF(LEN($F243)&gt;35,"Recipient Company Name exceeds 35 characters. ","")&amp;IF($G243="","Enter Address Line 1. ","")&amp;IF(LEN($G243)&gt;35,"Address Line 1 exceeds the 35-character SAP limit. ","")&amp;IF(LEN($H243)&gt;35,"Address Line 2 exceeds the 35-character SAP limit. ","")&amp;IF(LEN($I243)&gt;35,"Address Line 3 exceeds the 35-character SAP limit. ","")&amp;IF($J243="","Enter Town. This must never be left blank, even if there is no conventional town name. ","")&amp;IF(LEN($J243)&gt;35,"Town exceeds 35 characters. ","")&amp;IF(AND($N243="IE",$K243=""),"County is required for deliveries within the Republic of Ireland. ","")&amp;IF(LEN($AB243)&gt;35,"County exceeds 35 characters. ","")&amp;IF(AND($L243="",AND($N243&lt;&gt;"AE",$N243&lt;&gt;"QA")),"Postcode is required for the selected country. If there is genuinely no postcode, enter the first 3 characters of the area (e.g. D15). ","")&amp;IF(LEN($L243)&gt;35,"Postcode exceeds 35 characters. ","")&amp;IF($AE243&lt;&gt;"",$AE243,"")&amp;IF(LEN($O243)&gt;40,"Gift Message Line 1 exceeds 40 characters. ","")&amp;IF(LEN($P243)&gt;40,"Gift Message Line 2 exceeds 40 characters. ","")&amp;IF(LEN($Q243)&gt;40,"Gift Message Line 3 exceeds 40 characters. ","")&amp;IF(LEN($R243)&gt;40,"Gift Message Line 4 exceeds 40 characters. ","")&amp;IF(LEN($S243)&gt;40,"Gift Message Line 5 exceeds 40 characters. ","")&amp;IF(LEN($T243)&gt;40,"Gift Message Line 6 exceeds 40 characters. ","")&amp;IF(LEN($U243)&gt;40,"Gift Message Line 7 exceeds 40 characters. ",""))</f>
        <v/>
      </c>
      <c r="Y243" s="44" t="str">
        <f t="shared" si="13"/>
        <v/>
      </c>
      <c r="Z243" s="44"/>
      <c r="AA243" s="44"/>
      <c r="AB243" s="32" t="str">
        <f t="shared" si="14"/>
        <v/>
      </c>
      <c r="AC243" s="32" t="str">
        <f>IF($A243="","",IFERROR(LEFT(INDEX('PRODUCT DATA'!$NO$2:$NO$25,MATCH($A243,'PRODUCT DATA'!$NP$2:$NP$25,0)),FIND("|",INDEX('PRODUCT DATA'!$NO$2:$NO$25,MATCH($A243,'PRODUCT DATA'!$NP$2:$NP$25,0)))-1),$A243))</f>
        <v/>
      </c>
      <c r="AD243" s="45"/>
      <c r="AE243" s="45" t="str">
        <f t="shared" si="15"/>
        <v/>
      </c>
    </row>
    <row r="244" spans="1:31" ht="15" customHeight="1" x14ac:dyDescent="0.25">
      <c r="A244" s="40"/>
      <c r="B244" s="43" t="str">
        <f>IF($A244="","",IFERROR(VLOOKUP($AC244,'PRODUCT DATA'!$NR$2:$NS$374,2,FALSE()),"UNKNOWN ITEM CODE - please check"))</f>
        <v/>
      </c>
      <c r="C244" s="39">
        <v>1</v>
      </c>
      <c r="D244" s="39"/>
      <c r="E244" s="40"/>
      <c r="F244" s="41"/>
      <c r="G244" s="39"/>
      <c r="H244" s="41"/>
      <c r="I244" s="41"/>
      <c r="J244" s="39"/>
      <c r="K244" s="41"/>
      <c r="L244" s="40"/>
      <c r="M244" s="40"/>
      <c r="N244" s="42" t="str">
        <f>IF($M244="","",IFERROR(INDEX('PRODUCT DATA'!$B$2:$B$58,MATCH(IF(UPPER($M244)="UK","GB",$M244),'PRODUCT DATA'!$B$2:$B$58,0)),IFERROR(INDEX('PRODUCT DATA'!$B$2:$B$58,MATCH(IF(UPPER($M244)="UK","GB",$M244),'PRODUCT DATA'!$A$2:$A$58,0)),"UNKNOWN COUNTRY - please check")))</f>
        <v/>
      </c>
      <c r="O244" s="41"/>
      <c r="P244" s="41"/>
      <c r="Q244" s="41"/>
      <c r="R244" s="41"/>
      <c r="S244" s="41"/>
      <c r="T244" s="41"/>
      <c r="U244" s="41"/>
      <c r="V244" s="43" t="str">
        <f t="shared" si="12"/>
        <v/>
      </c>
      <c r="W244" s="44" t="str">
        <f ca="1">IF(COUNTA($A244,$D244:$M244,$O244:$U244)=0,"",IF($A244="","Item Code; ","")&amp;IF(AND($A244&lt;&gt;"",ISNA(MATCH($AC244,'PRODUCT DATA'!$D$2:$D$394,0))),"Item Code; ","")&amp;IF($M244="","Country; ","")&amp;IF(AND($M244&lt;&gt;"",NOT(OR(NOT(ISNA(MATCH(IF(UPPER($M244)="UK","GB",$M244),'PRODUCT DATA'!$A$2:$A$58,0))),NOT(ISNA(MATCH(IF(UPPER($M244)="UK","GB",$M244),'PRODUCT DATA'!$B$2:$B$58,0)))))),"Country; ","")&amp;IF(AND($A244&lt;&gt;"",$M244&lt;&gt;"",NOT(ISNA(MATCH($AC244,'PRODUCT DATA'!$D$2:$D$394,0))),OR(NOT(ISNA(MATCH(IF(UPPER($M244)="UK","GB",$M244),'PRODUCT DATA'!$A$2:$A$58,0))),NOT(ISNA(MATCH(IF(UPPER($M244)="UK","GB",$M244),'PRODUCT DATA'!$B$2:$B$58,0)))),NOT(IFERROR(COUNTIF(OFFSET('PRODUCT DATA'!$F$2,0,MATCH($AC244,'PRODUCT DATA'!$F$1:$NN$1,0)-1,114,1),$N244)&gt;0,FALSE()))),IF(UPPER(IFERROR(OFFSET('PRODUCT DATA'!$C$2,MATCH($N244,'PRODUCT DATA'!$B$2:$B$58,0)-1,0),""))="NO","Alcohol Restriction; ","Item Code / Country combination; "),"")&amp;IF($C244="","Quantity; ","")&amp;IF(AND($C244&lt;&gt;"",OR(NOT(ISNUMBER($C244)),$C244&lt;1,$C244&gt;999,MOD($C244,1)&lt;&gt;0)),"Quantity; ","")&amp;IF($D244="","Recipient Name; ","")&amp;IF(LEN($D244)&gt;35,"Recipient Name; ","")&amp;IF($E244="","Recipient Phone; ","")&amp;IF(AND($E244&lt;&gt;"",OR(LEN($E244)&lt;6,LEN($E244)&gt;20,NOT(IFERROR(ISNUMBER(1*$E244),FALSE())))),"Recipient Phone; ","")&amp;IF(LEN($F244)&gt;35,"Recipient Company Name; ","")&amp;IF($G244="","Address Line 1; ","")&amp;IF(LEN($G244)&gt;35,"Address Line 1; ","")&amp;IF(LEN($H244)&gt;35,"Address Line 2; ","")&amp;IF(LEN($I244)&gt;35,"Address Line 3; ","")&amp;IF($J244="","Town; ","")&amp;IF(LEN($J244)&gt;35,"Town; ","")&amp;IF(AND($N244="IE",$K244=""),"County; ","")&amp;IF(LEN($AB244)&gt;35,"County; ","")&amp;IF(AND($L244="",AND($N244&lt;&gt;"AE",$N244&lt;&gt;"QA")),"Postcode; ","")&amp;IF(LEN($L244)&gt;35,"Postcode; ","")&amp;IF($AE244&lt;&gt;"","Postcode; ","")&amp;IF(LEN($O244)&gt;40,"Gift Message 1; ","")&amp;IF(LEN($P244)&gt;40,"Gift Message 2; ","")&amp;IF(LEN($Q244)&gt;40,"Gift Message 3; ","")&amp;IF(LEN($R244)&gt;40,"Gift Message 4; ","")&amp;IF(LEN($S244)&gt;40,"Gift Message 5; ","")&amp;IF(LEN($T244)&gt;40,"Gift Message 6; ","")&amp;IF(LEN($U244)&gt;40,"Gift Message 7; ",""))</f>
        <v/>
      </c>
      <c r="X244" s="44" t="str">
        <f ca="1">IF(COUNTA($A244,$D244:$M244,$O244:$U244)=0,"",IF($A244="","Enter the Item Code (hamper) - type it, paste it, or choose it from the dropdown. ","")&amp;IF(AND($A244&lt;&gt;"",ISNA(MATCH($AC244,'PRODUCT DATA'!$D$2:$D$394,0))),"This Item Code is not recognised. Check the code (case does not matter, but spelling and digits must match exactly) or choose it from the dropdown. ","")&amp;IF($M244="","Enter the Country after the Item Code - type or paste the name or the 2-letter code, or choose it from the dropdown. ","")&amp;IF(AND($M244&lt;&gt;"",NOT(OR(NOT(ISNA(MATCH(IF(UPPER($M244)="UK","GB",$M244),'PRODUCT DATA'!$A$2:$A$58,0))),NOT(ISNA(MATCH(IF(UPPER($M244)="UK","GB",$M244),'PRODUCT DATA'!$B$2:$B$58,0)))))),"This Country is not recognised as either a full name or a 2-letter code. Check the spelling (case does not matter) or choose it from the dropdown. ","")&amp;IF(AND($A244&lt;&gt;"",$M244&lt;&gt;"",NOT(ISNA(MATCH($AC244,'PRODUCT DATA'!$D$2:$D$394,0))),OR(NOT(ISNA(MATCH(IF(UPPER($M244)="UK","GB",$M244),'PRODUCT DATA'!$A$2:$A$58,0))),NOT(ISNA(MATCH(IF(UPPER($M244)="UK","GB",$M244),'PRODUCT DATA'!$B$2:$B$58,0)))),NOT(IFERROR(COUNTIF(OFFSET('PRODUCT DATA'!$F$2,0,MATCH($AC244,'PRODUCT DATA'!$F$1:$NN$1,0)-1,114,1),$N244)&gt;0,FALSE()))),IF(UPPER(IFERROR(OFFSET('PRODUCT DATA'!$C$2,MATCH($N244,'PRODUCT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"),"")&amp;IF($C244="","Enter Quantity. ","")&amp;IF(AND($C244&lt;&gt;"",OR(NOT(ISNUMBER($C244)),$C244&lt;1,$C244&gt;999,MOD($C244,1)&lt;&gt;0)),"Quantity must be a whole number from 1 to 999 (use a quantity above 1 only for a genuine bulk order of identical items to ONE address — otherwise use a separate row per recipient). ","")&amp;IF($D244="","Enter Recipient Name. ","")&amp;IF(LEN($D244)&gt;35,"Recipient Name exceeds 35 characters. ","")&amp;IF($E244="","Enter Recipient Phone. ","")&amp;IF(AND($E244&lt;&gt;"",OR(LEN($E244)&lt;6,LEN($E244)&gt;20,NOT(IFERROR(ISNUMBER(1*$E244),FALSE())))),"Phone must be the LOCAL number for the destination country: digits only, no +, spaces, or country code, 6 to 20 digits. ","")&amp;IF(LEN($F244)&gt;35,"Recipient Company Name exceeds 35 characters. ","")&amp;IF($G244="","Enter Address Line 1. ","")&amp;IF(LEN($G244)&gt;35,"Address Line 1 exceeds the 35-character SAP limit. ","")&amp;IF(LEN($H244)&gt;35,"Address Line 2 exceeds the 35-character SAP limit. ","")&amp;IF(LEN($I244)&gt;35,"Address Line 3 exceeds the 35-character SAP limit. ","")&amp;IF($J244="","Enter Town. This must never be left blank, even if there is no conventional town name. ","")&amp;IF(LEN($J244)&gt;35,"Town exceeds 35 characters. ","")&amp;IF(AND($N244="IE",$K244=""),"County is required for deliveries within the Republic of Ireland. ","")&amp;IF(LEN($AB244)&gt;35,"County exceeds 35 characters. ","")&amp;IF(AND($L244="",AND($N244&lt;&gt;"AE",$N244&lt;&gt;"QA")),"Postcode is required for the selected country. If there is genuinely no postcode, enter the first 3 characters of the area (e.g. D15). ","")&amp;IF(LEN($L244)&gt;35,"Postcode exceeds 35 characters. ","")&amp;IF($AE244&lt;&gt;"",$AE244,"")&amp;IF(LEN($O244)&gt;40,"Gift Message Line 1 exceeds 40 characters. ","")&amp;IF(LEN($P244)&gt;40,"Gift Message Line 2 exceeds 40 characters. ","")&amp;IF(LEN($Q244)&gt;40,"Gift Message Line 3 exceeds 40 characters. ","")&amp;IF(LEN($R244)&gt;40,"Gift Message Line 4 exceeds 40 characters. ","")&amp;IF(LEN($S244)&gt;40,"Gift Message Line 5 exceeds 40 characters. ","")&amp;IF(LEN($T244)&gt;40,"Gift Message Line 6 exceeds 40 characters. ","")&amp;IF(LEN($U244)&gt;40,"Gift Message Line 7 exceeds 40 characters. ",""))</f>
        <v/>
      </c>
      <c r="Y244" s="44" t="str">
        <f t="shared" si="13"/>
        <v/>
      </c>
      <c r="Z244" s="44"/>
      <c r="AA244" s="44"/>
      <c r="AB244" s="32" t="str">
        <f t="shared" si="14"/>
        <v/>
      </c>
      <c r="AC244" s="32" t="str">
        <f>IF($A244="","",IFERROR(LEFT(INDEX('PRODUCT DATA'!$NO$2:$NO$25,MATCH($A244,'PRODUCT DATA'!$NP$2:$NP$25,0)),FIND("|",INDEX('PRODUCT DATA'!$NO$2:$NO$25,MATCH($A244,'PRODUCT DATA'!$NP$2:$NP$25,0)))-1),$A244))</f>
        <v/>
      </c>
      <c r="AD244" s="45"/>
      <c r="AE244" s="45" t="str">
        <f t="shared" si="15"/>
        <v/>
      </c>
    </row>
    <row r="245" spans="1:31" ht="15" customHeight="1" x14ac:dyDescent="0.25">
      <c r="A245" s="40"/>
      <c r="B245" s="43" t="str">
        <f>IF($A245="","",IFERROR(VLOOKUP($AC245,'PRODUCT DATA'!$NR$2:$NS$374,2,FALSE()),"UNKNOWN ITEM CODE - please check"))</f>
        <v/>
      </c>
      <c r="C245" s="39">
        <v>1</v>
      </c>
      <c r="D245" s="39"/>
      <c r="E245" s="40"/>
      <c r="F245" s="41"/>
      <c r="G245" s="39"/>
      <c r="H245" s="41"/>
      <c r="I245" s="41"/>
      <c r="J245" s="39"/>
      <c r="K245" s="41"/>
      <c r="L245" s="40"/>
      <c r="M245" s="40"/>
      <c r="N245" s="42" t="str">
        <f>IF($M245="","",IFERROR(INDEX('PRODUCT DATA'!$B$2:$B$58,MATCH(IF(UPPER($M245)="UK","GB",$M245),'PRODUCT DATA'!$B$2:$B$58,0)),IFERROR(INDEX('PRODUCT DATA'!$B$2:$B$58,MATCH(IF(UPPER($M245)="UK","GB",$M245),'PRODUCT DATA'!$A$2:$A$58,0)),"UNKNOWN COUNTRY - please check")))</f>
        <v/>
      </c>
      <c r="O245" s="41"/>
      <c r="P245" s="41"/>
      <c r="Q245" s="41"/>
      <c r="R245" s="41"/>
      <c r="S245" s="41"/>
      <c r="T245" s="41"/>
      <c r="U245" s="41"/>
      <c r="V245" s="43" t="str">
        <f t="shared" si="12"/>
        <v/>
      </c>
      <c r="W245" s="44" t="str">
        <f ca="1">IF(COUNTA($A245,$D245:$M245,$O245:$U245)=0,"",IF($A245="","Item Code; ","")&amp;IF(AND($A245&lt;&gt;"",ISNA(MATCH($AC245,'PRODUCT DATA'!$D$2:$D$394,0))),"Item Code; ","")&amp;IF($M245="","Country; ","")&amp;IF(AND($M245&lt;&gt;"",NOT(OR(NOT(ISNA(MATCH(IF(UPPER($M245)="UK","GB",$M245),'PRODUCT DATA'!$A$2:$A$58,0))),NOT(ISNA(MATCH(IF(UPPER($M245)="UK","GB",$M245),'PRODUCT DATA'!$B$2:$B$58,0)))))),"Country; ","")&amp;IF(AND($A245&lt;&gt;"",$M245&lt;&gt;"",NOT(ISNA(MATCH($AC245,'PRODUCT DATA'!$D$2:$D$394,0))),OR(NOT(ISNA(MATCH(IF(UPPER($M245)="UK","GB",$M245),'PRODUCT DATA'!$A$2:$A$58,0))),NOT(ISNA(MATCH(IF(UPPER($M245)="UK","GB",$M245),'PRODUCT DATA'!$B$2:$B$58,0)))),NOT(IFERROR(COUNTIF(OFFSET('PRODUCT DATA'!$F$2,0,MATCH($AC245,'PRODUCT DATA'!$F$1:$NN$1,0)-1,114,1),$N245)&gt;0,FALSE()))),IF(UPPER(IFERROR(OFFSET('PRODUCT DATA'!$C$2,MATCH($N245,'PRODUCT DATA'!$B$2:$B$58,0)-1,0),""))="NO","Alcohol Restriction; ","Item Code / Country combination; "),"")&amp;IF($C245="","Quantity; ","")&amp;IF(AND($C245&lt;&gt;"",OR(NOT(ISNUMBER($C245)),$C245&lt;1,$C245&gt;999,MOD($C245,1)&lt;&gt;0)),"Quantity; ","")&amp;IF($D245="","Recipient Name; ","")&amp;IF(LEN($D245)&gt;35,"Recipient Name; ","")&amp;IF($E245="","Recipient Phone; ","")&amp;IF(AND($E245&lt;&gt;"",OR(LEN($E245)&lt;6,LEN($E245)&gt;20,NOT(IFERROR(ISNUMBER(1*$E245),FALSE())))),"Recipient Phone; ","")&amp;IF(LEN($F245)&gt;35,"Recipient Company Name; ","")&amp;IF($G245="","Address Line 1; ","")&amp;IF(LEN($G245)&gt;35,"Address Line 1; ","")&amp;IF(LEN($H245)&gt;35,"Address Line 2; ","")&amp;IF(LEN($I245)&gt;35,"Address Line 3; ","")&amp;IF($J245="","Town; ","")&amp;IF(LEN($J245)&gt;35,"Town; ","")&amp;IF(AND($N245="IE",$K245=""),"County; ","")&amp;IF(LEN($AB245)&gt;35,"County; ","")&amp;IF(AND($L245="",AND($N245&lt;&gt;"AE",$N245&lt;&gt;"QA")),"Postcode; ","")&amp;IF(LEN($L245)&gt;35,"Postcode; ","")&amp;IF($AE245&lt;&gt;"","Postcode; ","")&amp;IF(LEN($O245)&gt;40,"Gift Message 1; ","")&amp;IF(LEN($P245)&gt;40,"Gift Message 2; ","")&amp;IF(LEN($Q245)&gt;40,"Gift Message 3; ","")&amp;IF(LEN($R245)&gt;40,"Gift Message 4; ","")&amp;IF(LEN($S245)&gt;40,"Gift Message 5; ","")&amp;IF(LEN($T245)&gt;40,"Gift Message 6; ","")&amp;IF(LEN($U245)&gt;40,"Gift Message 7; ",""))</f>
        <v/>
      </c>
      <c r="X245" s="44" t="str">
        <f ca="1">IF(COUNTA($A245,$D245:$M245,$O245:$U245)=0,"",IF($A245="","Enter the Item Code (hamper) - type it, paste it, or choose it from the dropdown. ","")&amp;IF(AND($A245&lt;&gt;"",ISNA(MATCH($AC245,'PRODUCT DATA'!$D$2:$D$394,0))),"This Item Code is not recognised. Check the code (case does not matter, but spelling and digits must match exactly) or choose it from the dropdown. ","")&amp;IF($M245="","Enter the Country after the Item Code - type or paste the name or the 2-letter code, or choose it from the dropdown. ","")&amp;IF(AND($M245&lt;&gt;"",NOT(OR(NOT(ISNA(MATCH(IF(UPPER($M245)="UK","GB",$M245),'PRODUCT DATA'!$A$2:$A$58,0))),NOT(ISNA(MATCH(IF(UPPER($M245)="UK","GB",$M245),'PRODUCT DATA'!$B$2:$B$58,0)))))),"This Country is not recognised as either a full name or a 2-letter code. Check the spelling (case does not matter) or choose it from the dropdown. ","")&amp;IF(AND($A245&lt;&gt;"",$M245&lt;&gt;"",NOT(ISNA(MATCH($AC245,'PRODUCT DATA'!$D$2:$D$394,0))),OR(NOT(ISNA(MATCH(IF(UPPER($M245)="UK","GB",$M245),'PRODUCT DATA'!$A$2:$A$58,0))),NOT(ISNA(MATCH(IF(UPPER($M245)="UK","GB",$M245),'PRODUCT DATA'!$B$2:$B$58,0)))),NOT(IFERROR(COUNTIF(OFFSET('PRODUCT DATA'!$F$2,0,MATCH($AC245,'PRODUCT DATA'!$F$1:$NN$1,0)-1,114,1),$N245)&gt;0,FALSE()))),IF(UPPER(IFERROR(OFFSET('PRODUCT DATA'!$C$2,MATCH($N245,'PRODUCT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"),"")&amp;IF($C245="","Enter Quantity. ","")&amp;IF(AND($C245&lt;&gt;"",OR(NOT(ISNUMBER($C245)),$C245&lt;1,$C245&gt;999,MOD($C245,1)&lt;&gt;0)),"Quantity must be a whole number from 1 to 999 (use a quantity above 1 only for a genuine bulk order of identical items to ONE address — otherwise use a separate row per recipient). ","")&amp;IF($D245="","Enter Recipient Name. ","")&amp;IF(LEN($D245)&gt;35,"Recipient Name exceeds 35 characters. ","")&amp;IF($E245="","Enter Recipient Phone. ","")&amp;IF(AND($E245&lt;&gt;"",OR(LEN($E245)&lt;6,LEN($E245)&gt;20,NOT(IFERROR(ISNUMBER(1*$E245),FALSE())))),"Phone must be the LOCAL number for the destination country: digits only, no +, spaces, or country code, 6 to 20 digits. ","")&amp;IF(LEN($F245)&gt;35,"Recipient Company Name exceeds 35 characters. ","")&amp;IF($G245="","Enter Address Line 1. ","")&amp;IF(LEN($G245)&gt;35,"Address Line 1 exceeds the 35-character SAP limit. ","")&amp;IF(LEN($H245)&gt;35,"Address Line 2 exceeds the 35-character SAP limit. ","")&amp;IF(LEN($I245)&gt;35,"Address Line 3 exceeds the 35-character SAP limit. ","")&amp;IF($J245="","Enter Town. This must never be left blank, even if there is no conventional town name. ","")&amp;IF(LEN($J245)&gt;35,"Town exceeds 35 characters. ","")&amp;IF(AND($N245="IE",$K245=""),"County is required for deliveries within the Republic of Ireland. ","")&amp;IF(LEN($AB245)&gt;35,"County exceeds 35 characters. ","")&amp;IF(AND($L245="",AND($N245&lt;&gt;"AE",$N245&lt;&gt;"QA")),"Postcode is required for the selected country. If there is genuinely no postcode, enter the first 3 characters of the area (e.g. D15). ","")&amp;IF(LEN($L245)&gt;35,"Postcode exceeds 35 characters. ","")&amp;IF($AE245&lt;&gt;"",$AE245,"")&amp;IF(LEN($O245)&gt;40,"Gift Message Line 1 exceeds 40 characters. ","")&amp;IF(LEN($P245)&gt;40,"Gift Message Line 2 exceeds 40 characters. ","")&amp;IF(LEN($Q245)&gt;40,"Gift Message Line 3 exceeds 40 characters. ","")&amp;IF(LEN($R245)&gt;40,"Gift Message Line 4 exceeds 40 characters. ","")&amp;IF(LEN($S245)&gt;40,"Gift Message Line 5 exceeds 40 characters. ","")&amp;IF(LEN($T245)&gt;40,"Gift Message Line 6 exceeds 40 characters. ","")&amp;IF(LEN($U245)&gt;40,"Gift Message Line 7 exceeds 40 characters. ",""))</f>
        <v/>
      </c>
      <c r="Y245" s="44" t="str">
        <f t="shared" si="13"/>
        <v/>
      </c>
      <c r="Z245" s="44"/>
      <c r="AA245" s="44"/>
      <c r="AB245" s="32" t="str">
        <f t="shared" si="14"/>
        <v/>
      </c>
      <c r="AC245" s="32" t="str">
        <f>IF($A245="","",IFERROR(LEFT(INDEX('PRODUCT DATA'!$NO$2:$NO$25,MATCH($A245,'PRODUCT DATA'!$NP$2:$NP$25,0)),FIND("|",INDEX('PRODUCT DATA'!$NO$2:$NO$25,MATCH($A245,'PRODUCT DATA'!$NP$2:$NP$25,0)))-1),$A245))</f>
        <v/>
      </c>
      <c r="AD245" s="45"/>
      <c r="AE245" s="45" t="str">
        <f t="shared" si="15"/>
        <v/>
      </c>
    </row>
    <row r="246" spans="1:31" ht="15" customHeight="1" x14ac:dyDescent="0.25">
      <c r="A246" s="40"/>
      <c r="B246" s="43" t="str">
        <f>IF($A246="","",IFERROR(VLOOKUP($AC246,'PRODUCT DATA'!$NR$2:$NS$374,2,FALSE()),"UNKNOWN ITEM CODE - please check"))</f>
        <v/>
      </c>
      <c r="C246" s="39">
        <v>1</v>
      </c>
      <c r="D246" s="39"/>
      <c r="E246" s="40"/>
      <c r="F246" s="41"/>
      <c r="G246" s="39"/>
      <c r="H246" s="41"/>
      <c r="I246" s="41"/>
      <c r="J246" s="39"/>
      <c r="K246" s="41"/>
      <c r="L246" s="40"/>
      <c r="M246" s="40"/>
      <c r="N246" s="42" t="str">
        <f>IF($M246="","",IFERROR(INDEX('PRODUCT DATA'!$B$2:$B$58,MATCH(IF(UPPER($M246)="UK","GB",$M246),'PRODUCT DATA'!$B$2:$B$58,0)),IFERROR(INDEX('PRODUCT DATA'!$B$2:$B$58,MATCH(IF(UPPER($M246)="UK","GB",$M246),'PRODUCT DATA'!$A$2:$A$58,0)),"UNKNOWN COUNTRY - please check")))</f>
        <v/>
      </c>
      <c r="O246" s="41"/>
      <c r="P246" s="41"/>
      <c r="Q246" s="41"/>
      <c r="R246" s="41"/>
      <c r="S246" s="41"/>
      <c r="T246" s="41"/>
      <c r="U246" s="41"/>
      <c r="V246" s="43" t="str">
        <f t="shared" si="12"/>
        <v/>
      </c>
      <c r="W246" s="44" t="str">
        <f ca="1">IF(COUNTA($A246,$D246:$M246,$O246:$U246)=0,"",IF($A246="","Item Code; ","")&amp;IF(AND($A246&lt;&gt;"",ISNA(MATCH($AC246,'PRODUCT DATA'!$D$2:$D$394,0))),"Item Code; ","")&amp;IF($M246="","Country; ","")&amp;IF(AND($M246&lt;&gt;"",NOT(OR(NOT(ISNA(MATCH(IF(UPPER($M246)="UK","GB",$M246),'PRODUCT DATA'!$A$2:$A$58,0))),NOT(ISNA(MATCH(IF(UPPER($M246)="UK","GB",$M246),'PRODUCT DATA'!$B$2:$B$58,0)))))),"Country; ","")&amp;IF(AND($A246&lt;&gt;"",$M246&lt;&gt;"",NOT(ISNA(MATCH($AC246,'PRODUCT DATA'!$D$2:$D$394,0))),OR(NOT(ISNA(MATCH(IF(UPPER($M246)="UK","GB",$M246),'PRODUCT DATA'!$A$2:$A$58,0))),NOT(ISNA(MATCH(IF(UPPER($M246)="UK","GB",$M246),'PRODUCT DATA'!$B$2:$B$58,0)))),NOT(IFERROR(COUNTIF(OFFSET('PRODUCT DATA'!$F$2,0,MATCH($AC246,'PRODUCT DATA'!$F$1:$NN$1,0)-1,114,1),$N246)&gt;0,FALSE()))),IF(UPPER(IFERROR(OFFSET('PRODUCT DATA'!$C$2,MATCH($N246,'PRODUCT DATA'!$B$2:$B$58,0)-1,0),""))="NO","Alcohol Restriction; ","Item Code / Country combination; "),"")&amp;IF($C246="","Quantity; ","")&amp;IF(AND($C246&lt;&gt;"",OR(NOT(ISNUMBER($C246)),$C246&lt;1,$C246&gt;999,MOD($C246,1)&lt;&gt;0)),"Quantity; ","")&amp;IF($D246="","Recipient Name; ","")&amp;IF(LEN($D246)&gt;35,"Recipient Name; ","")&amp;IF($E246="","Recipient Phone; ","")&amp;IF(AND($E246&lt;&gt;"",OR(LEN($E246)&lt;6,LEN($E246)&gt;20,NOT(IFERROR(ISNUMBER(1*$E246),FALSE())))),"Recipient Phone; ","")&amp;IF(LEN($F246)&gt;35,"Recipient Company Name; ","")&amp;IF($G246="","Address Line 1; ","")&amp;IF(LEN($G246)&gt;35,"Address Line 1; ","")&amp;IF(LEN($H246)&gt;35,"Address Line 2; ","")&amp;IF(LEN($I246)&gt;35,"Address Line 3; ","")&amp;IF($J246="","Town; ","")&amp;IF(LEN($J246)&gt;35,"Town; ","")&amp;IF(AND($N246="IE",$K246=""),"County; ","")&amp;IF(LEN($AB246)&gt;35,"County; ","")&amp;IF(AND($L246="",AND($N246&lt;&gt;"AE",$N246&lt;&gt;"QA")),"Postcode; ","")&amp;IF(LEN($L246)&gt;35,"Postcode; ","")&amp;IF($AE246&lt;&gt;"","Postcode; ","")&amp;IF(LEN($O246)&gt;40,"Gift Message 1; ","")&amp;IF(LEN($P246)&gt;40,"Gift Message 2; ","")&amp;IF(LEN($Q246)&gt;40,"Gift Message 3; ","")&amp;IF(LEN($R246)&gt;40,"Gift Message 4; ","")&amp;IF(LEN($S246)&gt;40,"Gift Message 5; ","")&amp;IF(LEN($T246)&gt;40,"Gift Message 6; ","")&amp;IF(LEN($U246)&gt;40,"Gift Message 7; ",""))</f>
        <v/>
      </c>
      <c r="X246" s="44" t="str">
        <f ca="1">IF(COUNTA($A246,$D246:$M246,$O246:$U246)=0,"",IF($A246="","Enter the Item Code (hamper) - type it, paste it, or choose it from the dropdown. ","")&amp;IF(AND($A246&lt;&gt;"",ISNA(MATCH($AC246,'PRODUCT DATA'!$D$2:$D$394,0))),"This Item Code is not recognised. Check the code (case does not matter, but spelling and digits must match exactly) or choose it from the dropdown. ","")&amp;IF($M246="","Enter the Country after the Item Code - type or paste the name or the 2-letter code, or choose it from the dropdown. ","")&amp;IF(AND($M246&lt;&gt;"",NOT(OR(NOT(ISNA(MATCH(IF(UPPER($M246)="UK","GB",$M246),'PRODUCT DATA'!$A$2:$A$58,0))),NOT(ISNA(MATCH(IF(UPPER($M246)="UK","GB",$M246),'PRODUCT DATA'!$B$2:$B$58,0)))))),"This Country is not recognised as either a full name or a 2-letter code. Check the spelling (case does not matter) or choose it from the dropdown. ","")&amp;IF(AND($A246&lt;&gt;"",$M246&lt;&gt;"",NOT(ISNA(MATCH($AC246,'PRODUCT DATA'!$D$2:$D$394,0))),OR(NOT(ISNA(MATCH(IF(UPPER($M246)="UK","GB",$M246),'PRODUCT DATA'!$A$2:$A$58,0))),NOT(ISNA(MATCH(IF(UPPER($M246)="UK","GB",$M246),'PRODUCT DATA'!$B$2:$B$58,0)))),NOT(IFERROR(COUNTIF(OFFSET('PRODUCT DATA'!$F$2,0,MATCH($AC246,'PRODUCT DATA'!$F$1:$NN$1,0)-1,114,1),$N246)&gt;0,FALSE()))),IF(UPPER(IFERROR(OFFSET('PRODUCT DATA'!$C$2,MATCH($N246,'PRODUCT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"),"")&amp;IF($C246="","Enter Quantity. ","")&amp;IF(AND($C246&lt;&gt;"",OR(NOT(ISNUMBER($C246)),$C246&lt;1,$C246&gt;999,MOD($C246,1)&lt;&gt;0)),"Quantity must be a whole number from 1 to 999 (use a quantity above 1 only for a genuine bulk order of identical items to ONE address — otherwise use a separate row per recipient). ","")&amp;IF($D246="","Enter Recipient Name. ","")&amp;IF(LEN($D246)&gt;35,"Recipient Name exceeds 35 characters. ","")&amp;IF($E246="","Enter Recipient Phone. ","")&amp;IF(AND($E246&lt;&gt;"",OR(LEN($E246)&lt;6,LEN($E246)&gt;20,NOT(IFERROR(ISNUMBER(1*$E246),FALSE())))),"Phone must be the LOCAL number for the destination country: digits only, no +, spaces, or country code, 6 to 20 digits. ","")&amp;IF(LEN($F246)&gt;35,"Recipient Company Name exceeds 35 characters. ","")&amp;IF($G246="","Enter Address Line 1. ","")&amp;IF(LEN($G246)&gt;35,"Address Line 1 exceeds the 35-character SAP limit. ","")&amp;IF(LEN($H246)&gt;35,"Address Line 2 exceeds the 35-character SAP limit. ","")&amp;IF(LEN($I246)&gt;35,"Address Line 3 exceeds the 35-character SAP limit. ","")&amp;IF($J246="","Enter Town. This must never be left blank, even if there is no conventional town name. ","")&amp;IF(LEN($J246)&gt;35,"Town exceeds 35 characters. ","")&amp;IF(AND($N246="IE",$K246=""),"County is required for deliveries within the Republic of Ireland. ","")&amp;IF(LEN($AB246)&gt;35,"County exceeds 35 characters. ","")&amp;IF(AND($L246="",AND($N246&lt;&gt;"AE",$N246&lt;&gt;"QA")),"Postcode is required for the selected country. If there is genuinely no postcode, enter the first 3 characters of the area (e.g. D15). ","")&amp;IF(LEN($L246)&gt;35,"Postcode exceeds 35 characters. ","")&amp;IF($AE246&lt;&gt;"",$AE246,"")&amp;IF(LEN($O246)&gt;40,"Gift Message Line 1 exceeds 40 characters. ","")&amp;IF(LEN($P246)&gt;40,"Gift Message Line 2 exceeds 40 characters. ","")&amp;IF(LEN($Q246)&gt;40,"Gift Message Line 3 exceeds 40 characters. ","")&amp;IF(LEN($R246)&gt;40,"Gift Message Line 4 exceeds 40 characters. ","")&amp;IF(LEN($S246)&gt;40,"Gift Message Line 5 exceeds 40 characters. ","")&amp;IF(LEN($T246)&gt;40,"Gift Message Line 6 exceeds 40 characters. ","")&amp;IF(LEN($U246)&gt;40,"Gift Message Line 7 exceeds 40 characters. ",""))</f>
        <v/>
      </c>
      <c r="Y246" s="44" t="str">
        <f t="shared" si="13"/>
        <v/>
      </c>
      <c r="Z246" s="44"/>
      <c r="AA246" s="44"/>
      <c r="AB246" s="32" t="str">
        <f t="shared" si="14"/>
        <v/>
      </c>
      <c r="AC246" s="32" t="str">
        <f>IF($A246="","",IFERROR(LEFT(INDEX('PRODUCT DATA'!$NO$2:$NO$25,MATCH($A246,'PRODUCT DATA'!$NP$2:$NP$25,0)),FIND("|",INDEX('PRODUCT DATA'!$NO$2:$NO$25,MATCH($A246,'PRODUCT DATA'!$NP$2:$NP$25,0)))-1),$A246))</f>
        <v/>
      </c>
      <c r="AD246" s="45"/>
      <c r="AE246" s="45" t="str">
        <f t="shared" si="15"/>
        <v/>
      </c>
    </row>
    <row r="247" spans="1:31" ht="15" customHeight="1" x14ac:dyDescent="0.25">
      <c r="A247" s="40"/>
      <c r="B247" s="43" t="str">
        <f>IF($A247="","",IFERROR(VLOOKUP($AC247,'PRODUCT DATA'!$NR$2:$NS$374,2,FALSE()),"UNKNOWN ITEM CODE - please check"))</f>
        <v/>
      </c>
      <c r="C247" s="39">
        <v>1</v>
      </c>
      <c r="D247" s="39"/>
      <c r="E247" s="40"/>
      <c r="F247" s="41"/>
      <c r="G247" s="39"/>
      <c r="H247" s="41"/>
      <c r="I247" s="41"/>
      <c r="J247" s="39"/>
      <c r="K247" s="41"/>
      <c r="L247" s="40"/>
      <c r="M247" s="40"/>
      <c r="N247" s="42" t="str">
        <f>IF($M247="","",IFERROR(INDEX('PRODUCT DATA'!$B$2:$B$58,MATCH(IF(UPPER($M247)="UK","GB",$M247),'PRODUCT DATA'!$B$2:$B$58,0)),IFERROR(INDEX('PRODUCT DATA'!$B$2:$B$58,MATCH(IF(UPPER($M247)="UK","GB",$M247),'PRODUCT DATA'!$A$2:$A$58,0)),"UNKNOWN COUNTRY - please check")))</f>
        <v/>
      </c>
      <c r="O247" s="41"/>
      <c r="P247" s="41"/>
      <c r="Q247" s="41"/>
      <c r="R247" s="41"/>
      <c r="S247" s="41"/>
      <c r="T247" s="41"/>
      <c r="U247" s="41"/>
      <c r="V247" s="43" t="str">
        <f t="shared" si="12"/>
        <v/>
      </c>
      <c r="W247" s="44" t="str">
        <f ca="1">IF(COUNTA($A247,$D247:$M247,$O247:$U247)=0,"",IF($A247="","Item Code; ","")&amp;IF(AND($A247&lt;&gt;"",ISNA(MATCH($AC247,'PRODUCT DATA'!$D$2:$D$394,0))),"Item Code; ","")&amp;IF($M247="","Country; ","")&amp;IF(AND($M247&lt;&gt;"",NOT(OR(NOT(ISNA(MATCH(IF(UPPER($M247)="UK","GB",$M247),'PRODUCT DATA'!$A$2:$A$58,0))),NOT(ISNA(MATCH(IF(UPPER($M247)="UK","GB",$M247),'PRODUCT DATA'!$B$2:$B$58,0)))))),"Country; ","")&amp;IF(AND($A247&lt;&gt;"",$M247&lt;&gt;"",NOT(ISNA(MATCH($AC247,'PRODUCT DATA'!$D$2:$D$394,0))),OR(NOT(ISNA(MATCH(IF(UPPER($M247)="UK","GB",$M247),'PRODUCT DATA'!$A$2:$A$58,0))),NOT(ISNA(MATCH(IF(UPPER($M247)="UK","GB",$M247),'PRODUCT DATA'!$B$2:$B$58,0)))),NOT(IFERROR(COUNTIF(OFFSET('PRODUCT DATA'!$F$2,0,MATCH($AC247,'PRODUCT DATA'!$F$1:$NN$1,0)-1,114,1),$N247)&gt;0,FALSE()))),IF(UPPER(IFERROR(OFFSET('PRODUCT DATA'!$C$2,MATCH($N247,'PRODUCT DATA'!$B$2:$B$58,0)-1,0),""))="NO","Alcohol Restriction; ","Item Code / Country combination; "),"")&amp;IF($C247="","Quantity; ","")&amp;IF(AND($C247&lt;&gt;"",OR(NOT(ISNUMBER($C247)),$C247&lt;1,$C247&gt;999,MOD($C247,1)&lt;&gt;0)),"Quantity; ","")&amp;IF($D247="","Recipient Name; ","")&amp;IF(LEN($D247)&gt;35,"Recipient Name; ","")&amp;IF($E247="","Recipient Phone; ","")&amp;IF(AND($E247&lt;&gt;"",OR(LEN($E247)&lt;6,LEN($E247)&gt;20,NOT(IFERROR(ISNUMBER(1*$E247),FALSE())))),"Recipient Phone; ","")&amp;IF(LEN($F247)&gt;35,"Recipient Company Name; ","")&amp;IF($G247="","Address Line 1; ","")&amp;IF(LEN($G247)&gt;35,"Address Line 1; ","")&amp;IF(LEN($H247)&gt;35,"Address Line 2; ","")&amp;IF(LEN($I247)&gt;35,"Address Line 3; ","")&amp;IF($J247="","Town; ","")&amp;IF(LEN($J247)&gt;35,"Town; ","")&amp;IF(AND($N247="IE",$K247=""),"County; ","")&amp;IF(LEN($AB247)&gt;35,"County; ","")&amp;IF(AND($L247="",AND($N247&lt;&gt;"AE",$N247&lt;&gt;"QA")),"Postcode; ","")&amp;IF(LEN($L247)&gt;35,"Postcode; ","")&amp;IF($AE247&lt;&gt;"","Postcode; ","")&amp;IF(LEN($O247)&gt;40,"Gift Message 1; ","")&amp;IF(LEN($P247)&gt;40,"Gift Message 2; ","")&amp;IF(LEN($Q247)&gt;40,"Gift Message 3; ","")&amp;IF(LEN($R247)&gt;40,"Gift Message 4; ","")&amp;IF(LEN($S247)&gt;40,"Gift Message 5; ","")&amp;IF(LEN($T247)&gt;40,"Gift Message 6; ","")&amp;IF(LEN($U247)&gt;40,"Gift Message 7; ",""))</f>
        <v/>
      </c>
      <c r="X247" s="44" t="str">
        <f ca="1">IF(COUNTA($A247,$D247:$M247,$O247:$U247)=0,"",IF($A247="","Enter the Item Code (hamper) - type it, paste it, or choose it from the dropdown. ","")&amp;IF(AND($A247&lt;&gt;"",ISNA(MATCH($AC247,'PRODUCT DATA'!$D$2:$D$394,0))),"This Item Code is not recognised. Check the code (case does not matter, but spelling and digits must match exactly) or choose it from the dropdown. ","")&amp;IF($M247="","Enter the Country after the Item Code - type or paste the name or the 2-letter code, or choose it from the dropdown. ","")&amp;IF(AND($M247&lt;&gt;"",NOT(OR(NOT(ISNA(MATCH(IF(UPPER($M247)="UK","GB",$M247),'PRODUCT DATA'!$A$2:$A$58,0))),NOT(ISNA(MATCH(IF(UPPER($M247)="UK","GB",$M247),'PRODUCT DATA'!$B$2:$B$58,0)))))),"This Country is not recognised as either a full name or a 2-letter code. Check the spelling (case does not matter) or choose it from the dropdown. ","")&amp;IF(AND($A247&lt;&gt;"",$M247&lt;&gt;"",NOT(ISNA(MATCH($AC247,'PRODUCT DATA'!$D$2:$D$394,0))),OR(NOT(ISNA(MATCH(IF(UPPER($M247)="UK","GB",$M247),'PRODUCT DATA'!$A$2:$A$58,0))),NOT(ISNA(MATCH(IF(UPPER($M247)="UK","GB",$M247),'PRODUCT DATA'!$B$2:$B$58,0)))),NOT(IFERROR(COUNTIF(OFFSET('PRODUCT DATA'!$F$2,0,MATCH($AC247,'PRODUCT DATA'!$F$1:$NN$1,0)-1,114,1),$N247)&gt;0,FALSE()))),IF(UPPER(IFERROR(OFFSET('PRODUCT DATA'!$C$2,MATCH($N247,'PRODUCT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"),"")&amp;IF($C247="","Enter Quantity. ","")&amp;IF(AND($C247&lt;&gt;"",OR(NOT(ISNUMBER($C247)),$C247&lt;1,$C247&gt;999,MOD($C247,1)&lt;&gt;0)),"Quantity must be a whole number from 1 to 999 (use a quantity above 1 only for a genuine bulk order of identical items to ONE address — otherwise use a separate row per recipient). ","")&amp;IF($D247="","Enter Recipient Name. ","")&amp;IF(LEN($D247)&gt;35,"Recipient Name exceeds 35 characters. ","")&amp;IF($E247="","Enter Recipient Phone. ","")&amp;IF(AND($E247&lt;&gt;"",OR(LEN($E247)&lt;6,LEN($E247)&gt;20,NOT(IFERROR(ISNUMBER(1*$E247),FALSE())))),"Phone must be the LOCAL number for the destination country: digits only, no +, spaces, or country code, 6 to 20 digits. ","")&amp;IF(LEN($F247)&gt;35,"Recipient Company Name exceeds 35 characters. ","")&amp;IF($G247="","Enter Address Line 1. ","")&amp;IF(LEN($G247)&gt;35,"Address Line 1 exceeds the 35-character SAP limit. ","")&amp;IF(LEN($H247)&gt;35,"Address Line 2 exceeds the 35-character SAP limit. ","")&amp;IF(LEN($I247)&gt;35,"Address Line 3 exceeds the 35-character SAP limit. ","")&amp;IF($J247="","Enter Town. This must never be left blank, even if there is no conventional town name. ","")&amp;IF(LEN($J247)&gt;35,"Town exceeds 35 characters. ","")&amp;IF(AND($N247="IE",$K247=""),"County is required for deliveries within the Republic of Ireland. ","")&amp;IF(LEN($AB247)&gt;35,"County exceeds 35 characters. ","")&amp;IF(AND($L247="",AND($N247&lt;&gt;"AE",$N247&lt;&gt;"QA")),"Postcode is required for the selected country. If there is genuinely no postcode, enter the first 3 characters of the area (e.g. D15). ","")&amp;IF(LEN($L247)&gt;35,"Postcode exceeds 35 characters. ","")&amp;IF($AE247&lt;&gt;"",$AE247,"")&amp;IF(LEN($O247)&gt;40,"Gift Message Line 1 exceeds 40 characters. ","")&amp;IF(LEN($P247)&gt;40,"Gift Message Line 2 exceeds 40 characters. ","")&amp;IF(LEN($Q247)&gt;40,"Gift Message Line 3 exceeds 40 characters. ","")&amp;IF(LEN($R247)&gt;40,"Gift Message Line 4 exceeds 40 characters. ","")&amp;IF(LEN($S247)&gt;40,"Gift Message Line 5 exceeds 40 characters. ","")&amp;IF(LEN($T247)&gt;40,"Gift Message Line 6 exceeds 40 characters. ","")&amp;IF(LEN($U247)&gt;40,"Gift Message Line 7 exceeds 40 characters. ",""))</f>
        <v/>
      </c>
      <c r="Y247" s="44" t="str">
        <f t="shared" si="13"/>
        <v/>
      </c>
      <c r="Z247" s="44"/>
      <c r="AA247" s="44"/>
      <c r="AB247" s="32" t="str">
        <f t="shared" si="14"/>
        <v/>
      </c>
      <c r="AC247" s="32" t="str">
        <f>IF($A247="","",IFERROR(LEFT(INDEX('PRODUCT DATA'!$NO$2:$NO$25,MATCH($A247,'PRODUCT DATA'!$NP$2:$NP$25,0)),FIND("|",INDEX('PRODUCT DATA'!$NO$2:$NO$25,MATCH($A247,'PRODUCT DATA'!$NP$2:$NP$25,0)))-1),$A247))</f>
        <v/>
      </c>
      <c r="AD247" s="45"/>
      <c r="AE247" s="45" t="str">
        <f t="shared" si="15"/>
        <v/>
      </c>
    </row>
    <row r="248" spans="1:31" ht="15" customHeight="1" x14ac:dyDescent="0.25">
      <c r="A248" s="40"/>
      <c r="B248" s="43" t="str">
        <f>IF($A248="","",IFERROR(VLOOKUP($AC248,'PRODUCT DATA'!$NR$2:$NS$374,2,FALSE()),"UNKNOWN ITEM CODE - please check"))</f>
        <v/>
      </c>
      <c r="C248" s="39">
        <v>1</v>
      </c>
      <c r="D248" s="39"/>
      <c r="E248" s="40"/>
      <c r="F248" s="41"/>
      <c r="G248" s="39"/>
      <c r="H248" s="41"/>
      <c r="I248" s="41"/>
      <c r="J248" s="39"/>
      <c r="K248" s="41"/>
      <c r="L248" s="40"/>
      <c r="M248" s="40"/>
      <c r="N248" s="42" t="str">
        <f>IF($M248="","",IFERROR(INDEX('PRODUCT DATA'!$B$2:$B$58,MATCH(IF(UPPER($M248)="UK","GB",$M248),'PRODUCT DATA'!$B$2:$B$58,0)),IFERROR(INDEX('PRODUCT DATA'!$B$2:$B$58,MATCH(IF(UPPER($M248)="UK","GB",$M248),'PRODUCT DATA'!$A$2:$A$58,0)),"UNKNOWN COUNTRY - please check")))</f>
        <v/>
      </c>
      <c r="O248" s="41"/>
      <c r="P248" s="41"/>
      <c r="Q248" s="41"/>
      <c r="R248" s="41"/>
      <c r="S248" s="41"/>
      <c r="T248" s="41"/>
      <c r="U248" s="41"/>
      <c r="V248" s="43" t="str">
        <f t="shared" si="12"/>
        <v/>
      </c>
      <c r="W248" s="44" t="str">
        <f ca="1">IF(COUNTA($A248,$D248:$M248,$O248:$U248)=0,"",IF($A248="","Item Code; ","")&amp;IF(AND($A248&lt;&gt;"",ISNA(MATCH($AC248,'PRODUCT DATA'!$D$2:$D$394,0))),"Item Code; ","")&amp;IF($M248="","Country; ","")&amp;IF(AND($M248&lt;&gt;"",NOT(OR(NOT(ISNA(MATCH(IF(UPPER($M248)="UK","GB",$M248),'PRODUCT DATA'!$A$2:$A$58,0))),NOT(ISNA(MATCH(IF(UPPER($M248)="UK","GB",$M248),'PRODUCT DATA'!$B$2:$B$58,0)))))),"Country; ","")&amp;IF(AND($A248&lt;&gt;"",$M248&lt;&gt;"",NOT(ISNA(MATCH($AC248,'PRODUCT DATA'!$D$2:$D$394,0))),OR(NOT(ISNA(MATCH(IF(UPPER($M248)="UK","GB",$M248),'PRODUCT DATA'!$A$2:$A$58,0))),NOT(ISNA(MATCH(IF(UPPER($M248)="UK","GB",$M248),'PRODUCT DATA'!$B$2:$B$58,0)))),NOT(IFERROR(COUNTIF(OFFSET('PRODUCT DATA'!$F$2,0,MATCH($AC248,'PRODUCT DATA'!$F$1:$NN$1,0)-1,114,1),$N248)&gt;0,FALSE()))),IF(UPPER(IFERROR(OFFSET('PRODUCT DATA'!$C$2,MATCH($N248,'PRODUCT DATA'!$B$2:$B$58,0)-1,0),""))="NO","Alcohol Restriction; ","Item Code / Country combination; "),"")&amp;IF($C248="","Quantity; ","")&amp;IF(AND($C248&lt;&gt;"",OR(NOT(ISNUMBER($C248)),$C248&lt;1,$C248&gt;999,MOD($C248,1)&lt;&gt;0)),"Quantity; ","")&amp;IF($D248="","Recipient Name; ","")&amp;IF(LEN($D248)&gt;35,"Recipient Name; ","")&amp;IF($E248="","Recipient Phone; ","")&amp;IF(AND($E248&lt;&gt;"",OR(LEN($E248)&lt;6,LEN($E248)&gt;20,NOT(IFERROR(ISNUMBER(1*$E248),FALSE())))),"Recipient Phone; ","")&amp;IF(LEN($F248)&gt;35,"Recipient Company Name; ","")&amp;IF($G248="","Address Line 1; ","")&amp;IF(LEN($G248)&gt;35,"Address Line 1; ","")&amp;IF(LEN($H248)&gt;35,"Address Line 2; ","")&amp;IF(LEN($I248)&gt;35,"Address Line 3; ","")&amp;IF($J248="","Town; ","")&amp;IF(LEN($J248)&gt;35,"Town; ","")&amp;IF(AND($N248="IE",$K248=""),"County; ","")&amp;IF(LEN($AB248)&gt;35,"County; ","")&amp;IF(AND($L248="",AND($N248&lt;&gt;"AE",$N248&lt;&gt;"QA")),"Postcode; ","")&amp;IF(LEN($L248)&gt;35,"Postcode; ","")&amp;IF($AE248&lt;&gt;"","Postcode; ","")&amp;IF(LEN($O248)&gt;40,"Gift Message 1; ","")&amp;IF(LEN($P248)&gt;40,"Gift Message 2; ","")&amp;IF(LEN($Q248)&gt;40,"Gift Message 3; ","")&amp;IF(LEN($R248)&gt;40,"Gift Message 4; ","")&amp;IF(LEN($S248)&gt;40,"Gift Message 5; ","")&amp;IF(LEN($T248)&gt;40,"Gift Message 6; ","")&amp;IF(LEN($U248)&gt;40,"Gift Message 7; ",""))</f>
        <v/>
      </c>
      <c r="X248" s="44" t="str">
        <f ca="1">IF(COUNTA($A248,$D248:$M248,$O248:$U248)=0,"",IF($A248="","Enter the Item Code (hamper) - type it, paste it, or choose it from the dropdown. ","")&amp;IF(AND($A248&lt;&gt;"",ISNA(MATCH($AC248,'PRODUCT DATA'!$D$2:$D$394,0))),"This Item Code is not recognised. Check the code (case does not matter, but spelling and digits must match exactly) or choose it from the dropdown. ","")&amp;IF($M248="","Enter the Country after the Item Code - type or paste the name or the 2-letter code, or choose it from the dropdown. ","")&amp;IF(AND($M248&lt;&gt;"",NOT(OR(NOT(ISNA(MATCH(IF(UPPER($M248)="UK","GB",$M248),'PRODUCT DATA'!$A$2:$A$58,0))),NOT(ISNA(MATCH(IF(UPPER($M248)="UK","GB",$M248),'PRODUCT DATA'!$B$2:$B$58,0)))))),"This Country is not recognised as either a full name or a 2-letter code. Check the spelling (case does not matter) or choose it from the dropdown. ","")&amp;IF(AND($A248&lt;&gt;"",$M248&lt;&gt;"",NOT(ISNA(MATCH($AC248,'PRODUCT DATA'!$D$2:$D$394,0))),OR(NOT(ISNA(MATCH(IF(UPPER($M248)="UK","GB",$M248),'PRODUCT DATA'!$A$2:$A$58,0))),NOT(ISNA(MATCH(IF(UPPER($M248)="UK","GB",$M248),'PRODUCT DATA'!$B$2:$B$58,0)))),NOT(IFERROR(COUNTIF(OFFSET('PRODUCT DATA'!$F$2,0,MATCH($AC248,'PRODUCT DATA'!$F$1:$NN$1,0)-1,114,1),$N248)&gt;0,FALSE()))),IF(UPPER(IFERROR(OFFSET('PRODUCT DATA'!$C$2,MATCH($N248,'PRODUCT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"),"")&amp;IF($C248="","Enter Quantity. ","")&amp;IF(AND($C248&lt;&gt;"",OR(NOT(ISNUMBER($C248)),$C248&lt;1,$C248&gt;999,MOD($C248,1)&lt;&gt;0)),"Quantity must be a whole number from 1 to 999 (use a quantity above 1 only for a genuine bulk order of identical items to ONE address — otherwise use a separate row per recipient). ","")&amp;IF($D248="","Enter Recipient Name. ","")&amp;IF(LEN($D248)&gt;35,"Recipient Name exceeds 35 characters. ","")&amp;IF($E248="","Enter Recipient Phone. ","")&amp;IF(AND($E248&lt;&gt;"",OR(LEN($E248)&lt;6,LEN($E248)&gt;20,NOT(IFERROR(ISNUMBER(1*$E248),FALSE())))),"Phone must be the LOCAL number for the destination country: digits only, no +, spaces, or country code, 6 to 20 digits. ","")&amp;IF(LEN($F248)&gt;35,"Recipient Company Name exceeds 35 characters. ","")&amp;IF($G248="","Enter Address Line 1. ","")&amp;IF(LEN($G248)&gt;35,"Address Line 1 exceeds the 35-character SAP limit. ","")&amp;IF(LEN($H248)&gt;35,"Address Line 2 exceeds the 35-character SAP limit. ","")&amp;IF(LEN($I248)&gt;35,"Address Line 3 exceeds the 35-character SAP limit. ","")&amp;IF($J248="","Enter Town. This must never be left blank, even if there is no conventional town name. ","")&amp;IF(LEN($J248)&gt;35,"Town exceeds 35 characters. ","")&amp;IF(AND($N248="IE",$K248=""),"County is required for deliveries within the Republic of Ireland. ","")&amp;IF(LEN($AB248)&gt;35,"County exceeds 35 characters. ","")&amp;IF(AND($L248="",AND($N248&lt;&gt;"AE",$N248&lt;&gt;"QA")),"Postcode is required for the selected country. If there is genuinely no postcode, enter the first 3 characters of the area (e.g. D15). ","")&amp;IF(LEN($L248)&gt;35,"Postcode exceeds 35 characters. ","")&amp;IF($AE248&lt;&gt;"",$AE248,"")&amp;IF(LEN($O248)&gt;40,"Gift Message Line 1 exceeds 40 characters. ","")&amp;IF(LEN($P248)&gt;40,"Gift Message Line 2 exceeds 40 characters. ","")&amp;IF(LEN($Q248)&gt;40,"Gift Message Line 3 exceeds 40 characters. ","")&amp;IF(LEN($R248)&gt;40,"Gift Message Line 4 exceeds 40 characters. ","")&amp;IF(LEN($S248)&gt;40,"Gift Message Line 5 exceeds 40 characters. ","")&amp;IF(LEN($T248)&gt;40,"Gift Message Line 6 exceeds 40 characters. ","")&amp;IF(LEN($U248)&gt;40,"Gift Message Line 7 exceeds 40 characters. ",""))</f>
        <v/>
      </c>
      <c r="Y248" s="44" t="str">
        <f t="shared" si="13"/>
        <v/>
      </c>
      <c r="Z248" s="44"/>
      <c r="AA248" s="44"/>
      <c r="AB248" s="32" t="str">
        <f t="shared" si="14"/>
        <v/>
      </c>
      <c r="AC248" s="32" t="str">
        <f>IF($A248="","",IFERROR(LEFT(INDEX('PRODUCT DATA'!$NO$2:$NO$25,MATCH($A248,'PRODUCT DATA'!$NP$2:$NP$25,0)),FIND("|",INDEX('PRODUCT DATA'!$NO$2:$NO$25,MATCH($A248,'PRODUCT DATA'!$NP$2:$NP$25,0)))-1),$A248))</f>
        <v/>
      </c>
      <c r="AD248" s="45"/>
      <c r="AE248" s="45" t="str">
        <f t="shared" si="15"/>
        <v/>
      </c>
    </row>
    <row r="249" spans="1:31" ht="15" customHeight="1" x14ac:dyDescent="0.25">
      <c r="A249" s="40"/>
      <c r="B249" s="43" t="str">
        <f>IF($A249="","",IFERROR(VLOOKUP($AC249,'PRODUCT DATA'!$NR$2:$NS$374,2,FALSE()),"UNKNOWN ITEM CODE - please check"))</f>
        <v/>
      </c>
      <c r="C249" s="39">
        <v>1</v>
      </c>
      <c r="D249" s="39"/>
      <c r="E249" s="40"/>
      <c r="F249" s="41"/>
      <c r="G249" s="39"/>
      <c r="H249" s="41"/>
      <c r="I249" s="41"/>
      <c r="J249" s="39"/>
      <c r="K249" s="41"/>
      <c r="L249" s="40"/>
      <c r="M249" s="40"/>
      <c r="N249" s="42" t="str">
        <f>IF($M249="","",IFERROR(INDEX('PRODUCT DATA'!$B$2:$B$58,MATCH(IF(UPPER($M249)="UK","GB",$M249),'PRODUCT DATA'!$B$2:$B$58,0)),IFERROR(INDEX('PRODUCT DATA'!$B$2:$B$58,MATCH(IF(UPPER($M249)="UK","GB",$M249),'PRODUCT DATA'!$A$2:$A$58,0)),"UNKNOWN COUNTRY - please check")))</f>
        <v/>
      </c>
      <c r="O249" s="41"/>
      <c r="P249" s="41"/>
      <c r="Q249" s="41"/>
      <c r="R249" s="41"/>
      <c r="S249" s="41"/>
      <c r="T249" s="41"/>
      <c r="U249" s="41"/>
      <c r="V249" s="43" t="str">
        <f t="shared" si="12"/>
        <v/>
      </c>
      <c r="W249" s="44" t="str">
        <f ca="1">IF(COUNTA($A249,$D249:$M249,$O249:$U249)=0,"",IF($A249="","Item Code; ","")&amp;IF(AND($A249&lt;&gt;"",ISNA(MATCH($AC249,'PRODUCT DATA'!$D$2:$D$394,0))),"Item Code; ","")&amp;IF($M249="","Country; ","")&amp;IF(AND($M249&lt;&gt;"",NOT(OR(NOT(ISNA(MATCH(IF(UPPER($M249)="UK","GB",$M249),'PRODUCT DATA'!$A$2:$A$58,0))),NOT(ISNA(MATCH(IF(UPPER($M249)="UK","GB",$M249),'PRODUCT DATA'!$B$2:$B$58,0)))))),"Country; ","")&amp;IF(AND($A249&lt;&gt;"",$M249&lt;&gt;"",NOT(ISNA(MATCH($AC249,'PRODUCT DATA'!$D$2:$D$394,0))),OR(NOT(ISNA(MATCH(IF(UPPER($M249)="UK","GB",$M249),'PRODUCT DATA'!$A$2:$A$58,0))),NOT(ISNA(MATCH(IF(UPPER($M249)="UK","GB",$M249),'PRODUCT DATA'!$B$2:$B$58,0)))),NOT(IFERROR(COUNTIF(OFFSET('PRODUCT DATA'!$F$2,0,MATCH($AC249,'PRODUCT DATA'!$F$1:$NN$1,0)-1,114,1),$N249)&gt;0,FALSE()))),IF(UPPER(IFERROR(OFFSET('PRODUCT DATA'!$C$2,MATCH($N249,'PRODUCT DATA'!$B$2:$B$58,0)-1,0),""))="NO","Alcohol Restriction; ","Item Code / Country combination; "),"")&amp;IF($C249="","Quantity; ","")&amp;IF(AND($C249&lt;&gt;"",OR(NOT(ISNUMBER($C249)),$C249&lt;1,$C249&gt;999,MOD($C249,1)&lt;&gt;0)),"Quantity; ","")&amp;IF($D249="","Recipient Name; ","")&amp;IF(LEN($D249)&gt;35,"Recipient Name; ","")&amp;IF($E249="","Recipient Phone; ","")&amp;IF(AND($E249&lt;&gt;"",OR(LEN($E249)&lt;6,LEN($E249)&gt;20,NOT(IFERROR(ISNUMBER(1*$E249),FALSE())))),"Recipient Phone; ","")&amp;IF(LEN($F249)&gt;35,"Recipient Company Name; ","")&amp;IF($G249="","Address Line 1; ","")&amp;IF(LEN($G249)&gt;35,"Address Line 1; ","")&amp;IF(LEN($H249)&gt;35,"Address Line 2; ","")&amp;IF(LEN($I249)&gt;35,"Address Line 3; ","")&amp;IF($J249="","Town; ","")&amp;IF(LEN($J249)&gt;35,"Town; ","")&amp;IF(AND($N249="IE",$K249=""),"County; ","")&amp;IF(LEN($AB249)&gt;35,"County; ","")&amp;IF(AND($L249="",AND($N249&lt;&gt;"AE",$N249&lt;&gt;"QA")),"Postcode; ","")&amp;IF(LEN($L249)&gt;35,"Postcode; ","")&amp;IF($AE249&lt;&gt;"","Postcode; ","")&amp;IF(LEN($O249)&gt;40,"Gift Message 1; ","")&amp;IF(LEN($P249)&gt;40,"Gift Message 2; ","")&amp;IF(LEN($Q249)&gt;40,"Gift Message 3; ","")&amp;IF(LEN($R249)&gt;40,"Gift Message 4; ","")&amp;IF(LEN($S249)&gt;40,"Gift Message 5; ","")&amp;IF(LEN($T249)&gt;40,"Gift Message 6; ","")&amp;IF(LEN($U249)&gt;40,"Gift Message 7; ",""))</f>
        <v/>
      </c>
      <c r="X249" s="44" t="str">
        <f ca="1">IF(COUNTA($A249,$D249:$M249,$O249:$U249)=0,"",IF($A249="","Enter the Item Code (hamper) - type it, paste it, or choose it from the dropdown. ","")&amp;IF(AND($A249&lt;&gt;"",ISNA(MATCH($AC249,'PRODUCT DATA'!$D$2:$D$394,0))),"This Item Code is not recognised. Check the code (case does not matter, but spelling and digits must match exactly) or choose it from the dropdown. ","")&amp;IF($M249="","Enter the Country after the Item Code - type or paste the name or the 2-letter code, or choose it from the dropdown. ","")&amp;IF(AND($M249&lt;&gt;"",NOT(OR(NOT(ISNA(MATCH(IF(UPPER($M249)="UK","GB",$M249),'PRODUCT DATA'!$A$2:$A$58,0))),NOT(ISNA(MATCH(IF(UPPER($M249)="UK","GB",$M249),'PRODUCT DATA'!$B$2:$B$58,0)))))),"This Country is not recognised as either a full name or a 2-letter code. Check the spelling (case does not matter) or choose it from the dropdown. ","")&amp;IF(AND($A249&lt;&gt;"",$M249&lt;&gt;"",NOT(ISNA(MATCH($AC249,'PRODUCT DATA'!$D$2:$D$394,0))),OR(NOT(ISNA(MATCH(IF(UPPER($M249)="UK","GB",$M249),'PRODUCT DATA'!$A$2:$A$58,0))),NOT(ISNA(MATCH(IF(UPPER($M249)="UK","GB",$M249),'PRODUCT DATA'!$B$2:$B$58,0)))),NOT(IFERROR(COUNTIF(OFFSET('PRODUCT DATA'!$F$2,0,MATCH($AC249,'PRODUCT DATA'!$F$1:$NN$1,0)-1,114,1),$N249)&gt;0,FALSE()))),IF(UPPER(IFERROR(OFFSET('PRODUCT DATA'!$C$2,MATCH($N249,'PRODUCT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"),"")&amp;IF($C249="","Enter Quantity. ","")&amp;IF(AND($C249&lt;&gt;"",OR(NOT(ISNUMBER($C249)),$C249&lt;1,$C249&gt;999,MOD($C249,1)&lt;&gt;0)),"Quantity must be a whole number from 1 to 999 (use a quantity above 1 only for a genuine bulk order of identical items to ONE address — otherwise use a separate row per recipient). ","")&amp;IF($D249="","Enter Recipient Name. ","")&amp;IF(LEN($D249)&gt;35,"Recipient Name exceeds 35 characters. ","")&amp;IF($E249="","Enter Recipient Phone. ","")&amp;IF(AND($E249&lt;&gt;"",OR(LEN($E249)&lt;6,LEN($E249)&gt;20,NOT(IFERROR(ISNUMBER(1*$E249),FALSE())))),"Phone must be the LOCAL number for the destination country: digits only, no +, spaces, or country code, 6 to 20 digits. ","")&amp;IF(LEN($F249)&gt;35,"Recipient Company Name exceeds 35 characters. ","")&amp;IF($G249="","Enter Address Line 1. ","")&amp;IF(LEN($G249)&gt;35,"Address Line 1 exceeds the 35-character SAP limit. ","")&amp;IF(LEN($H249)&gt;35,"Address Line 2 exceeds the 35-character SAP limit. ","")&amp;IF(LEN($I249)&gt;35,"Address Line 3 exceeds the 35-character SAP limit. ","")&amp;IF($J249="","Enter Town. This must never be left blank, even if there is no conventional town name. ","")&amp;IF(LEN($J249)&gt;35,"Town exceeds 35 characters. ","")&amp;IF(AND($N249="IE",$K249=""),"County is required for deliveries within the Republic of Ireland. ","")&amp;IF(LEN($AB249)&gt;35,"County exceeds 35 characters. ","")&amp;IF(AND($L249="",AND($N249&lt;&gt;"AE",$N249&lt;&gt;"QA")),"Postcode is required for the selected country. If there is genuinely no postcode, enter the first 3 characters of the area (e.g. D15). ","")&amp;IF(LEN($L249)&gt;35,"Postcode exceeds 35 characters. ","")&amp;IF($AE249&lt;&gt;"",$AE249,"")&amp;IF(LEN($O249)&gt;40,"Gift Message Line 1 exceeds 40 characters. ","")&amp;IF(LEN($P249)&gt;40,"Gift Message Line 2 exceeds 40 characters. ","")&amp;IF(LEN($Q249)&gt;40,"Gift Message Line 3 exceeds 40 characters. ","")&amp;IF(LEN($R249)&gt;40,"Gift Message Line 4 exceeds 40 characters. ","")&amp;IF(LEN($S249)&gt;40,"Gift Message Line 5 exceeds 40 characters. ","")&amp;IF(LEN($T249)&gt;40,"Gift Message Line 6 exceeds 40 characters. ","")&amp;IF(LEN($U249)&gt;40,"Gift Message Line 7 exceeds 40 characters. ",""))</f>
        <v/>
      </c>
      <c r="Y249" s="44" t="str">
        <f t="shared" si="13"/>
        <v/>
      </c>
      <c r="Z249" s="44"/>
      <c r="AA249" s="44"/>
      <c r="AB249" s="32" t="str">
        <f t="shared" si="14"/>
        <v/>
      </c>
      <c r="AC249" s="32" t="str">
        <f>IF($A249="","",IFERROR(LEFT(INDEX('PRODUCT DATA'!$NO$2:$NO$25,MATCH($A249,'PRODUCT DATA'!$NP$2:$NP$25,0)),FIND("|",INDEX('PRODUCT DATA'!$NO$2:$NO$25,MATCH($A249,'PRODUCT DATA'!$NP$2:$NP$25,0)))-1),$A249))</f>
        <v/>
      </c>
      <c r="AD249" s="45"/>
      <c r="AE249" s="45" t="str">
        <f t="shared" si="15"/>
        <v/>
      </c>
    </row>
    <row r="250" spans="1:31" ht="15" customHeight="1" x14ac:dyDescent="0.25">
      <c r="A250" s="40"/>
      <c r="B250" s="43" t="str">
        <f>IF($A250="","",IFERROR(VLOOKUP($AC250,'PRODUCT DATA'!$NR$2:$NS$374,2,FALSE()),"UNKNOWN ITEM CODE - please check"))</f>
        <v/>
      </c>
      <c r="C250" s="39">
        <v>1</v>
      </c>
      <c r="D250" s="39"/>
      <c r="E250" s="40"/>
      <c r="F250" s="41"/>
      <c r="G250" s="39"/>
      <c r="H250" s="41"/>
      <c r="I250" s="41"/>
      <c r="J250" s="39"/>
      <c r="K250" s="41"/>
      <c r="L250" s="40"/>
      <c r="M250" s="40"/>
      <c r="N250" s="42" t="str">
        <f>IF($M250="","",IFERROR(INDEX('PRODUCT DATA'!$B$2:$B$58,MATCH(IF(UPPER($M250)="UK","GB",$M250),'PRODUCT DATA'!$B$2:$B$58,0)),IFERROR(INDEX('PRODUCT DATA'!$B$2:$B$58,MATCH(IF(UPPER($M250)="UK","GB",$M250),'PRODUCT DATA'!$A$2:$A$58,0)),"UNKNOWN COUNTRY - please check")))</f>
        <v/>
      </c>
      <c r="O250" s="41"/>
      <c r="P250" s="41"/>
      <c r="Q250" s="41"/>
      <c r="R250" s="41"/>
      <c r="S250" s="41"/>
      <c r="T250" s="41"/>
      <c r="U250" s="41"/>
      <c r="V250" s="43" t="str">
        <f t="shared" si="12"/>
        <v/>
      </c>
      <c r="W250" s="44" t="str">
        <f ca="1">IF(COUNTA($A250,$D250:$M250,$O250:$U250)=0,"",IF($A250="","Item Code; ","")&amp;IF(AND($A250&lt;&gt;"",ISNA(MATCH($AC250,'PRODUCT DATA'!$D$2:$D$394,0))),"Item Code; ","")&amp;IF($M250="","Country; ","")&amp;IF(AND($M250&lt;&gt;"",NOT(OR(NOT(ISNA(MATCH(IF(UPPER($M250)="UK","GB",$M250),'PRODUCT DATA'!$A$2:$A$58,0))),NOT(ISNA(MATCH(IF(UPPER($M250)="UK","GB",$M250),'PRODUCT DATA'!$B$2:$B$58,0)))))),"Country; ","")&amp;IF(AND($A250&lt;&gt;"",$M250&lt;&gt;"",NOT(ISNA(MATCH($AC250,'PRODUCT DATA'!$D$2:$D$394,0))),OR(NOT(ISNA(MATCH(IF(UPPER($M250)="UK","GB",$M250),'PRODUCT DATA'!$A$2:$A$58,0))),NOT(ISNA(MATCH(IF(UPPER($M250)="UK","GB",$M250),'PRODUCT DATA'!$B$2:$B$58,0)))),NOT(IFERROR(COUNTIF(OFFSET('PRODUCT DATA'!$F$2,0,MATCH($AC250,'PRODUCT DATA'!$F$1:$NN$1,0)-1,114,1),$N250)&gt;0,FALSE()))),IF(UPPER(IFERROR(OFFSET('PRODUCT DATA'!$C$2,MATCH($N250,'PRODUCT DATA'!$B$2:$B$58,0)-1,0),""))="NO","Alcohol Restriction; ","Item Code / Country combination; "),"")&amp;IF($C250="","Quantity; ","")&amp;IF(AND($C250&lt;&gt;"",OR(NOT(ISNUMBER($C250)),$C250&lt;1,$C250&gt;999,MOD($C250,1)&lt;&gt;0)),"Quantity; ","")&amp;IF($D250="","Recipient Name; ","")&amp;IF(LEN($D250)&gt;35,"Recipient Name; ","")&amp;IF($E250="","Recipient Phone; ","")&amp;IF(AND($E250&lt;&gt;"",OR(LEN($E250)&lt;6,LEN($E250)&gt;20,NOT(IFERROR(ISNUMBER(1*$E250),FALSE())))),"Recipient Phone; ","")&amp;IF(LEN($F250)&gt;35,"Recipient Company Name; ","")&amp;IF($G250="","Address Line 1; ","")&amp;IF(LEN($G250)&gt;35,"Address Line 1; ","")&amp;IF(LEN($H250)&gt;35,"Address Line 2; ","")&amp;IF(LEN($I250)&gt;35,"Address Line 3; ","")&amp;IF($J250="","Town; ","")&amp;IF(LEN($J250)&gt;35,"Town; ","")&amp;IF(AND($N250="IE",$K250=""),"County; ","")&amp;IF(LEN($AB250)&gt;35,"County; ","")&amp;IF(AND($L250="",AND($N250&lt;&gt;"AE",$N250&lt;&gt;"QA")),"Postcode; ","")&amp;IF(LEN($L250)&gt;35,"Postcode; ","")&amp;IF($AE250&lt;&gt;"","Postcode; ","")&amp;IF(LEN($O250)&gt;40,"Gift Message 1; ","")&amp;IF(LEN($P250)&gt;40,"Gift Message 2; ","")&amp;IF(LEN($Q250)&gt;40,"Gift Message 3; ","")&amp;IF(LEN($R250)&gt;40,"Gift Message 4; ","")&amp;IF(LEN($S250)&gt;40,"Gift Message 5; ","")&amp;IF(LEN($T250)&gt;40,"Gift Message 6; ","")&amp;IF(LEN($U250)&gt;40,"Gift Message 7; ",""))</f>
        <v/>
      </c>
      <c r="X250" s="44" t="str">
        <f ca="1">IF(COUNTA($A250,$D250:$M250,$O250:$U250)=0,"",IF($A250="","Enter the Item Code (hamper) - type it, paste it, or choose it from the dropdown. ","")&amp;IF(AND($A250&lt;&gt;"",ISNA(MATCH($AC250,'PRODUCT DATA'!$D$2:$D$394,0))),"This Item Code is not recognised. Check the code (case does not matter, but spelling and digits must match exactly) or choose it from the dropdown. ","")&amp;IF($M250="","Enter the Country after the Item Code - type or paste the name or the 2-letter code, or choose it from the dropdown. ","")&amp;IF(AND($M250&lt;&gt;"",NOT(OR(NOT(ISNA(MATCH(IF(UPPER($M250)="UK","GB",$M250),'PRODUCT DATA'!$A$2:$A$58,0))),NOT(ISNA(MATCH(IF(UPPER($M250)="UK","GB",$M250),'PRODUCT DATA'!$B$2:$B$58,0)))))),"This Country is not recognised as either a full name or a 2-letter code. Check the spelling (case does not matter) or choose it from the dropdown. ","")&amp;IF(AND($A250&lt;&gt;"",$M250&lt;&gt;"",NOT(ISNA(MATCH($AC250,'PRODUCT DATA'!$D$2:$D$394,0))),OR(NOT(ISNA(MATCH(IF(UPPER($M250)="UK","GB",$M250),'PRODUCT DATA'!$A$2:$A$58,0))),NOT(ISNA(MATCH(IF(UPPER($M250)="UK","GB",$M250),'PRODUCT DATA'!$B$2:$B$58,0)))),NOT(IFERROR(COUNTIF(OFFSET('PRODUCT DATA'!$F$2,0,MATCH($AC250,'PRODUCT DATA'!$F$1:$NN$1,0)-1,114,1),$N250)&gt;0,FALSE()))),IF(UPPER(IFERROR(OFFSET('PRODUCT DATA'!$C$2,MATCH($N250,'PRODUCT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"),"")&amp;IF($C250="","Enter Quantity. ","")&amp;IF(AND($C250&lt;&gt;"",OR(NOT(ISNUMBER($C250)),$C250&lt;1,$C250&gt;999,MOD($C250,1)&lt;&gt;0)),"Quantity must be a whole number from 1 to 999 (use a quantity above 1 only for a genuine bulk order of identical items to ONE address — otherwise use a separate row per recipient). ","")&amp;IF($D250="","Enter Recipient Name. ","")&amp;IF(LEN($D250)&gt;35,"Recipient Name exceeds 35 characters. ","")&amp;IF($E250="","Enter Recipient Phone. ","")&amp;IF(AND($E250&lt;&gt;"",OR(LEN($E250)&lt;6,LEN($E250)&gt;20,NOT(IFERROR(ISNUMBER(1*$E250),FALSE())))),"Phone must be the LOCAL number for the destination country: digits only, no +, spaces, or country code, 6 to 20 digits. ","")&amp;IF(LEN($F250)&gt;35,"Recipient Company Name exceeds 35 characters. ","")&amp;IF($G250="","Enter Address Line 1. ","")&amp;IF(LEN($G250)&gt;35,"Address Line 1 exceeds the 35-character SAP limit. ","")&amp;IF(LEN($H250)&gt;35,"Address Line 2 exceeds the 35-character SAP limit. ","")&amp;IF(LEN($I250)&gt;35,"Address Line 3 exceeds the 35-character SAP limit. ","")&amp;IF($J250="","Enter Town. This must never be left blank, even if there is no conventional town name. ","")&amp;IF(LEN($J250)&gt;35,"Town exceeds 35 characters. ","")&amp;IF(AND($N250="IE",$K250=""),"County is required for deliveries within the Republic of Ireland. ","")&amp;IF(LEN($AB250)&gt;35,"County exceeds 35 characters. ","")&amp;IF(AND($L250="",AND($N250&lt;&gt;"AE",$N250&lt;&gt;"QA")),"Postcode is required for the selected country. If there is genuinely no postcode, enter the first 3 characters of the area (e.g. D15). ","")&amp;IF(LEN($L250)&gt;35,"Postcode exceeds 35 characters. ","")&amp;IF($AE250&lt;&gt;"",$AE250,"")&amp;IF(LEN($O250)&gt;40,"Gift Message Line 1 exceeds 40 characters. ","")&amp;IF(LEN($P250)&gt;40,"Gift Message Line 2 exceeds 40 characters. ","")&amp;IF(LEN($Q250)&gt;40,"Gift Message Line 3 exceeds 40 characters. ","")&amp;IF(LEN($R250)&gt;40,"Gift Message Line 4 exceeds 40 characters. ","")&amp;IF(LEN($S250)&gt;40,"Gift Message Line 5 exceeds 40 characters. ","")&amp;IF(LEN($T250)&gt;40,"Gift Message Line 6 exceeds 40 characters. ","")&amp;IF(LEN($U250)&gt;40,"Gift Message Line 7 exceeds 40 characters. ",""))</f>
        <v/>
      </c>
      <c r="Y250" s="44" t="str">
        <f t="shared" si="13"/>
        <v/>
      </c>
      <c r="Z250" s="44"/>
      <c r="AA250" s="44"/>
      <c r="AB250" s="32" t="str">
        <f t="shared" si="14"/>
        <v/>
      </c>
      <c r="AC250" s="32" t="str">
        <f>IF($A250="","",IFERROR(LEFT(INDEX('PRODUCT DATA'!$NO$2:$NO$25,MATCH($A250,'PRODUCT DATA'!$NP$2:$NP$25,0)),FIND("|",INDEX('PRODUCT DATA'!$NO$2:$NO$25,MATCH($A250,'PRODUCT DATA'!$NP$2:$NP$25,0)))-1),$A250))</f>
        <v/>
      </c>
      <c r="AD250" s="45"/>
      <c r="AE250" s="45" t="str">
        <f t="shared" si="15"/>
        <v/>
      </c>
    </row>
    <row r="251" spans="1:31" ht="15" customHeight="1" x14ac:dyDescent="0.25">
      <c r="A251" s="40"/>
      <c r="B251" s="43" t="str">
        <f>IF($A251="","",IFERROR(VLOOKUP($AC251,'PRODUCT DATA'!$NR$2:$NS$374,2,FALSE()),"UNKNOWN ITEM CODE - please check"))</f>
        <v/>
      </c>
      <c r="C251" s="39">
        <v>1</v>
      </c>
      <c r="D251" s="39"/>
      <c r="E251" s="40"/>
      <c r="F251" s="41"/>
      <c r="G251" s="39"/>
      <c r="H251" s="41"/>
      <c r="I251" s="41"/>
      <c r="J251" s="39"/>
      <c r="K251" s="41"/>
      <c r="L251" s="40"/>
      <c r="M251" s="40"/>
      <c r="N251" s="42" t="str">
        <f>IF($M251="","",IFERROR(INDEX('PRODUCT DATA'!$B$2:$B$58,MATCH(IF(UPPER($M251)="UK","GB",$M251),'PRODUCT DATA'!$B$2:$B$58,0)),IFERROR(INDEX('PRODUCT DATA'!$B$2:$B$58,MATCH(IF(UPPER($M251)="UK","GB",$M251),'PRODUCT DATA'!$A$2:$A$58,0)),"UNKNOWN COUNTRY - please check")))</f>
        <v/>
      </c>
      <c r="O251" s="41"/>
      <c r="P251" s="41"/>
      <c r="Q251" s="41"/>
      <c r="R251" s="41"/>
      <c r="S251" s="41"/>
      <c r="T251" s="41"/>
      <c r="U251" s="41"/>
      <c r="V251" s="43" t="str">
        <f t="shared" si="12"/>
        <v/>
      </c>
      <c r="W251" s="44" t="str">
        <f ca="1">IF(COUNTA($A251,$D251:$M251,$O251:$U251)=0,"",IF($A251="","Item Code; ","")&amp;IF(AND($A251&lt;&gt;"",ISNA(MATCH($AC251,'PRODUCT DATA'!$D$2:$D$394,0))),"Item Code; ","")&amp;IF($M251="","Country; ","")&amp;IF(AND($M251&lt;&gt;"",NOT(OR(NOT(ISNA(MATCH(IF(UPPER($M251)="UK","GB",$M251),'PRODUCT DATA'!$A$2:$A$58,0))),NOT(ISNA(MATCH(IF(UPPER($M251)="UK","GB",$M251),'PRODUCT DATA'!$B$2:$B$58,0)))))),"Country; ","")&amp;IF(AND($A251&lt;&gt;"",$M251&lt;&gt;"",NOT(ISNA(MATCH($AC251,'PRODUCT DATA'!$D$2:$D$394,0))),OR(NOT(ISNA(MATCH(IF(UPPER($M251)="UK","GB",$M251),'PRODUCT DATA'!$A$2:$A$58,0))),NOT(ISNA(MATCH(IF(UPPER($M251)="UK","GB",$M251),'PRODUCT DATA'!$B$2:$B$58,0)))),NOT(IFERROR(COUNTIF(OFFSET('PRODUCT DATA'!$F$2,0,MATCH($AC251,'PRODUCT DATA'!$F$1:$NN$1,0)-1,114,1),$N251)&gt;0,FALSE()))),IF(UPPER(IFERROR(OFFSET('PRODUCT DATA'!$C$2,MATCH($N251,'PRODUCT DATA'!$B$2:$B$58,0)-1,0),""))="NO","Alcohol Restriction; ","Item Code / Country combination; "),"")&amp;IF($C251="","Quantity; ","")&amp;IF(AND($C251&lt;&gt;"",OR(NOT(ISNUMBER($C251)),$C251&lt;1,$C251&gt;999,MOD($C251,1)&lt;&gt;0)),"Quantity; ","")&amp;IF($D251="","Recipient Name; ","")&amp;IF(LEN($D251)&gt;35,"Recipient Name; ","")&amp;IF($E251="","Recipient Phone; ","")&amp;IF(AND($E251&lt;&gt;"",OR(LEN($E251)&lt;6,LEN($E251)&gt;20,NOT(IFERROR(ISNUMBER(1*$E251),FALSE())))),"Recipient Phone; ","")&amp;IF(LEN($F251)&gt;35,"Recipient Company Name; ","")&amp;IF($G251="","Address Line 1; ","")&amp;IF(LEN($G251)&gt;35,"Address Line 1; ","")&amp;IF(LEN($H251)&gt;35,"Address Line 2; ","")&amp;IF(LEN($I251)&gt;35,"Address Line 3; ","")&amp;IF($J251="","Town; ","")&amp;IF(LEN($J251)&gt;35,"Town; ","")&amp;IF(AND($N251="IE",$K251=""),"County; ","")&amp;IF(LEN($AB251)&gt;35,"County; ","")&amp;IF(AND($L251="",AND($N251&lt;&gt;"AE",$N251&lt;&gt;"QA")),"Postcode; ","")&amp;IF(LEN($L251)&gt;35,"Postcode; ","")&amp;IF($AE251&lt;&gt;"","Postcode; ","")&amp;IF(LEN($O251)&gt;40,"Gift Message 1; ","")&amp;IF(LEN($P251)&gt;40,"Gift Message 2; ","")&amp;IF(LEN($Q251)&gt;40,"Gift Message 3; ","")&amp;IF(LEN($R251)&gt;40,"Gift Message 4; ","")&amp;IF(LEN($S251)&gt;40,"Gift Message 5; ","")&amp;IF(LEN($T251)&gt;40,"Gift Message 6; ","")&amp;IF(LEN($U251)&gt;40,"Gift Message 7; ",""))</f>
        <v/>
      </c>
      <c r="X251" s="44" t="str">
        <f ca="1">IF(COUNTA($A251,$D251:$M251,$O251:$U251)=0,"",IF($A251="","Enter the Item Code (hamper) - type it, paste it, or choose it from the dropdown. ","")&amp;IF(AND($A251&lt;&gt;"",ISNA(MATCH($AC251,'PRODUCT DATA'!$D$2:$D$394,0))),"This Item Code is not recognised. Check the code (case does not matter, but spelling and digits must match exactly) or choose it from the dropdown. ","")&amp;IF($M251="","Enter the Country after the Item Code - type or paste the name or the 2-letter code, or choose it from the dropdown. ","")&amp;IF(AND($M251&lt;&gt;"",NOT(OR(NOT(ISNA(MATCH(IF(UPPER($M251)="UK","GB",$M251),'PRODUCT DATA'!$A$2:$A$58,0))),NOT(ISNA(MATCH(IF(UPPER($M251)="UK","GB",$M251),'PRODUCT DATA'!$B$2:$B$58,0)))))),"This Country is not recognised as either a full name or a 2-letter code. Check the spelling (case does not matter) or choose it from the dropdown. ","")&amp;IF(AND($A251&lt;&gt;"",$M251&lt;&gt;"",NOT(ISNA(MATCH($AC251,'PRODUCT DATA'!$D$2:$D$394,0))),OR(NOT(ISNA(MATCH(IF(UPPER($M251)="UK","GB",$M251),'PRODUCT DATA'!$A$2:$A$58,0))),NOT(ISNA(MATCH(IF(UPPER($M251)="UK","GB",$M251),'PRODUCT DATA'!$B$2:$B$58,0)))),NOT(IFERROR(COUNTIF(OFFSET('PRODUCT DATA'!$F$2,0,MATCH($AC251,'PRODUCT DATA'!$F$1:$NN$1,0)-1,114,1),$N251)&gt;0,FALSE()))),IF(UPPER(IFERROR(OFFSET('PRODUCT DATA'!$C$2,MATCH($N251,'PRODUCT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"),"")&amp;IF($C251="","Enter Quantity. ","")&amp;IF(AND($C251&lt;&gt;"",OR(NOT(ISNUMBER($C251)),$C251&lt;1,$C251&gt;999,MOD($C251,1)&lt;&gt;0)),"Quantity must be a whole number from 1 to 999 (use a quantity above 1 only for a genuine bulk order of identical items to ONE address — otherwise use a separate row per recipient). ","")&amp;IF($D251="","Enter Recipient Name. ","")&amp;IF(LEN($D251)&gt;35,"Recipient Name exceeds 35 characters. ","")&amp;IF($E251="","Enter Recipient Phone. ","")&amp;IF(AND($E251&lt;&gt;"",OR(LEN($E251)&lt;6,LEN($E251)&gt;20,NOT(IFERROR(ISNUMBER(1*$E251),FALSE())))),"Phone must be the LOCAL number for the destination country: digits only, no +, spaces, or country code, 6 to 20 digits. ","")&amp;IF(LEN($F251)&gt;35,"Recipient Company Name exceeds 35 characters. ","")&amp;IF($G251="","Enter Address Line 1. ","")&amp;IF(LEN($G251)&gt;35,"Address Line 1 exceeds the 35-character SAP limit. ","")&amp;IF(LEN($H251)&gt;35,"Address Line 2 exceeds the 35-character SAP limit. ","")&amp;IF(LEN($I251)&gt;35,"Address Line 3 exceeds the 35-character SAP limit. ","")&amp;IF($J251="","Enter Town. This must never be left blank, even if there is no conventional town name. ","")&amp;IF(LEN($J251)&gt;35,"Town exceeds 35 characters. ","")&amp;IF(AND($N251="IE",$K251=""),"County is required for deliveries within the Republic of Ireland. ","")&amp;IF(LEN($AB251)&gt;35,"County exceeds 35 characters. ","")&amp;IF(AND($L251="",AND($N251&lt;&gt;"AE",$N251&lt;&gt;"QA")),"Postcode is required for the selected country. If there is genuinely no postcode, enter the first 3 characters of the area (e.g. D15). ","")&amp;IF(LEN($L251)&gt;35,"Postcode exceeds 35 characters. ","")&amp;IF($AE251&lt;&gt;"",$AE251,"")&amp;IF(LEN($O251)&gt;40,"Gift Message Line 1 exceeds 40 characters. ","")&amp;IF(LEN($P251)&gt;40,"Gift Message Line 2 exceeds 40 characters. ","")&amp;IF(LEN($Q251)&gt;40,"Gift Message Line 3 exceeds 40 characters. ","")&amp;IF(LEN($R251)&gt;40,"Gift Message Line 4 exceeds 40 characters. ","")&amp;IF(LEN($S251)&gt;40,"Gift Message Line 5 exceeds 40 characters. ","")&amp;IF(LEN($T251)&gt;40,"Gift Message Line 6 exceeds 40 characters. ","")&amp;IF(LEN($U251)&gt;40,"Gift Message Line 7 exceeds 40 characters. ",""))</f>
        <v/>
      </c>
      <c r="Y251" s="44" t="str">
        <f t="shared" si="13"/>
        <v/>
      </c>
      <c r="Z251" s="44"/>
      <c r="AA251" s="44"/>
      <c r="AB251" s="32" t="str">
        <f t="shared" si="14"/>
        <v/>
      </c>
      <c r="AC251" s="32" t="str">
        <f>IF($A251="","",IFERROR(LEFT(INDEX('PRODUCT DATA'!$NO$2:$NO$25,MATCH($A251,'PRODUCT DATA'!$NP$2:$NP$25,0)),FIND("|",INDEX('PRODUCT DATA'!$NO$2:$NO$25,MATCH($A251,'PRODUCT DATA'!$NP$2:$NP$25,0)))-1),$A251))</f>
        <v/>
      </c>
      <c r="AD251" s="45"/>
      <c r="AE251" s="45" t="str">
        <f t="shared" si="15"/>
        <v/>
      </c>
    </row>
    <row r="252" spans="1:31" ht="15" customHeight="1" x14ac:dyDescent="0.25">
      <c r="A252" s="40"/>
      <c r="B252" s="43" t="str">
        <f>IF($A252="","",IFERROR(VLOOKUP($AC252,'PRODUCT DATA'!$NR$2:$NS$374,2,FALSE()),"UNKNOWN ITEM CODE - please check"))</f>
        <v/>
      </c>
      <c r="C252" s="39">
        <v>1</v>
      </c>
      <c r="D252" s="39"/>
      <c r="E252" s="40"/>
      <c r="F252" s="41"/>
      <c r="G252" s="39"/>
      <c r="H252" s="41"/>
      <c r="I252" s="41"/>
      <c r="J252" s="39"/>
      <c r="K252" s="41"/>
      <c r="L252" s="40"/>
      <c r="M252" s="40"/>
      <c r="N252" s="42" t="str">
        <f>IF($M252="","",IFERROR(INDEX('PRODUCT DATA'!$B$2:$B$58,MATCH(IF(UPPER($M252)="UK","GB",$M252),'PRODUCT DATA'!$B$2:$B$58,0)),IFERROR(INDEX('PRODUCT DATA'!$B$2:$B$58,MATCH(IF(UPPER($M252)="UK","GB",$M252),'PRODUCT DATA'!$A$2:$A$58,0)),"UNKNOWN COUNTRY - please check")))</f>
        <v/>
      </c>
      <c r="O252" s="41"/>
      <c r="P252" s="41"/>
      <c r="Q252" s="41"/>
      <c r="R252" s="41"/>
      <c r="S252" s="41"/>
      <c r="T252" s="41"/>
      <c r="U252" s="41"/>
      <c r="V252" s="43" t="str">
        <f t="shared" si="12"/>
        <v/>
      </c>
      <c r="W252" s="44" t="str">
        <f ca="1">IF(COUNTA($A252,$D252:$M252,$O252:$U252)=0,"",IF($A252="","Item Code; ","")&amp;IF(AND($A252&lt;&gt;"",ISNA(MATCH($AC252,'PRODUCT DATA'!$D$2:$D$394,0))),"Item Code; ","")&amp;IF($M252="","Country; ","")&amp;IF(AND($M252&lt;&gt;"",NOT(OR(NOT(ISNA(MATCH(IF(UPPER($M252)="UK","GB",$M252),'PRODUCT DATA'!$A$2:$A$58,0))),NOT(ISNA(MATCH(IF(UPPER($M252)="UK","GB",$M252),'PRODUCT DATA'!$B$2:$B$58,0)))))),"Country; ","")&amp;IF(AND($A252&lt;&gt;"",$M252&lt;&gt;"",NOT(ISNA(MATCH($AC252,'PRODUCT DATA'!$D$2:$D$394,0))),OR(NOT(ISNA(MATCH(IF(UPPER($M252)="UK","GB",$M252),'PRODUCT DATA'!$A$2:$A$58,0))),NOT(ISNA(MATCH(IF(UPPER($M252)="UK","GB",$M252),'PRODUCT DATA'!$B$2:$B$58,0)))),NOT(IFERROR(COUNTIF(OFFSET('PRODUCT DATA'!$F$2,0,MATCH($AC252,'PRODUCT DATA'!$F$1:$NN$1,0)-1,114,1),$N252)&gt;0,FALSE()))),IF(UPPER(IFERROR(OFFSET('PRODUCT DATA'!$C$2,MATCH($N252,'PRODUCT DATA'!$B$2:$B$58,0)-1,0),""))="NO","Alcohol Restriction; ","Item Code / Country combination; "),"")&amp;IF($C252="","Quantity; ","")&amp;IF(AND($C252&lt;&gt;"",OR(NOT(ISNUMBER($C252)),$C252&lt;1,$C252&gt;999,MOD($C252,1)&lt;&gt;0)),"Quantity; ","")&amp;IF($D252="","Recipient Name; ","")&amp;IF(LEN($D252)&gt;35,"Recipient Name; ","")&amp;IF($E252="","Recipient Phone; ","")&amp;IF(AND($E252&lt;&gt;"",OR(LEN($E252)&lt;6,LEN($E252)&gt;20,NOT(IFERROR(ISNUMBER(1*$E252),FALSE())))),"Recipient Phone; ","")&amp;IF(LEN($F252)&gt;35,"Recipient Company Name; ","")&amp;IF($G252="","Address Line 1; ","")&amp;IF(LEN($G252)&gt;35,"Address Line 1; ","")&amp;IF(LEN($H252)&gt;35,"Address Line 2; ","")&amp;IF(LEN($I252)&gt;35,"Address Line 3; ","")&amp;IF($J252="","Town; ","")&amp;IF(LEN($J252)&gt;35,"Town; ","")&amp;IF(AND($N252="IE",$K252=""),"County; ","")&amp;IF(LEN($AB252)&gt;35,"County; ","")&amp;IF(AND($L252="",AND($N252&lt;&gt;"AE",$N252&lt;&gt;"QA")),"Postcode; ","")&amp;IF(LEN($L252)&gt;35,"Postcode; ","")&amp;IF($AE252&lt;&gt;"","Postcode; ","")&amp;IF(LEN($O252)&gt;40,"Gift Message 1; ","")&amp;IF(LEN($P252)&gt;40,"Gift Message 2; ","")&amp;IF(LEN($Q252)&gt;40,"Gift Message 3; ","")&amp;IF(LEN($R252)&gt;40,"Gift Message 4; ","")&amp;IF(LEN($S252)&gt;40,"Gift Message 5; ","")&amp;IF(LEN($T252)&gt;40,"Gift Message 6; ","")&amp;IF(LEN($U252)&gt;40,"Gift Message 7; ",""))</f>
        <v/>
      </c>
      <c r="X252" s="44" t="str">
        <f ca="1">IF(COUNTA($A252,$D252:$M252,$O252:$U252)=0,"",IF($A252="","Enter the Item Code (hamper) - type it, paste it, or choose it from the dropdown. ","")&amp;IF(AND($A252&lt;&gt;"",ISNA(MATCH($AC252,'PRODUCT DATA'!$D$2:$D$394,0))),"This Item Code is not recognised. Check the code (case does not matter, but spelling and digits must match exactly) or choose it from the dropdown. ","")&amp;IF($M252="","Enter the Country after the Item Code - type or paste the name or the 2-letter code, or choose it from the dropdown. ","")&amp;IF(AND($M252&lt;&gt;"",NOT(OR(NOT(ISNA(MATCH(IF(UPPER($M252)="UK","GB",$M252),'PRODUCT DATA'!$A$2:$A$58,0))),NOT(ISNA(MATCH(IF(UPPER($M252)="UK","GB",$M252),'PRODUCT DATA'!$B$2:$B$58,0)))))),"This Country is not recognised as either a full name or a 2-letter code. Check the spelling (case does not matter) or choose it from the dropdown. ","")&amp;IF(AND($A252&lt;&gt;"",$M252&lt;&gt;"",NOT(ISNA(MATCH($AC252,'PRODUCT DATA'!$D$2:$D$394,0))),OR(NOT(ISNA(MATCH(IF(UPPER($M252)="UK","GB",$M252),'PRODUCT DATA'!$A$2:$A$58,0))),NOT(ISNA(MATCH(IF(UPPER($M252)="UK","GB",$M252),'PRODUCT DATA'!$B$2:$B$58,0)))),NOT(IFERROR(COUNTIF(OFFSET('PRODUCT DATA'!$F$2,0,MATCH($AC252,'PRODUCT DATA'!$F$1:$NN$1,0)-1,114,1),$N252)&gt;0,FALSE()))),IF(UPPER(IFERROR(OFFSET('PRODUCT DATA'!$C$2,MATCH($N252,'PRODUCT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"),"")&amp;IF($C252="","Enter Quantity. ","")&amp;IF(AND($C252&lt;&gt;"",OR(NOT(ISNUMBER($C252)),$C252&lt;1,$C252&gt;999,MOD($C252,1)&lt;&gt;0)),"Quantity must be a whole number from 1 to 999 (use a quantity above 1 only for a genuine bulk order of identical items to ONE address — otherwise use a separate row per recipient). ","")&amp;IF($D252="","Enter Recipient Name. ","")&amp;IF(LEN($D252)&gt;35,"Recipient Name exceeds 35 characters. ","")&amp;IF($E252="","Enter Recipient Phone. ","")&amp;IF(AND($E252&lt;&gt;"",OR(LEN($E252)&lt;6,LEN($E252)&gt;20,NOT(IFERROR(ISNUMBER(1*$E252),FALSE())))),"Phone must be the LOCAL number for the destination country: digits only, no +, spaces, or country code, 6 to 20 digits. ","")&amp;IF(LEN($F252)&gt;35,"Recipient Company Name exceeds 35 characters. ","")&amp;IF($G252="","Enter Address Line 1. ","")&amp;IF(LEN($G252)&gt;35,"Address Line 1 exceeds the 35-character SAP limit. ","")&amp;IF(LEN($H252)&gt;35,"Address Line 2 exceeds the 35-character SAP limit. ","")&amp;IF(LEN($I252)&gt;35,"Address Line 3 exceeds the 35-character SAP limit. ","")&amp;IF($J252="","Enter Town. This must never be left blank, even if there is no conventional town name. ","")&amp;IF(LEN($J252)&gt;35,"Town exceeds 35 characters. ","")&amp;IF(AND($N252="IE",$K252=""),"County is required for deliveries within the Republic of Ireland. ","")&amp;IF(LEN($AB252)&gt;35,"County exceeds 35 characters. ","")&amp;IF(AND($L252="",AND($N252&lt;&gt;"AE",$N252&lt;&gt;"QA")),"Postcode is required for the selected country. If there is genuinely no postcode, enter the first 3 characters of the area (e.g. D15). ","")&amp;IF(LEN($L252)&gt;35,"Postcode exceeds 35 characters. ","")&amp;IF($AE252&lt;&gt;"",$AE252,"")&amp;IF(LEN($O252)&gt;40,"Gift Message Line 1 exceeds 40 characters. ","")&amp;IF(LEN($P252)&gt;40,"Gift Message Line 2 exceeds 40 characters. ","")&amp;IF(LEN($Q252)&gt;40,"Gift Message Line 3 exceeds 40 characters. ","")&amp;IF(LEN($R252)&gt;40,"Gift Message Line 4 exceeds 40 characters. ","")&amp;IF(LEN($S252)&gt;40,"Gift Message Line 5 exceeds 40 characters. ","")&amp;IF(LEN($T252)&gt;40,"Gift Message Line 6 exceeds 40 characters. ","")&amp;IF(LEN($U252)&gt;40,"Gift Message Line 7 exceeds 40 characters. ",""))</f>
        <v/>
      </c>
      <c r="Y252" s="44" t="str">
        <f t="shared" si="13"/>
        <v/>
      </c>
      <c r="Z252" s="44"/>
      <c r="AA252" s="44"/>
      <c r="AB252" s="32" t="str">
        <f t="shared" si="14"/>
        <v/>
      </c>
      <c r="AC252" s="32" t="str">
        <f>IF($A252="","",IFERROR(LEFT(INDEX('PRODUCT DATA'!$NO$2:$NO$25,MATCH($A252,'PRODUCT DATA'!$NP$2:$NP$25,0)),FIND("|",INDEX('PRODUCT DATA'!$NO$2:$NO$25,MATCH($A252,'PRODUCT DATA'!$NP$2:$NP$25,0)))-1),$A252))</f>
        <v/>
      </c>
      <c r="AD252" s="45"/>
      <c r="AE252" s="45" t="str">
        <f t="shared" si="15"/>
        <v/>
      </c>
    </row>
    <row r="253" spans="1:31" ht="15" customHeight="1" x14ac:dyDescent="0.25">
      <c r="A253" s="40"/>
      <c r="B253" s="43" t="str">
        <f>IF($A253="","",IFERROR(VLOOKUP($AC253,'PRODUCT DATA'!$NR$2:$NS$374,2,FALSE()),"UNKNOWN ITEM CODE - please check"))</f>
        <v/>
      </c>
      <c r="C253" s="39">
        <v>1</v>
      </c>
      <c r="D253" s="39"/>
      <c r="E253" s="40"/>
      <c r="F253" s="41"/>
      <c r="G253" s="39"/>
      <c r="H253" s="41"/>
      <c r="I253" s="41"/>
      <c r="J253" s="39"/>
      <c r="K253" s="41"/>
      <c r="L253" s="40"/>
      <c r="M253" s="40"/>
      <c r="N253" s="42" t="str">
        <f>IF($M253="","",IFERROR(INDEX('PRODUCT DATA'!$B$2:$B$58,MATCH(IF(UPPER($M253)="UK","GB",$M253),'PRODUCT DATA'!$B$2:$B$58,0)),IFERROR(INDEX('PRODUCT DATA'!$B$2:$B$58,MATCH(IF(UPPER($M253)="UK","GB",$M253),'PRODUCT DATA'!$A$2:$A$58,0)),"UNKNOWN COUNTRY - please check")))</f>
        <v/>
      </c>
      <c r="O253" s="41"/>
      <c r="P253" s="41"/>
      <c r="Q253" s="41"/>
      <c r="R253" s="41"/>
      <c r="S253" s="41"/>
      <c r="T253" s="41"/>
      <c r="U253" s="41"/>
      <c r="V253" s="43" t="str">
        <f t="shared" si="12"/>
        <v/>
      </c>
      <c r="W253" s="44" t="str">
        <f ca="1">IF(COUNTA($A253,$D253:$M253,$O253:$U253)=0,"",IF($A253="","Item Code; ","")&amp;IF(AND($A253&lt;&gt;"",ISNA(MATCH($AC253,'PRODUCT DATA'!$D$2:$D$394,0))),"Item Code; ","")&amp;IF($M253="","Country; ","")&amp;IF(AND($M253&lt;&gt;"",NOT(OR(NOT(ISNA(MATCH(IF(UPPER($M253)="UK","GB",$M253),'PRODUCT DATA'!$A$2:$A$58,0))),NOT(ISNA(MATCH(IF(UPPER($M253)="UK","GB",$M253),'PRODUCT DATA'!$B$2:$B$58,0)))))),"Country; ","")&amp;IF(AND($A253&lt;&gt;"",$M253&lt;&gt;"",NOT(ISNA(MATCH($AC253,'PRODUCT DATA'!$D$2:$D$394,0))),OR(NOT(ISNA(MATCH(IF(UPPER($M253)="UK","GB",$M253),'PRODUCT DATA'!$A$2:$A$58,0))),NOT(ISNA(MATCH(IF(UPPER($M253)="UK","GB",$M253),'PRODUCT DATA'!$B$2:$B$58,0)))),NOT(IFERROR(COUNTIF(OFFSET('PRODUCT DATA'!$F$2,0,MATCH($AC253,'PRODUCT DATA'!$F$1:$NN$1,0)-1,114,1),$N253)&gt;0,FALSE()))),IF(UPPER(IFERROR(OFFSET('PRODUCT DATA'!$C$2,MATCH($N253,'PRODUCT DATA'!$B$2:$B$58,0)-1,0),""))="NO","Alcohol Restriction; ","Item Code / Country combination; "),"")&amp;IF($C253="","Quantity; ","")&amp;IF(AND($C253&lt;&gt;"",OR(NOT(ISNUMBER($C253)),$C253&lt;1,$C253&gt;999,MOD($C253,1)&lt;&gt;0)),"Quantity; ","")&amp;IF($D253="","Recipient Name; ","")&amp;IF(LEN($D253)&gt;35,"Recipient Name; ","")&amp;IF($E253="","Recipient Phone; ","")&amp;IF(AND($E253&lt;&gt;"",OR(LEN($E253)&lt;6,LEN($E253)&gt;20,NOT(IFERROR(ISNUMBER(1*$E253),FALSE())))),"Recipient Phone; ","")&amp;IF(LEN($F253)&gt;35,"Recipient Company Name; ","")&amp;IF($G253="","Address Line 1; ","")&amp;IF(LEN($G253)&gt;35,"Address Line 1; ","")&amp;IF(LEN($H253)&gt;35,"Address Line 2; ","")&amp;IF(LEN($I253)&gt;35,"Address Line 3; ","")&amp;IF($J253="","Town; ","")&amp;IF(LEN($J253)&gt;35,"Town; ","")&amp;IF(AND($N253="IE",$K253=""),"County; ","")&amp;IF(LEN($AB253)&gt;35,"County; ","")&amp;IF(AND($L253="",AND($N253&lt;&gt;"AE",$N253&lt;&gt;"QA")),"Postcode; ","")&amp;IF(LEN($L253)&gt;35,"Postcode; ","")&amp;IF($AE253&lt;&gt;"","Postcode; ","")&amp;IF(LEN($O253)&gt;40,"Gift Message 1; ","")&amp;IF(LEN($P253)&gt;40,"Gift Message 2; ","")&amp;IF(LEN($Q253)&gt;40,"Gift Message 3; ","")&amp;IF(LEN($R253)&gt;40,"Gift Message 4; ","")&amp;IF(LEN($S253)&gt;40,"Gift Message 5; ","")&amp;IF(LEN($T253)&gt;40,"Gift Message 6; ","")&amp;IF(LEN($U253)&gt;40,"Gift Message 7; ",""))</f>
        <v/>
      </c>
      <c r="X253" s="44" t="str">
        <f ca="1">IF(COUNTA($A253,$D253:$M253,$O253:$U253)=0,"",IF($A253="","Enter the Item Code (hamper) - type it, paste it, or choose it from the dropdown. ","")&amp;IF(AND($A253&lt;&gt;"",ISNA(MATCH($AC253,'PRODUCT DATA'!$D$2:$D$394,0))),"This Item Code is not recognised. Check the code (case does not matter, but spelling and digits must match exactly) or choose it from the dropdown. ","")&amp;IF($M253="","Enter the Country after the Item Code - type or paste the name or the 2-letter code, or choose it from the dropdown. ","")&amp;IF(AND($M253&lt;&gt;"",NOT(OR(NOT(ISNA(MATCH(IF(UPPER($M253)="UK","GB",$M253),'PRODUCT DATA'!$A$2:$A$58,0))),NOT(ISNA(MATCH(IF(UPPER($M253)="UK","GB",$M253),'PRODUCT DATA'!$B$2:$B$58,0)))))),"This Country is not recognised as either a full name or a 2-letter code. Check the spelling (case does not matter) or choose it from the dropdown. ","")&amp;IF(AND($A253&lt;&gt;"",$M253&lt;&gt;"",NOT(ISNA(MATCH($AC253,'PRODUCT DATA'!$D$2:$D$394,0))),OR(NOT(ISNA(MATCH(IF(UPPER($M253)="UK","GB",$M253),'PRODUCT DATA'!$A$2:$A$58,0))),NOT(ISNA(MATCH(IF(UPPER($M253)="UK","GB",$M253),'PRODUCT DATA'!$B$2:$B$58,0)))),NOT(IFERROR(COUNTIF(OFFSET('PRODUCT DATA'!$F$2,0,MATCH($AC253,'PRODUCT DATA'!$F$1:$NN$1,0)-1,114,1),$N253)&gt;0,FALSE()))),IF(UPPER(IFERROR(OFFSET('PRODUCT DATA'!$C$2,MATCH($N253,'PRODUCT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"),"")&amp;IF($C253="","Enter Quantity. ","")&amp;IF(AND($C253&lt;&gt;"",OR(NOT(ISNUMBER($C253)),$C253&lt;1,$C253&gt;999,MOD($C253,1)&lt;&gt;0)),"Quantity must be a whole number from 1 to 999 (use a quantity above 1 only for a genuine bulk order of identical items to ONE address — otherwise use a separate row per recipient). ","")&amp;IF($D253="","Enter Recipient Name. ","")&amp;IF(LEN($D253)&gt;35,"Recipient Name exceeds 35 characters. ","")&amp;IF($E253="","Enter Recipient Phone. ","")&amp;IF(AND($E253&lt;&gt;"",OR(LEN($E253)&lt;6,LEN($E253)&gt;20,NOT(IFERROR(ISNUMBER(1*$E253),FALSE())))),"Phone must be the LOCAL number for the destination country: digits only, no +, spaces, or country code, 6 to 20 digits. ","")&amp;IF(LEN($F253)&gt;35,"Recipient Company Name exceeds 35 characters. ","")&amp;IF($G253="","Enter Address Line 1. ","")&amp;IF(LEN($G253)&gt;35,"Address Line 1 exceeds the 35-character SAP limit. ","")&amp;IF(LEN($H253)&gt;35,"Address Line 2 exceeds the 35-character SAP limit. ","")&amp;IF(LEN($I253)&gt;35,"Address Line 3 exceeds the 35-character SAP limit. ","")&amp;IF($J253="","Enter Town. This must never be left blank, even if there is no conventional town name. ","")&amp;IF(LEN($J253)&gt;35,"Town exceeds 35 characters. ","")&amp;IF(AND($N253="IE",$K253=""),"County is required for deliveries within the Republic of Ireland. ","")&amp;IF(LEN($AB253)&gt;35,"County exceeds 35 characters. ","")&amp;IF(AND($L253="",AND($N253&lt;&gt;"AE",$N253&lt;&gt;"QA")),"Postcode is required for the selected country. If there is genuinely no postcode, enter the first 3 characters of the area (e.g. D15). ","")&amp;IF(LEN($L253)&gt;35,"Postcode exceeds 35 characters. ","")&amp;IF($AE253&lt;&gt;"",$AE253,"")&amp;IF(LEN($O253)&gt;40,"Gift Message Line 1 exceeds 40 characters. ","")&amp;IF(LEN($P253)&gt;40,"Gift Message Line 2 exceeds 40 characters. ","")&amp;IF(LEN($Q253)&gt;40,"Gift Message Line 3 exceeds 40 characters. ","")&amp;IF(LEN($R253)&gt;40,"Gift Message Line 4 exceeds 40 characters. ","")&amp;IF(LEN($S253)&gt;40,"Gift Message Line 5 exceeds 40 characters. ","")&amp;IF(LEN($T253)&gt;40,"Gift Message Line 6 exceeds 40 characters. ","")&amp;IF(LEN($U253)&gt;40,"Gift Message Line 7 exceeds 40 characters. ",""))</f>
        <v/>
      </c>
      <c r="Y253" s="44" t="str">
        <f t="shared" si="13"/>
        <v/>
      </c>
      <c r="Z253" s="44"/>
      <c r="AA253" s="44"/>
      <c r="AB253" s="32" t="str">
        <f t="shared" si="14"/>
        <v/>
      </c>
      <c r="AC253" s="32" t="str">
        <f>IF($A253="","",IFERROR(LEFT(INDEX('PRODUCT DATA'!$NO$2:$NO$25,MATCH($A253,'PRODUCT DATA'!$NP$2:$NP$25,0)),FIND("|",INDEX('PRODUCT DATA'!$NO$2:$NO$25,MATCH($A253,'PRODUCT DATA'!$NP$2:$NP$25,0)))-1),$A253))</f>
        <v/>
      </c>
      <c r="AD253" s="45"/>
      <c r="AE253" s="45" t="str">
        <f t="shared" si="15"/>
        <v/>
      </c>
    </row>
    <row r="254" spans="1:31" ht="15" customHeight="1" x14ac:dyDescent="0.25">
      <c r="A254" s="40"/>
      <c r="B254" s="43" t="str">
        <f>IF($A254="","",IFERROR(VLOOKUP($AC254,'PRODUCT DATA'!$NR$2:$NS$374,2,FALSE()),"UNKNOWN ITEM CODE - please check"))</f>
        <v/>
      </c>
      <c r="C254" s="39">
        <v>1</v>
      </c>
      <c r="D254" s="39"/>
      <c r="E254" s="40"/>
      <c r="F254" s="41"/>
      <c r="G254" s="39"/>
      <c r="H254" s="41"/>
      <c r="I254" s="41"/>
      <c r="J254" s="39"/>
      <c r="K254" s="41"/>
      <c r="L254" s="40"/>
      <c r="M254" s="40"/>
      <c r="N254" s="42" t="str">
        <f>IF($M254="","",IFERROR(INDEX('PRODUCT DATA'!$B$2:$B$58,MATCH(IF(UPPER($M254)="UK","GB",$M254),'PRODUCT DATA'!$B$2:$B$58,0)),IFERROR(INDEX('PRODUCT DATA'!$B$2:$B$58,MATCH(IF(UPPER($M254)="UK","GB",$M254),'PRODUCT DATA'!$A$2:$A$58,0)),"UNKNOWN COUNTRY - please check")))</f>
        <v/>
      </c>
      <c r="O254" s="41"/>
      <c r="P254" s="41"/>
      <c r="Q254" s="41"/>
      <c r="R254" s="41"/>
      <c r="S254" s="41"/>
      <c r="T254" s="41"/>
      <c r="U254" s="41"/>
      <c r="V254" s="43" t="str">
        <f t="shared" si="12"/>
        <v/>
      </c>
      <c r="W254" s="44" t="str">
        <f ca="1">IF(COUNTA($A254,$D254:$M254,$O254:$U254)=0,"",IF($A254="","Item Code; ","")&amp;IF(AND($A254&lt;&gt;"",ISNA(MATCH($AC254,'PRODUCT DATA'!$D$2:$D$394,0))),"Item Code; ","")&amp;IF($M254="","Country; ","")&amp;IF(AND($M254&lt;&gt;"",NOT(OR(NOT(ISNA(MATCH(IF(UPPER($M254)="UK","GB",$M254),'PRODUCT DATA'!$A$2:$A$58,0))),NOT(ISNA(MATCH(IF(UPPER($M254)="UK","GB",$M254),'PRODUCT DATA'!$B$2:$B$58,0)))))),"Country; ","")&amp;IF(AND($A254&lt;&gt;"",$M254&lt;&gt;"",NOT(ISNA(MATCH($AC254,'PRODUCT DATA'!$D$2:$D$394,0))),OR(NOT(ISNA(MATCH(IF(UPPER($M254)="UK","GB",$M254),'PRODUCT DATA'!$A$2:$A$58,0))),NOT(ISNA(MATCH(IF(UPPER($M254)="UK","GB",$M254),'PRODUCT DATA'!$B$2:$B$58,0)))),NOT(IFERROR(COUNTIF(OFFSET('PRODUCT DATA'!$F$2,0,MATCH($AC254,'PRODUCT DATA'!$F$1:$NN$1,0)-1,114,1),$N254)&gt;0,FALSE()))),IF(UPPER(IFERROR(OFFSET('PRODUCT DATA'!$C$2,MATCH($N254,'PRODUCT DATA'!$B$2:$B$58,0)-1,0),""))="NO","Alcohol Restriction; ","Item Code / Country combination; "),"")&amp;IF($C254="","Quantity; ","")&amp;IF(AND($C254&lt;&gt;"",OR(NOT(ISNUMBER($C254)),$C254&lt;1,$C254&gt;999,MOD($C254,1)&lt;&gt;0)),"Quantity; ","")&amp;IF($D254="","Recipient Name; ","")&amp;IF(LEN($D254)&gt;35,"Recipient Name; ","")&amp;IF($E254="","Recipient Phone; ","")&amp;IF(AND($E254&lt;&gt;"",OR(LEN($E254)&lt;6,LEN($E254)&gt;20,NOT(IFERROR(ISNUMBER(1*$E254),FALSE())))),"Recipient Phone; ","")&amp;IF(LEN($F254)&gt;35,"Recipient Company Name; ","")&amp;IF($G254="","Address Line 1; ","")&amp;IF(LEN($G254)&gt;35,"Address Line 1; ","")&amp;IF(LEN($H254)&gt;35,"Address Line 2; ","")&amp;IF(LEN($I254)&gt;35,"Address Line 3; ","")&amp;IF($J254="","Town; ","")&amp;IF(LEN($J254)&gt;35,"Town; ","")&amp;IF(AND($N254="IE",$K254=""),"County; ","")&amp;IF(LEN($AB254)&gt;35,"County; ","")&amp;IF(AND($L254="",AND($N254&lt;&gt;"AE",$N254&lt;&gt;"QA")),"Postcode; ","")&amp;IF(LEN($L254)&gt;35,"Postcode; ","")&amp;IF($AE254&lt;&gt;"","Postcode; ","")&amp;IF(LEN($O254)&gt;40,"Gift Message 1; ","")&amp;IF(LEN($P254)&gt;40,"Gift Message 2; ","")&amp;IF(LEN($Q254)&gt;40,"Gift Message 3; ","")&amp;IF(LEN($R254)&gt;40,"Gift Message 4; ","")&amp;IF(LEN($S254)&gt;40,"Gift Message 5; ","")&amp;IF(LEN($T254)&gt;40,"Gift Message 6; ","")&amp;IF(LEN($U254)&gt;40,"Gift Message 7; ",""))</f>
        <v/>
      </c>
      <c r="X254" s="44" t="str">
        <f ca="1">IF(COUNTA($A254,$D254:$M254,$O254:$U254)=0,"",IF($A254="","Enter the Item Code (hamper) - type it, paste it, or choose it from the dropdown. ","")&amp;IF(AND($A254&lt;&gt;"",ISNA(MATCH($AC254,'PRODUCT DATA'!$D$2:$D$394,0))),"This Item Code is not recognised. Check the code (case does not matter, but spelling and digits must match exactly) or choose it from the dropdown. ","")&amp;IF($M254="","Enter the Country after the Item Code - type or paste the name or the 2-letter code, or choose it from the dropdown. ","")&amp;IF(AND($M254&lt;&gt;"",NOT(OR(NOT(ISNA(MATCH(IF(UPPER($M254)="UK","GB",$M254),'PRODUCT DATA'!$A$2:$A$58,0))),NOT(ISNA(MATCH(IF(UPPER($M254)="UK","GB",$M254),'PRODUCT DATA'!$B$2:$B$58,0)))))),"This Country is not recognised as either a full name or a 2-letter code. Check the spelling (case does not matter) or choose it from the dropdown. ","")&amp;IF(AND($A254&lt;&gt;"",$M254&lt;&gt;"",NOT(ISNA(MATCH($AC254,'PRODUCT DATA'!$D$2:$D$394,0))),OR(NOT(ISNA(MATCH(IF(UPPER($M254)="UK","GB",$M254),'PRODUCT DATA'!$A$2:$A$58,0))),NOT(ISNA(MATCH(IF(UPPER($M254)="UK","GB",$M254),'PRODUCT DATA'!$B$2:$B$58,0)))),NOT(IFERROR(COUNTIF(OFFSET('PRODUCT DATA'!$F$2,0,MATCH($AC254,'PRODUCT DATA'!$F$1:$NN$1,0)-1,114,1),$N254)&gt;0,FALSE()))),IF(UPPER(IFERROR(OFFSET('PRODUCT DATA'!$C$2,MATCH($N254,'PRODUCT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"),"")&amp;IF($C254="","Enter Quantity. ","")&amp;IF(AND($C254&lt;&gt;"",OR(NOT(ISNUMBER($C254)),$C254&lt;1,$C254&gt;999,MOD($C254,1)&lt;&gt;0)),"Quantity must be a whole number from 1 to 999 (use a quantity above 1 only for a genuine bulk order of identical items to ONE address — otherwise use a separate row per recipient). ","")&amp;IF($D254="","Enter Recipient Name. ","")&amp;IF(LEN($D254)&gt;35,"Recipient Name exceeds 35 characters. ","")&amp;IF($E254="","Enter Recipient Phone. ","")&amp;IF(AND($E254&lt;&gt;"",OR(LEN($E254)&lt;6,LEN($E254)&gt;20,NOT(IFERROR(ISNUMBER(1*$E254),FALSE())))),"Phone must be the LOCAL number for the destination country: digits only, no +, spaces, or country code, 6 to 20 digits. ","")&amp;IF(LEN($F254)&gt;35,"Recipient Company Name exceeds 35 characters. ","")&amp;IF($G254="","Enter Address Line 1. ","")&amp;IF(LEN($G254)&gt;35,"Address Line 1 exceeds the 35-character SAP limit. ","")&amp;IF(LEN($H254)&gt;35,"Address Line 2 exceeds the 35-character SAP limit. ","")&amp;IF(LEN($I254)&gt;35,"Address Line 3 exceeds the 35-character SAP limit. ","")&amp;IF($J254="","Enter Town. This must never be left blank, even if there is no conventional town name. ","")&amp;IF(LEN($J254)&gt;35,"Town exceeds 35 characters. ","")&amp;IF(AND($N254="IE",$K254=""),"County is required for deliveries within the Republic of Ireland. ","")&amp;IF(LEN($AB254)&gt;35,"County exceeds 35 characters. ","")&amp;IF(AND($L254="",AND($N254&lt;&gt;"AE",$N254&lt;&gt;"QA")),"Postcode is required for the selected country. If there is genuinely no postcode, enter the first 3 characters of the area (e.g. D15). ","")&amp;IF(LEN($L254)&gt;35,"Postcode exceeds 35 characters. ","")&amp;IF($AE254&lt;&gt;"",$AE254,"")&amp;IF(LEN($O254)&gt;40,"Gift Message Line 1 exceeds 40 characters. ","")&amp;IF(LEN($P254)&gt;40,"Gift Message Line 2 exceeds 40 characters. ","")&amp;IF(LEN($Q254)&gt;40,"Gift Message Line 3 exceeds 40 characters. ","")&amp;IF(LEN($R254)&gt;40,"Gift Message Line 4 exceeds 40 characters. ","")&amp;IF(LEN($S254)&gt;40,"Gift Message Line 5 exceeds 40 characters. ","")&amp;IF(LEN($T254)&gt;40,"Gift Message Line 6 exceeds 40 characters. ","")&amp;IF(LEN($U254)&gt;40,"Gift Message Line 7 exceeds 40 characters. ",""))</f>
        <v/>
      </c>
      <c r="Y254" s="44" t="str">
        <f t="shared" si="13"/>
        <v/>
      </c>
      <c r="Z254" s="44"/>
      <c r="AA254" s="44"/>
      <c r="AB254" s="32" t="str">
        <f t="shared" si="14"/>
        <v/>
      </c>
      <c r="AC254" s="32" t="str">
        <f>IF($A254="","",IFERROR(LEFT(INDEX('PRODUCT DATA'!$NO$2:$NO$25,MATCH($A254,'PRODUCT DATA'!$NP$2:$NP$25,0)),FIND("|",INDEX('PRODUCT DATA'!$NO$2:$NO$25,MATCH($A254,'PRODUCT DATA'!$NP$2:$NP$25,0)))-1),$A254))</f>
        <v/>
      </c>
      <c r="AD254" s="45"/>
      <c r="AE254" s="45" t="str">
        <f t="shared" si="15"/>
        <v/>
      </c>
    </row>
    <row r="255" spans="1:31" ht="15" customHeight="1" x14ac:dyDescent="0.25">
      <c r="A255" s="40"/>
      <c r="B255" s="43" t="str">
        <f>IF($A255="","",IFERROR(VLOOKUP($AC255,'PRODUCT DATA'!$NR$2:$NS$374,2,FALSE()),"UNKNOWN ITEM CODE - please check"))</f>
        <v/>
      </c>
      <c r="C255" s="39">
        <v>1</v>
      </c>
      <c r="D255" s="39"/>
      <c r="E255" s="40"/>
      <c r="F255" s="41"/>
      <c r="G255" s="39"/>
      <c r="H255" s="41"/>
      <c r="I255" s="41"/>
      <c r="J255" s="39"/>
      <c r="K255" s="41"/>
      <c r="L255" s="40"/>
      <c r="M255" s="40"/>
      <c r="N255" s="42" t="str">
        <f>IF($M255="","",IFERROR(INDEX('PRODUCT DATA'!$B$2:$B$58,MATCH(IF(UPPER($M255)="UK","GB",$M255),'PRODUCT DATA'!$B$2:$B$58,0)),IFERROR(INDEX('PRODUCT DATA'!$B$2:$B$58,MATCH(IF(UPPER($M255)="UK","GB",$M255),'PRODUCT DATA'!$A$2:$A$58,0)),"UNKNOWN COUNTRY - please check")))</f>
        <v/>
      </c>
      <c r="O255" s="41"/>
      <c r="P255" s="41"/>
      <c r="Q255" s="41"/>
      <c r="R255" s="41"/>
      <c r="S255" s="41"/>
      <c r="T255" s="41"/>
      <c r="U255" s="41"/>
      <c r="V255" s="43" t="str">
        <f t="shared" si="12"/>
        <v/>
      </c>
      <c r="W255" s="44" t="str">
        <f ca="1">IF(COUNTA($A255,$D255:$M255,$O255:$U255)=0,"",IF($A255="","Item Code; ","")&amp;IF(AND($A255&lt;&gt;"",ISNA(MATCH($AC255,'PRODUCT DATA'!$D$2:$D$394,0))),"Item Code; ","")&amp;IF($M255="","Country; ","")&amp;IF(AND($M255&lt;&gt;"",NOT(OR(NOT(ISNA(MATCH(IF(UPPER($M255)="UK","GB",$M255),'PRODUCT DATA'!$A$2:$A$58,0))),NOT(ISNA(MATCH(IF(UPPER($M255)="UK","GB",$M255),'PRODUCT DATA'!$B$2:$B$58,0)))))),"Country; ","")&amp;IF(AND($A255&lt;&gt;"",$M255&lt;&gt;"",NOT(ISNA(MATCH($AC255,'PRODUCT DATA'!$D$2:$D$394,0))),OR(NOT(ISNA(MATCH(IF(UPPER($M255)="UK","GB",$M255),'PRODUCT DATA'!$A$2:$A$58,0))),NOT(ISNA(MATCH(IF(UPPER($M255)="UK","GB",$M255),'PRODUCT DATA'!$B$2:$B$58,0)))),NOT(IFERROR(COUNTIF(OFFSET('PRODUCT DATA'!$F$2,0,MATCH($AC255,'PRODUCT DATA'!$F$1:$NN$1,0)-1,114,1),$N255)&gt;0,FALSE()))),IF(UPPER(IFERROR(OFFSET('PRODUCT DATA'!$C$2,MATCH($N255,'PRODUCT DATA'!$B$2:$B$58,0)-1,0),""))="NO","Alcohol Restriction; ","Item Code / Country combination; "),"")&amp;IF($C255="","Quantity; ","")&amp;IF(AND($C255&lt;&gt;"",OR(NOT(ISNUMBER($C255)),$C255&lt;1,$C255&gt;999,MOD($C255,1)&lt;&gt;0)),"Quantity; ","")&amp;IF($D255="","Recipient Name; ","")&amp;IF(LEN($D255)&gt;35,"Recipient Name; ","")&amp;IF($E255="","Recipient Phone; ","")&amp;IF(AND($E255&lt;&gt;"",OR(LEN($E255)&lt;6,LEN($E255)&gt;20,NOT(IFERROR(ISNUMBER(1*$E255),FALSE())))),"Recipient Phone; ","")&amp;IF(LEN($F255)&gt;35,"Recipient Company Name; ","")&amp;IF($G255="","Address Line 1; ","")&amp;IF(LEN($G255)&gt;35,"Address Line 1; ","")&amp;IF(LEN($H255)&gt;35,"Address Line 2; ","")&amp;IF(LEN($I255)&gt;35,"Address Line 3; ","")&amp;IF($J255="","Town; ","")&amp;IF(LEN($J255)&gt;35,"Town; ","")&amp;IF(AND($N255="IE",$K255=""),"County; ","")&amp;IF(LEN($AB255)&gt;35,"County; ","")&amp;IF(AND($L255="",AND($N255&lt;&gt;"AE",$N255&lt;&gt;"QA")),"Postcode; ","")&amp;IF(LEN($L255)&gt;35,"Postcode; ","")&amp;IF($AE255&lt;&gt;"","Postcode; ","")&amp;IF(LEN($O255)&gt;40,"Gift Message 1; ","")&amp;IF(LEN($P255)&gt;40,"Gift Message 2; ","")&amp;IF(LEN($Q255)&gt;40,"Gift Message 3; ","")&amp;IF(LEN($R255)&gt;40,"Gift Message 4; ","")&amp;IF(LEN($S255)&gt;40,"Gift Message 5; ","")&amp;IF(LEN($T255)&gt;40,"Gift Message 6; ","")&amp;IF(LEN($U255)&gt;40,"Gift Message 7; ",""))</f>
        <v/>
      </c>
      <c r="X255" s="44" t="str">
        <f ca="1">IF(COUNTA($A255,$D255:$M255,$O255:$U255)=0,"",IF($A255="","Enter the Item Code (hamper) - type it, paste it, or choose it from the dropdown. ","")&amp;IF(AND($A255&lt;&gt;"",ISNA(MATCH($AC255,'PRODUCT DATA'!$D$2:$D$394,0))),"This Item Code is not recognised. Check the code (case does not matter, but spelling and digits must match exactly) or choose it from the dropdown. ","")&amp;IF($M255="","Enter the Country after the Item Code - type or paste the name or the 2-letter code, or choose it from the dropdown. ","")&amp;IF(AND($M255&lt;&gt;"",NOT(OR(NOT(ISNA(MATCH(IF(UPPER($M255)="UK","GB",$M255),'PRODUCT DATA'!$A$2:$A$58,0))),NOT(ISNA(MATCH(IF(UPPER($M255)="UK","GB",$M255),'PRODUCT DATA'!$B$2:$B$58,0)))))),"This Country is not recognised as either a full name or a 2-letter code. Check the spelling (case does not matter) or choose it from the dropdown. ","")&amp;IF(AND($A255&lt;&gt;"",$M255&lt;&gt;"",NOT(ISNA(MATCH($AC255,'PRODUCT DATA'!$D$2:$D$394,0))),OR(NOT(ISNA(MATCH(IF(UPPER($M255)="UK","GB",$M255),'PRODUCT DATA'!$A$2:$A$58,0))),NOT(ISNA(MATCH(IF(UPPER($M255)="UK","GB",$M255),'PRODUCT DATA'!$B$2:$B$58,0)))),NOT(IFERROR(COUNTIF(OFFSET('PRODUCT DATA'!$F$2,0,MATCH($AC255,'PRODUCT DATA'!$F$1:$NN$1,0)-1,114,1),$N255)&gt;0,FALSE()))),IF(UPPER(IFERROR(OFFSET('PRODUCT DATA'!$C$2,MATCH($N255,'PRODUCT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"),"")&amp;IF($C255="","Enter Quantity. ","")&amp;IF(AND($C255&lt;&gt;"",OR(NOT(ISNUMBER($C255)),$C255&lt;1,$C255&gt;999,MOD($C255,1)&lt;&gt;0)),"Quantity must be a whole number from 1 to 999 (use a quantity above 1 only for a genuine bulk order of identical items to ONE address — otherwise use a separate row per recipient). ","")&amp;IF($D255="","Enter Recipient Name. ","")&amp;IF(LEN($D255)&gt;35,"Recipient Name exceeds 35 characters. ","")&amp;IF($E255="","Enter Recipient Phone. ","")&amp;IF(AND($E255&lt;&gt;"",OR(LEN($E255)&lt;6,LEN($E255)&gt;20,NOT(IFERROR(ISNUMBER(1*$E255),FALSE())))),"Phone must be the LOCAL number for the destination country: digits only, no +, spaces, or country code, 6 to 20 digits. ","")&amp;IF(LEN($F255)&gt;35,"Recipient Company Name exceeds 35 characters. ","")&amp;IF($G255="","Enter Address Line 1. ","")&amp;IF(LEN($G255)&gt;35,"Address Line 1 exceeds the 35-character SAP limit. ","")&amp;IF(LEN($H255)&gt;35,"Address Line 2 exceeds the 35-character SAP limit. ","")&amp;IF(LEN($I255)&gt;35,"Address Line 3 exceeds the 35-character SAP limit. ","")&amp;IF($J255="","Enter Town. This must never be left blank, even if there is no conventional town name. ","")&amp;IF(LEN($J255)&gt;35,"Town exceeds 35 characters. ","")&amp;IF(AND($N255="IE",$K255=""),"County is required for deliveries within the Republic of Ireland. ","")&amp;IF(LEN($AB255)&gt;35,"County exceeds 35 characters. ","")&amp;IF(AND($L255="",AND($N255&lt;&gt;"AE",$N255&lt;&gt;"QA")),"Postcode is required for the selected country. If there is genuinely no postcode, enter the first 3 characters of the area (e.g. D15). ","")&amp;IF(LEN($L255)&gt;35,"Postcode exceeds 35 characters. ","")&amp;IF($AE255&lt;&gt;"",$AE255,"")&amp;IF(LEN($O255)&gt;40,"Gift Message Line 1 exceeds 40 characters. ","")&amp;IF(LEN($P255)&gt;40,"Gift Message Line 2 exceeds 40 characters. ","")&amp;IF(LEN($Q255)&gt;40,"Gift Message Line 3 exceeds 40 characters. ","")&amp;IF(LEN($R255)&gt;40,"Gift Message Line 4 exceeds 40 characters. ","")&amp;IF(LEN($S255)&gt;40,"Gift Message Line 5 exceeds 40 characters. ","")&amp;IF(LEN($T255)&gt;40,"Gift Message Line 6 exceeds 40 characters. ","")&amp;IF(LEN($U255)&gt;40,"Gift Message Line 7 exceeds 40 characters. ",""))</f>
        <v/>
      </c>
      <c r="Y255" s="44" t="str">
        <f t="shared" si="13"/>
        <v/>
      </c>
      <c r="Z255" s="44"/>
      <c r="AA255" s="44"/>
      <c r="AB255" s="32" t="str">
        <f t="shared" si="14"/>
        <v/>
      </c>
      <c r="AC255" s="32" t="str">
        <f>IF($A255="","",IFERROR(LEFT(INDEX('PRODUCT DATA'!$NO$2:$NO$25,MATCH($A255,'PRODUCT DATA'!$NP$2:$NP$25,0)),FIND("|",INDEX('PRODUCT DATA'!$NO$2:$NO$25,MATCH($A255,'PRODUCT DATA'!$NP$2:$NP$25,0)))-1),$A255))</f>
        <v/>
      </c>
      <c r="AD255" s="45"/>
      <c r="AE255" s="45" t="str">
        <f t="shared" si="15"/>
        <v/>
      </c>
    </row>
    <row r="256" spans="1:31" ht="15" customHeight="1" x14ac:dyDescent="0.25">
      <c r="A256" s="40"/>
      <c r="B256" s="43" t="str">
        <f>IF($A256="","",IFERROR(VLOOKUP($AC256,'PRODUCT DATA'!$NR$2:$NS$374,2,FALSE()),"UNKNOWN ITEM CODE - please check"))</f>
        <v/>
      </c>
      <c r="C256" s="39">
        <v>1</v>
      </c>
      <c r="D256" s="39"/>
      <c r="E256" s="40"/>
      <c r="F256" s="41"/>
      <c r="G256" s="39"/>
      <c r="H256" s="41"/>
      <c r="I256" s="41"/>
      <c r="J256" s="39"/>
      <c r="K256" s="41"/>
      <c r="L256" s="40"/>
      <c r="M256" s="40"/>
      <c r="N256" s="42" t="str">
        <f>IF($M256="","",IFERROR(INDEX('PRODUCT DATA'!$B$2:$B$58,MATCH(IF(UPPER($M256)="UK","GB",$M256),'PRODUCT DATA'!$B$2:$B$58,0)),IFERROR(INDEX('PRODUCT DATA'!$B$2:$B$58,MATCH(IF(UPPER($M256)="UK","GB",$M256),'PRODUCT DATA'!$A$2:$A$58,0)),"UNKNOWN COUNTRY - please check")))</f>
        <v/>
      </c>
      <c r="O256" s="41"/>
      <c r="P256" s="41"/>
      <c r="Q256" s="41"/>
      <c r="R256" s="41"/>
      <c r="S256" s="41"/>
      <c r="T256" s="41"/>
      <c r="U256" s="41"/>
      <c r="V256" s="43" t="str">
        <f t="shared" si="12"/>
        <v/>
      </c>
      <c r="W256" s="44" t="str">
        <f ca="1">IF(COUNTA($A256,$D256:$M256,$O256:$U256)=0,"",IF($A256="","Item Code; ","")&amp;IF(AND($A256&lt;&gt;"",ISNA(MATCH($AC256,'PRODUCT DATA'!$D$2:$D$394,0))),"Item Code; ","")&amp;IF($M256="","Country; ","")&amp;IF(AND($M256&lt;&gt;"",NOT(OR(NOT(ISNA(MATCH(IF(UPPER($M256)="UK","GB",$M256),'PRODUCT DATA'!$A$2:$A$58,0))),NOT(ISNA(MATCH(IF(UPPER($M256)="UK","GB",$M256),'PRODUCT DATA'!$B$2:$B$58,0)))))),"Country; ","")&amp;IF(AND($A256&lt;&gt;"",$M256&lt;&gt;"",NOT(ISNA(MATCH($AC256,'PRODUCT DATA'!$D$2:$D$394,0))),OR(NOT(ISNA(MATCH(IF(UPPER($M256)="UK","GB",$M256),'PRODUCT DATA'!$A$2:$A$58,0))),NOT(ISNA(MATCH(IF(UPPER($M256)="UK","GB",$M256),'PRODUCT DATA'!$B$2:$B$58,0)))),NOT(IFERROR(COUNTIF(OFFSET('PRODUCT DATA'!$F$2,0,MATCH($AC256,'PRODUCT DATA'!$F$1:$NN$1,0)-1,114,1),$N256)&gt;0,FALSE()))),IF(UPPER(IFERROR(OFFSET('PRODUCT DATA'!$C$2,MATCH($N256,'PRODUCT DATA'!$B$2:$B$58,0)-1,0),""))="NO","Alcohol Restriction; ","Item Code / Country combination; "),"")&amp;IF($C256="","Quantity; ","")&amp;IF(AND($C256&lt;&gt;"",OR(NOT(ISNUMBER($C256)),$C256&lt;1,$C256&gt;999,MOD($C256,1)&lt;&gt;0)),"Quantity; ","")&amp;IF($D256="","Recipient Name; ","")&amp;IF(LEN($D256)&gt;35,"Recipient Name; ","")&amp;IF($E256="","Recipient Phone; ","")&amp;IF(AND($E256&lt;&gt;"",OR(LEN($E256)&lt;6,LEN($E256)&gt;20,NOT(IFERROR(ISNUMBER(1*$E256),FALSE())))),"Recipient Phone; ","")&amp;IF(LEN($F256)&gt;35,"Recipient Company Name; ","")&amp;IF($G256="","Address Line 1; ","")&amp;IF(LEN($G256)&gt;35,"Address Line 1; ","")&amp;IF(LEN($H256)&gt;35,"Address Line 2; ","")&amp;IF(LEN($I256)&gt;35,"Address Line 3; ","")&amp;IF($J256="","Town; ","")&amp;IF(LEN($J256)&gt;35,"Town; ","")&amp;IF(AND($N256="IE",$K256=""),"County; ","")&amp;IF(LEN($AB256)&gt;35,"County; ","")&amp;IF(AND($L256="",AND($N256&lt;&gt;"AE",$N256&lt;&gt;"QA")),"Postcode; ","")&amp;IF(LEN($L256)&gt;35,"Postcode; ","")&amp;IF($AE256&lt;&gt;"","Postcode; ","")&amp;IF(LEN($O256)&gt;40,"Gift Message 1; ","")&amp;IF(LEN($P256)&gt;40,"Gift Message 2; ","")&amp;IF(LEN($Q256)&gt;40,"Gift Message 3; ","")&amp;IF(LEN($R256)&gt;40,"Gift Message 4; ","")&amp;IF(LEN($S256)&gt;40,"Gift Message 5; ","")&amp;IF(LEN($T256)&gt;40,"Gift Message 6; ","")&amp;IF(LEN($U256)&gt;40,"Gift Message 7; ",""))</f>
        <v/>
      </c>
      <c r="X256" s="44" t="str">
        <f ca="1">IF(COUNTA($A256,$D256:$M256,$O256:$U256)=0,"",IF($A256="","Enter the Item Code (hamper) - type it, paste it, or choose it from the dropdown. ","")&amp;IF(AND($A256&lt;&gt;"",ISNA(MATCH($AC256,'PRODUCT DATA'!$D$2:$D$394,0))),"This Item Code is not recognised. Check the code (case does not matter, but spelling and digits must match exactly) or choose it from the dropdown. ","")&amp;IF($M256="","Enter the Country after the Item Code - type or paste the name or the 2-letter code, or choose it from the dropdown. ","")&amp;IF(AND($M256&lt;&gt;"",NOT(OR(NOT(ISNA(MATCH(IF(UPPER($M256)="UK","GB",$M256),'PRODUCT DATA'!$A$2:$A$58,0))),NOT(ISNA(MATCH(IF(UPPER($M256)="UK","GB",$M256),'PRODUCT DATA'!$B$2:$B$58,0)))))),"This Country is not recognised as either a full name or a 2-letter code. Check the spelling (case does not matter) or choose it from the dropdown. ","")&amp;IF(AND($A256&lt;&gt;"",$M256&lt;&gt;"",NOT(ISNA(MATCH($AC256,'PRODUCT DATA'!$D$2:$D$394,0))),OR(NOT(ISNA(MATCH(IF(UPPER($M256)="UK","GB",$M256),'PRODUCT DATA'!$A$2:$A$58,0))),NOT(ISNA(MATCH(IF(UPPER($M256)="UK","GB",$M256),'PRODUCT DATA'!$B$2:$B$58,0)))),NOT(IFERROR(COUNTIF(OFFSET('PRODUCT DATA'!$F$2,0,MATCH($AC256,'PRODUCT DATA'!$F$1:$NN$1,0)-1,114,1),$N256)&gt;0,FALSE()))),IF(UPPER(IFERROR(OFFSET('PRODUCT DATA'!$C$2,MATCH($N256,'PRODUCT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"),"")&amp;IF($C256="","Enter Quantity. ","")&amp;IF(AND($C256&lt;&gt;"",OR(NOT(ISNUMBER($C256)),$C256&lt;1,$C256&gt;999,MOD($C256,1)&lt;&gt;0)),"Quantity must be a whole number from 1 to 999 (use a quantity above 1 only for a genuine bulk order of identical items to ONE address — otherwise use a separate row per recipient). ","")&amp;IF($D256="","Enter Recipient Name. ","")&amp;IF(LEN($D256)&gt;35,"Recipient Name exceeds 35 characters. ","")&amp;IF($E256="","Enter Recipient Phone. ","")&amp;IF(AND($E256&lt;&gt;"",OR(LEN($E256)&lt;6,LEN($E256)&gt;20,NOT(IFERROR(ISNUMBER(1*$E256),FALSE())))),"Phone must be the LOCAL number for the destination country: digits only, no +, spaces, or country code, 6 to 20 digits. ","")&amp;IF(LEN($F256)&gt;35,"Recipient Company Name exceeds 35 characters. ","")&amp;IF($G256="","Enter Address Line 1. ","")&amp;IF(LEN($G256)&gt;35,"Address Line 1 exceeds the 35-character SAP limit. ","")&amp;IF(LEN($H256)&gt;35,"Address Line 2 exceeds the 35-character SAP limit. ","")&amp;IF(LEN($I256)&gt;35,"Address Line 3 exceeds the 35-character SAP limit. ","")&amp;IF($J256="","Enter Town. This must never be left blank, even if there is no conventional town name. ","")&amp;IF(LEN($J256)&gt;35,"Town exceeds 35 characters. ","")&amp;IF(AND($N256="IE",$K256=""),"County is required for deliveries within the Republic of Ireland. ","")&amp;IF(LEN($AB256)&gt;35,"County exceeds 35 characters. ","")&amp;IF(AND($L256="",AND($N256&lt;&gt;"AE",$N256&lt;&gt;"QA")),"Postcode is required for the selected country. If there is genuinely no postcode, enter the first 3 characters of the area (e.g. D15). ","")&amp;IF(LEN($L256)&gt;35,"Postcode exceeds 35 characters. ","")&amp;IF($AE256&lt;&gt;"",$AE256,"")&amp;IF(LEN($O256)&gt;40,"Gift Message Line 1 exceeds 40 characters. ","")&amp;IF(LEN($P256)&gt;40,"Gift Message Line 2 exceeds 40 characters. ","")&amp;IF(LEN($Q256)&gt;40,"Gift Message Line 3 exceeds 40 characters. ","")&amp;IF(LEN($R256)&gt;40,"Gift Message Line 4 exceeds 40 characters. ","")&amp;IF(LEN($S256)&gt;40,"Gift Message Line 5 exceeds 40 characters. ","")&amp;IF(LEN($T256)&gt;40,"Gift Message Line 6 exceeds 40 characters. ","")&amp;IF(LEN($U256)&gt;40,"Gift Message Line 7 exceeds 40 characters. ",""))</f>
        <v/>
      </c>
      <c r="Y256" s="44" t="str">
        <f t="shared" si="13"/>
        <v/>
      </c>
      <c r="Z256" s="44"/>
      <c r="AA256" s="44"/>
      <c r="AB256" s="32" t="str">
        <f t="shared" si="14"/>
        <v/>
      </c>
      <c r="AC256" s="32" t="str">
        <f>IF($A256="","",IFERROR(LEFT(INDEX('PRODUCT DATA'!$NO$2:$NO$25,MATCH($A256,'PRODUCT DATA'!$NP$2:$NP$25,0)),FIND("|",INDEX('PRODUCT DATA'!$NO$2:$NO$25,MATCH($A256,'PRODUCT DATA'!$NP$2:$NP$25,0)))-1),$A256))</f>
        <v/>
      </c>
      <c r="AD256" s="45"/>
      <c r="AE256" s="45" t="str">
        <f t="shared" si="15"/>
        <v/>
      </c>
    </row>
    <row r="257" spans="1:31" ht="15" customHeight="1" x14ac:dyDescent="0.25">
      <c r="A257" s="40"/>
      <c r="B257" s="43" t="str">
        <f>IF($A257="","",IFERROR(VLOOKUP($AC257,'PRODUCT DATA'!$NR$2:$NS$374,2,FALSE()),"UNKNOWN ITEM CODE - please check"))</f>
        <v/>
      </c>
      <c r="C257" s="39">
        <v>1</v>
      </c>
      <c r="D257" s="39"/>
      <c r="E257" s="40"/>
      <c r="F257" s="41"/>
      <c r="G257" s="39"/>
      <c r="H257" s="41"/>
      <c r="I257" s="41"/>
      <c r="J257" s="39"/>
      <c r="K257" s="41"/>
      <c r="L257" s="40"/>
      <c r="M257" s="40"/>
      <c r="N257" s="42" t="str">
        <f>IF($M257="","",IFERROR(INDEX('PRODUCT DATA'!$B$2:$B$58,MATCH(IF(UPPER($M257)="UK","GB",$M257),'PRODUCT DATA'!$B$2:$B$58,0)),IFERROR(INDEX('PRODUCT DATA'!$B$2:$B$58,MATCH(IF(UPPER($M257)="UK","GB",$M257),'PRODUCT DATA'!$A$2:$A$58,0)),"UNKNOWN COUNTRY - please check")))</f>
        <v/>
      </c>
      <c r="O257" s="41"/>
      <c r="P257" s="41"/>
      <c r="Q257" s="41"/>
      <c r="R257" s="41"/>
      <c r="S257" s="41"/>
      <c r="T257" s="41"/>
      <c r="U257" s="41"/>
      <c r="V257" s="43" t="str">
        <f t="shared" si="12"/>
        <v/>
      </c>
      <c r="W257" s="44" t="str">
        <f ca="1">IF(COUNTA($A257,$D257:$M257,$O257:$U257)=0,"",IF($A257="","Item Code; ","")&amp;IF(AND($A257&lt;&gt;"",ISNA(MATCH($AC257,'PRODUCT DATA'!$D$2:$D$394,0))),"Item Code; ","")&amp;IF($M257="","Country; ","")&amp;IF(AND($M257&lt;&gt;"",NOT(OR(NOT(ISNA(MATCH(IF(UPPER($M257)="UK","GB",$M257),'PRODUCT DATA'!$A$2:$A$58,0))),NOT(ISNA(MATCH(IF(UPPER($M257)="UK","GB",$M257),'PRODUCT DATA'!$B$2:$B$58,0)))))),"Country; ","")&amp;IF(AND($A257&lt;&gt;"",$M257&lt;&gt;"",NOT(ISNA(MATCH($AC257,'PRODUCT DATA'!$D$2:$D$394,0))),OR(NOT(ISNA(MATCH(IF(UPPER($M257)="UK","GB",$M257),'PRODUCT DATA'!$A$2:$A$58,0))),NOT(ISNA(MATCH(IF(UPPER($M257)="UK","GB",$M257),'PRODUCT DATA'!$B$2:$B$58,0)))),NOT(IFERROR(COUNTIF(OFFSET('PRODUCT DATA'!$F$2,0,MATCH($AC257,'PRODUCT DATA'!$F$1:$NN$1,0)-1,114,1),$N257)&gt;0,FALSE()))),IF(UPPER(IFERROR(OFFSET('PRODUCT DATA'!$C$2,MATCH($N257,'PRODUCT DATA'!$B$2:$B$58,0)-1,0),""))="NO","Alcohol Restriction; ","Item Code / Country combination; "),"")&amp;IF($C257="","Quantity; ","")&amp;IF(AND($C257&lt;&gt;"",OR(NOT(ISNUMBER($C257)),$C257&lt;1,$C257&gt;999,MOD($C257,1)&lt;&gt;0)),"Quantity; ","")&amp;IF($D257="","Recipient Name; ","")&amp;IF(LEN($D257)&gt;35,"Recipient Name; ","")&amp;IF($E257="","Recipient Phone; ","")&amp;IF(AND($E257&lt;&gt;"",OR(LEN($E257)&lt;6,LEN($E257)&gt;20,NOT(IFERROR(ISNUMBER(1*$E257),FALSE())))),"Recipient Phone; ","")&amp;IF(LEN($F257)&gt;35,"Recipient Company Name; ","")&amp;IF($G257="","Address Line 1; ","")&amp;IF(LEN($G257)&gt;35,"Address Line 1; ","")&amp;IF(LEN($H257)&gt;35,"Address Line 2; ","")&amp;IF(LEN($I257)&gt;35,"Address Line 3; ","")&amp;IF($J257="","Town; ","")&amp;IF(LEN($J257)&gt;35,"Town; ","")&amp;IF(AND($N257="IE",$K257=""),"County; ","")&amp;IF(LEN($AB257)&gt;35,"County; ","")&amp;IF(AND($L257="",AND($N257&lt;&gt;"AE",$N257&lt;&gt;"QA")),"Postcode; ","")&amp;IF(LEN($L257)&gt;35,"Postcode; ","")&amp;IF($AE257&lt;&gt;"","Postcode; ","")&amp;IF(LEN($O257)&gt;40,"Gift Message 1; ","")&amp;IF(LEN($P257)&gt;40,"Gift Message 2; ","")&amp;IF(LEN($Q257)&gt;40,"Gift Message 3; ","")&amp;IF(LEN($R257)&gt;40,"Gift Message 4; ","")&amp;IF(LEN($S257)&gt;40,"Gift Message 5; ","")&amp;IF(LEN($T257)&gt;40,"Gift Message 6; ","")&amp;IF(LEN($U257)&gt;40,"Gift Message 7; ",""))</f>
        <v/>
      </c>
      <c r="X257" s="44" t="str">
        <f ca="1">IF(COUNTA($A257,$D257:$M257,$O257:$U257)=0,"",IF($A257="","Enter the Item Code (hamper) - type it, paste it, or choose it from the dropdown. ","")&amp;IF(AND($A257&lt;&gt;"",ISNA(MATCH($AC257,'PRODUCT DATA'!$D$2:$D$394,0))),"This Item Code is not recognised. Check the code (case does not matter, but spelling and digits must match exactly) or choose it from the dropdown. ","")&amp;IF($M257="","Enter the Country after the Item Code - type or paste the name or the 2-letter code, or choose it from the dropdown. ","")&amp;IF(AND($M257&lt;&gt;"",NOT(OR(NOT(ISNA(MATCH(IF(UPPER($M257)="UK","GB",$M257),'PRODUCT DATA'!$A$2:$A$58,0))),NOT(ISNA(MATCH(IF(UPPER($M257)="UK","GB",$M257),'PRODUCT DATA'!$B$2:$B$58,0)))))),"This Country is not recognised as either a full name or a 2-letter code. Check the spelling (case does not matter) or choose it from the dropdown. ","")&amp;IF(AND($A257&lt;&gt;"",$M257&lt;&gt;"",NOT(ISNA(MATCH($AC257,'PRODUCT DATA'!$D$2:$D$394,0))),OR(NOT(ISNA(MATCH(IF(UPPER($M257)="UK","GB",$M257),'PRODUCT DATA'!$A$2:$A$58,0))),NOT(ISNA(MATCH(IF(UPPER($M257)="UK","GB",$M257),'PRODUCT DATA'!$B$2:$B$58,0)))),NOT(IFERROR(COUNTIF(OFFSET('PRODUCT DATA'!$F$2,0,MATCH($AC257,'PRODUCT DATA'!$F$1:$NN$1,0)-1,114,1),$N257)&gt;0,FALSE()))),IF(UPPER(IFERROR(OFFSET('PRODUCT DATA'!$C$2,MATCH($N257,'PRODUCT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"),"")&amp;IF($C257="","Enter Quantity. ","")&amp;IF(AND($C257&lt;&gt;"",OR(NOT(ISNUMBER($C257)),$C257&lt;1,$C257&gt;999,MOD($C257,1)&lt;&gt;0)),"Quantity must be a whole number from 1 to 999 (use a quantity above 1 only for a genuine bulk order of identical items to ONE address — otherwise use a separate row per recipient). ","")&amp;IF($D257="","Enter Recipient Name. ","")&amp;IF(LEN($D257)&gt;35,"Recipient Name exceeds 35 characters. ","")&amp;IF($E257="","Enter Recipient Phone. ","")&amp;IF(AND($E257&lt;&gt;"",OR(LEN($E257)&lt;6,LEN($E257)&gt;20,NOT(IFERROR(ISNUMBER(1*$E257),FALSE())))),"Phone must be the LOCAL number for the destination country: digits only, no +, spaces, or country code, 6 to 20 digits. ","")&amp;IF(LEN($F257)&gt;35,"Recipient Company Name exceeds 35 characters. ","")&amp;IF($G257="","Enter Address Line 1. ","")&amp;IF(LEN($G257)&gt;35,"Address Line 1 exceeds the 35-character SAP limit. ","")&amp;IF(LEN($H257)&gt;35,"Address Line 2 exceeds the 35-character SAP limit. ","")&amp;IF(LEN($I257)&gt;35,"Address Line 3 exceeds the 35-character SAP limit. ","")&amp;IF($J257="","Enter Town. This must never be left blank, even if there is no conventional town name. ","")&amp;IF(LEN($J257)&gt;35,"Town exceeds 35 characters. ","")&amp;IF(AND($N257="IE",$K257=""),"County is required for deliveries within the Republic of Ireland. ","")&amp;IF(LEN($AB257)&gt;35,"County exceeds 35 characters. ","")&amp;IF(AND($L257="",AND($N257&lt;&gt;"AE",$N257&lt;&gt;"QA")),"Postcode is required for the selected country. If there is genuinely no postcode, enter the first 3 characters of the area (e.g. D15). ","")&amp;IF(LEN($L257)&gt;35,"Postcode exceeds 35 characters. ","")&amp;IF($AE257&lt;&gt;"",$AE257,"")&amp;IF(LEN($O257)&gt;40,"Gift Message Line 1 exceeds 40 characters. ","")&amp;IF(LEN($P257)&gt;40,"Gift Message Line 2 exceeds 40 characters. ","")&amp;IF(LEN($Q257)&gt;40,"Gift Message Line 3 exceeds 40 characters. ","")&amp;IF(LEN($R257)&gt;40,"Gift Message Line 4 exceeds 40 characters. ","")&amp;IF(LEN($S257)&gt;40,"Gift Message Line 5 exceeds 40 characters. ","")&amp;IF(LEN($T257)&gt;40,"Gift Message Line 6 exceeds 40 characters. ","")&amp;IF(LEN($U257)&gt;40,"Gift Message Line 7 exceeds 40 characters. ",""))</f>
        <v/>
      </c>
      <c r="Y257" s="44" t="str">
        <f t="shared" si="13"/>
        <v/>
      </c>
      <c r="Z257" s="44"/>
      <c r="AA257" s="44"/>
      <c r="AB257" s="32" t="str">
        <f t="shared" si="14"/>
        <v/>
      </c>
      <c r="AC257" s="32" t="str">
        <f>IF($A257="","",IFERROR(LEFT(INDEX('PRODUCT DATA'!$NO$2:$NO$25,MATCH($A257,'PRODUCT DATA'!$NP$2:$NP$25,0)),FIND("|",INDEX('PRODUCT DATA'!$NO$2:$NO$25,MATCH($A257,'PRODUCT DATA'!$NP$2:$NP$25,0)))-1),$A257))</f>
        <v/>
      </c>
      <c r="AD257" s="45"/>
      <c r="AE257" s="45" t="str">
        <f t="shared" si="15"/>
        <v/>
      </c>
    </row>
    <row r="258" spans="1:31" ht="15" customHeight="1" x14ac:dyDescent="0.25">
      <c r="A258" s="40"/>
      <c r="B258" s="43" t="str">
        <f>IF($A258="","",IFERROR(VLOOKUP($AC258,'PRODUCT DATA'!$NR$2:$NS$374,2,FALSE()),"UNKNOWN ITEM CODE - please check"))</f>
        <v/>
      </c>
      <c r="C258" s="39">
        <v>1</v>
      </c>
      <c r="D258" s="39"/>
      <c r="E258" s="40"/>
      <c r="F258" s="41"/>
      <c r="G258" s="39"/>
      <c r="H258" s="41"/>
      <c r="I258" s="41"/>
      <c r="J258" s="39"/>
      <c r="K258" s="41"/>
      <c r="L258" s="40"/>
      <c r="M258" s="40"/>
      <c r="N258" s="42" t="str">
        <f>IF($M258="","",IFERROR(INDEX('PRODUCT DATA'!$B$2:$B$58,MATCH(IF(UPPER($M258)="UK","GB",$M258),'PRODUCT DATA'!$B$2:$B$58,0)),IFERROR(INDEX('PRODUCT DATA'!$B$2:$B$58,MATCH(IF(UPPER($M258)="UK","GB",$M258),'PRODUCT DATA'!$A$2:$A$58,0)),"UNKNOWN COUNTRY - please check")))</f>
        <v/>
      </c>
      <c r="O258" s="41"/>
      <c r="P258" s="41"/>
      <c r="Q258" s="41"/>
      <c r="R258" s="41"/>
      <c r="S258" s="41"/>
      <c r="T258" s="41"/>
      <c r="U258" s="41"/>
      <c r="V258" s="43" t="str">
        <f t="shared" si="12"/>
        <v/>
      </c>
      <c r="W258" s="44" t="str">
        <f ca="1">IF(COUNTA($A258,$D258:$M258,$O258:$U258)=0,"",IF($A258="","Item Code; ","")&amp;IF(AND($A258&lt;&gt;"",ISNA(MATCH($AC258,'PRODUCT DATA'!$D$2:$D$394,0))),"Item Code; ","")&amp;IF($M258="","Country; ","")&amp;IF(AND($M258&lt;&gt;"",NOT(OR(NOT(ISNA(MATCH(IF(UPPER($M258)="UK","GB",$M258),'PRODUCT DATA'!$A$2:$A$58,0))),NOT(ISNA(MATCH(IF(UPPER($M258)="UK","GB",$M258),'PRODUCT DATA'!$B$2:$B$58,0)))))),"Country; ","")&amp;IF(AND($A258&lt;&gt;"",$M258&lt;&gt;"",NOT(ISNA(MATCH($AC258,'PRODUCT DATA'!$D$2:$D$394,0))),OR(NOT(ISNA(MATCH(IF(UPPER($M258)="UK","GB",$M258),'PRODUCT DATA'!$A$2:$A$58,0))),NOT(ISNA(MATCH(IF(UPPER($M258)="UK","GB",$M258),'PRODUCT DATA'!$B$2:$B$58,0)))),NOT(IFERROR(COUNTIF(OFFSET('PRODUCT DATA'!$F$2,0,MATCH($AC258,'PRODUCT DATA'!$F$1:$NN$1,0)-1,114,1),$N258)&gt;0,FALSE()))),IF(UPPER(IFERROR(OFFSET('PRODUCT DATA'!$C$2,MATCH($N258,'PRODUCT DATA'!$B$2:$B$58,0)-1,0),""))="NO","Alcohol Restriction; ","Item Code / Country combination; "),"")&amp;IF($C258="","Quantity; ","")&amp;IF(AND($C258&lt;&gt;"",OR(NOT(ISNUMBER($C258)),$C258&lt;1,$C258&gt;999,MOD($C258,1)&lt;&gt;0)),"Quantity; ","")&amp;IF($D258="","Recipient Name; ","")&amp;IF(LEN($D258)&gt;35,"Recipient Name; ","")&amp;IF($E258="","Recipient Phone; ","")&amp;IF(AND($E258&lt;&gt;"",OR(LEN($E258)&lt;6,LEN($E258)&gt;20,NOT(IFERROR(ISNUMBER(1*$E258),FALSE())))),"Recipient Phone; ","")&amp;IF(LEN($F258)&gt;35,"Recipient Company Name; ","")&amp;IF($G258="","Address Line 1; ","")&amp;IF(LEN($G258)&gt;35,"Address Line 1; ","")&amp;IF(LEN($H258)&gt;35,"Address Line 2; ","")&amp;IF(LEN($I258)&gt;35,"Address Line 3; ","")&amp;IF($J258="","Town; ","")&amp;IF(LEN($J258)&gt;35,"Town; ","")&amp;IF(AND($N258="IE",$K258=""),"County; ","")&amp;IF(LEN($AB258)&gt;35,"County; ","")&amp;IF(AND($L258="",AND($N258&lt;&gt;"AE",$N258&lt;&gt;"QA")),"Postcode; ","")&amp;IF(LEN($L258)&gt;35,"Postcode; ","")&amp;IF($AE258&lt;&gt;"","Postcode; ","")&amp;IF(LEN($O258)&gt;40,"Gift Message 1; ","")&amp;IF(LEN($P258)&gt;40,"Gift Message 2; ","")&amp;IF(LEN($Q258)&gt;40,"Gift Message 3; ","")&amp;IF(LEN($R258)&gt;40,"Gift Message 4; ","")&amp;IF(LEN($S258)&gt;40,"Gift Message 5; ","")&amp;IF(LEN($T258)&gt;40,"Gift Message 6; ","")&amp;IF(LEN($U258)&gt;40,"Gift Message 7; ",""))</f>
        <v/>
      </c>
      <c r="X258" s="44" t="str">
        <f ca="1">IF(COUNTA($A258,$D258:$M258,$O258:$U258)=0,"",IF($A258="","Enter the Item Code (hamper) - type it, paste it, or choose it from the dropdown. ","")&amp;IF(AND($A258&lt;&gt;"",ISNA(MATCH($AC258,'PRODUCT DATA'!$D$2:$D$394,0))),"This Item Code is not recognised. Check the code (case does not matter, but spelling and digits must match exactly) or choose it from the dropdown. ","")&amp;IF($M258="","Enter the Country after the Item Code - type or paste the name or the 2-letter code, or choose it from the dropdown. ","")&amp;IF(AND($M258&lt;&gt;"",NOT(OR(NOT(ISNA(MATCH(IF(UPPER($M258)="UK","GB",$M258),'PRODUCT DATA'!$A$2:$A$58,0))),NOT(ISNA(MATCH(IF(UPPER($M258)="UK","GB",$M258),'PRODUCT DATA'!$B$2:$B$58,0)))))),"This Country is not recognised as either a full name or a 2-letter code. Check the spelling (case does not matter) or choose it from the dropdown. ","")&amp;IF(AND($A258&lt;&gt;"",$M258&lt;&gt;"",NOT(ISNA(MATCH($AC258,'PRODUCT DATA'!$D$2:$D$394,0))),OR(NOT(ISNA(MATCH(IF(UPPER($M258)="UK","GB",$M258),'PRODUCT DATA'!$A$2:$A$58,0))),NOT(ISNA(MATCH(IF(UPPER($M258)="UK","GB",$M258),'PRODUCT DATA'!$B$2:$B$58,0)))),NOT(IFERROR(COUNTIF(OFFSET('PRODUCT DATA'!$F$2,0,MATCH($AC258,'PRODUCT DATA'!$F$1:$NN$1,0)-1,114,1),$N258)&gt;0,FALSE()))),IF(UPPER(IFERROR(OFFSET('PRODUCT DATA'!$C$2,MATCH($N258,'PRODUCT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"),"")&amp;IF($C258="","Enter Quantity. ","")&amp;IF(AND($C258&lt;&gt;"",OR(NOT(ISNUMBER($C258)),$C258&lt;1,$C258&gt;999,MOD($C258,1)&lt;&gt;0)),"Quantity must be a whole number from 1 to 999 (use a quantity above 1 only for a genuine bulk order of identical items to ONE address — otherwise use a separate row per recipient). ","")&amp;IF($D258="","Enter Recipient Name. ","")&amp;IF(LEN($D258)&gt;35,"Recipient Name exceeds 35 characters. ","")&amp;IF($E258="","Enter Recipient Phone. ","")&amp;IF(AND($E258&lt;&gt;"",OR(LEN($E258)&lt;6,LEN($E258)&gt;20,NOT(IFERROR(ISNUMBER(1*$E258),FALSE())))),"Phone must be the LOCAL number for the destination country: digits only, no +, spaces, or country code, 6 to 20 digits. ","")&amp;IF(LEN($F258)&gt;35,"Recipient Company Name exceeds 35 characters. ","")&amp;IF($G258="","Enter Address Line 1. ","")&amp;IF(LEN($G258)&gt;35,"Address Line 1 exceeds the 35-character SAP limit. ","")&amp;IF(LEN($H258)&gt;35,"Address Line 2 exceeds the 35-character SAP limit. ","")&amp;IF(LEN($I258)&gt;35,"Address Line 3 exceeds the 35-character SAP limit. ","")&amp;IF($J258="","Enter Town. This must never be left blank, even if there is no conventional town name. ","")&amp;IF(LEN($J258)&gt;35,"Town exceeds 35 characters. ","")&amp;IF(AND($N258="IE",$K258=""),"County is required for deliveries within the Republic of Ireland. ","")&amp;IF(LEN($AB258)&gt;35,"County exceeds 35 characters. ","")&amp;IF(AND($L258="",AND($N258&lt;&gt;"AE",$N258&lt;&gt;"QA")),"Postcode is required for the selected country. If there is genuinely no postcode, enter the first 3 characters of the area (e.g. D15). ","")&amp;IF(LEN($L258)&gt;35,"Postcode exceeds 35 characters. ","")&amp;IF($AE258&lt;&gt;"",$AE258,"")&amp;IF(LEN($O258)&gt;40,"Gift Message Line 1 exceeds 40 characters. ","")&amp;IF(LEN($P258)&gt;40,"Gift Message Line 2 exceeds 40 characters. ","")&amp;IF(LEN($Q258)&gt;40,"Gift Message Line 3 exceeds 40 characters. ","")&amp;IF(LEN($R258)&gt;40,"Gift Message Line 4 exceeds 40 characters. ","")&amp;IF(LEN($S258)&gt;40,"Gift Message Line 5 exceeds 40 characters. ","")&amp;IF(LEN($T258)&gt;40,"Gift Message Line 6 exceeds 40 characters. ","")&amp;IF(LEN($U258)&gt;40,"Gift Message Line 7 exceeds 40 characters. ",""))</f>
        <v/>
      </c>
      <c r="Y258" s="44" t="str">
        <f t="shared" si="13"/>
        <v/>
      </c>
      <c r="Z258" s="44"/>
      <c r="AA258" s="44"/>
      <c r="AB258" s="32" t="str">
        <f t="shared" si="14"/>
        <v/>
      </c>
      <c r="AC258" s="32" t="str">
        <f>IF($A258="","",IFERROR(LEFT(INDEX('PRODUCT DATA'!$NO$2:$NO$25,MATCH($A258,'PRODUCT DATA'!$NP$2:$NP$25,0)),FIND("|",INDEX('PRODUCT DATA'!$NO$2:$NO$25,MATCH($A258,'PRODUCT DATA'!$NP$2:$NP$25,0)))-1),$A258))</f>
        <v/>
      </c>
      <c r="AD258" s="45"/>
      <c r="AE258" s="45" t="str">
        <f t="shared" si="15"/>
        <v/>
      </c>
    </row>
    <row r="259" spans="1:31" ht="15" customHeight="1" x14ac:dyDescent="0.25">
      <c r="A259" s="40"/>
      <c r="B259" s="43" t="str">
        <f>IF($A259="","",IFERROR(VLOOKUP($AC259,'PRODUCT DATA'!$NR$2:$NS$374,2,FALSE()),"UNKNOWN ITEM CODE - please check"))</f>
        <v/>
      </c>
      <c r="C259" s="39">
        <v>1</v>
      </c>
      <c r="D259" s="39"/>
      <c r="E259" s="40"/>
      <c r="F259" s="41"/>
      <c r="G259" s="39"/>
      <c r="H259" s="41"/>
      <c r="I259" s="41"/>
      <c r="J259" s="39"/>
      <c r="K259" s="41"/>
      <c r="L259" s="40"/>
      <c r="M259" s="40"/>
      <c r="N259" s="42" t="str">
        <f>IF($M259="","",IFERROR(INDEX('PRODUCT DATA'!$B$2:$B$58,MATCH(IF(UPPER($M259)="UK","GB",$M259),'PRODUCT DATA'!$B$2:$B$58,0)),IFERROR(INDEX('PRODUCT DATA'!$B$2:$B$58,MATCH(IF(UPPER($M259)="UK","GB",$M259),'PRODUCT DATA'!$A$2:$A$58,0)),"UNKNOWN COUNTRY - please check")))</f>
        <v/>
      </c>
      <c r="O259" s="41"/>
      <c r="P259" s="41"/>
      <c r="Q259" s="41"/>
      <c r="R259" s="41"/>
      <c r="S259" s="41"/>
      <c r="T259" s="41"/>
      <c r="U259" s="41"/>
      <c r="V259" s="43" t="str">
        <f t="shared" si="12"/>
        <v/>
      </c>
      <c r="W259" s="44" t="str">
        <f ca="1">IF(COUNTA($A259,$D259:$M259,$O259:$U259)=0,"",IF($A259="","Item Code; ","")&amp;IF(AND($A259&lt;&gt;"",ISNA(MATCH($AC259,'PRODUCT DATA'!$D$2:$D$394,0))),"Item Code; ","")&amp;IF($M259="","Country; ","")&amp;IF(AND($M259&lt;&gt;"",NOT(OR(NOT(ISNA(MATCH(IF(UPPER($M259)="UK","GB",$M259),'PRODUCT DATA'!$A$2:$A$58,0))),NOT(ISNA(MATCH(IF(UPPER($M259)="UK","GB",$M259),'PRODUCT DATA'!$B$2:$B$58,0)))))),"Country; ","")&amp;IF(AND($A259&lt;&gt;"",$M259&lt;&gt;"",NOT(ISNA(MATCH($AC259,'PRODUCT DATA'!$D$2:$D$394,0))),OR(NOT(ISNA(MATCH(IF(UPPER($M259)="UK","GB",$M259),'PRODUCT DATA'!$A$2:$A$58,0))),NOT(ISNA(MATCH(IF(UPPER($M259)="UK","GB",$M259),'PRODUCT DATA'!$B$2:$B$58,0)))),NOT(IFERROR(COUNTIF(OFFSET('PRODUCT DATA'!$F$2,0,MATCH($AC259,'PRODUCT DATA'!$F$1:$NN$1,0)-1,114,1),$N259)&gt;0,FALSE()))),IF(UPPER(IFERROR(OFFSET('PRODUCT DATA'!$C$2,MATCH($N259,'PRODUCT DATA'!$B$2:$B$58,0)-1,0),""))="NO","Alcohol Restriction; ","Item Code / Country combination; "),"")&amp;IF($C259="","Quantity; ","")&amp;IF(AND($C259&lt;&gt;"",OR(NOT(ISNUMBER($C259)),$C259&lt;1,$C259&gt;999,MOD($C259,1)&lt;&gt;0)),"Quantity; ","")&amp;IF($D259="","Recipient Name; ","")&amp;IF(LEN($D259)&gt;35,"Recipient Name; ","")&amp;IF($E259="","Recipient Phone; ","")&amp;IF(AND($E259&lt;&gt;"",OR(LEN($E259)&lt;6,LEN($E259)&gt;20,NOT(IFERROR(ISNUMBER(1*$E259),FALSE())))),"Recipient Phone; ","")&amp;IF(LEN($F259)&gt;35,"Recipient Company Name; ","")&amp;IF($G259="","Address Line 1; ","")&amp;IF(LEN($G259)&gt;35,"Address Line 1; ","")&amp;IF(LEN($H259)&gt;35,"Address Line 2; ","")&amp;IF(LEN($I259)&gt;35,"Address Line 3; ","")&amp;IF($J259="","Town; ","")&amp;IF(LEN($J259)&gt;35,"Town; ","")&amp;IF(AND($N259="IE",$K259=""),"County; ","")&amp;IF(LEN($AB259)&gt;35,"County; ","")&amp;IF(AND($L259="",AND($N259&lt;&gt;"AE",$N259&lt;&gt;"QA")),"Postcode; ","")&amp;IF(LEN($L259)&gt;35,"Postcode; ","")&amp;IF($AE259&lt;&gt;"","Postcode; ","")&amp;IF(LEN($O259)&gt;40,"Gift Message 1; ","")&amp;IF(LEN($P259)&gt;40,"Gift Message 2; ","")&amp;IF(LEN($Q259)&gt;40,"Gift Message 3; ","")&amp;IF(LEN($R259)&gt;40,"Gift Message 4; ","")&amp;IF(LEN($S259)&gt;40,"Gift Message 5; ","")&amp;IF(LEN($T259)&gt;40,"Gift Message 6; ","")&amp;IF(LEN($U259)&gt;40,"Gift Message 7; ",""))</f>
        <v/>
      </c>
      <c r="X259" s="44" t="str">
        <f ca="1">IF(COUNTA($A259,$D259:$M259,$O259:$U259)=0,"",IF($A259="","Enter the Item Code (hamper) - type it, paste it, or choose it from the dropdown. ","")&amp;IF(AND($A259&lt;&gt;"",ISNA(MATCH($AC259,'PRODUCT DATA'!$D$2:$D$394,0))),"This Item Code is not recognised. Check the code (case does not matter, but spelling and digits must match exactly) or choose it from the dropdown. ","")&amp;IF($M259="","Enter the Country after the Item Code - type or paste the name or the 2-letter code, or choose it from the dropdown. ","")&amp;IF(AND($M259&lt;&gt;"",NOT(OR(NOT(ISNA(MATCH(IF(UPPER($M259)="UK","GB",$M259),'PRODUCT DATA'!$A$2:$A$58,0))),NOT(ISNA(MATCH(IF(UPPER($M259)="UK","GB",$M259),'PRODUCT DATA'!$B$2:$B$58,0)))))),"This Country is not recognised as either a full name or a 2-letter code. Check the spelling (case does not matter) or choose it from the dropdown. ","")&amp;IF(AND($A259&lt;&gt;"",$M259&lt;&gt;"",NOT(ISNA(MATCH($AC259,'PRODUCT DATA'!$D$2:$D$394,0))),OR(NOT(ISNA(MATCH(IF(UPPER($M259)="UK","GB",$M259),'PRODUCT DATA'!$A$2:$A$58,0))),NOT(ISNA(MATCH(IF(UPPER($M259)="UK","GB",$M259),'PRODUCT DATA'!$B$2:$B$58,0)))),NOT(IFERROR(COUNTIF(OFFSET('PRODUCT DATA'!$F$2,0,MATCH($AC259,'PRODUCT DATA'!$F$1:$NN$1,0)-1,114,1),$N259)&gt;0,FALSE()))),IF(UPPER(IFERROR(OFFSET('PRODUCT DATA'!$C$2,MATCH($N259,'PRODUCT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"),"")&amp;IF($C259="","Enter Quantity. ","")&amp;IF(AND($C259&lt;&gt;"",OR(NOT(ISNUMBER($C259)),$C259&lt;1,$C259&gt;999,MOD($C259,1)&lt;&gt;0)),"Quantity must be a whole number from 1 to 999 (use a quantity above 1 only for a genuine bulk order of identical items to ONE address — otherwise use a separate row per recipient). ","")&amp;IF($D259="","Enter Recipient Name. ","")&amp;IF(LEN($D259)&gt;35,"Recipient Name exceeds 35 characters. ","")&amp;IF($E259="","Enter Recipient Phone. ","")&amp;IF(AND($E259&lt;&gt;"",OR(LEN($E259)&lt;6,LEN($E259)&gt;20,NOT(IFERROR(ISNUMBER(1*$E259),FALSE())))),"Phone must be the LOCAL number for the destination country: digits only, no +, spaces, or country code, 6 to 20 digits. ","")&amp;IF(LEN($F259)&gt;35,"Recipient Company Name exceeds 35 characters. ","")&amp;IF($G259="","Enter Address Line 1. ","")&amp;IF(LEN($G259)&gt;35,"Address Line 1 exceeds the 35-character SAP limit. ","")&amp;IF(LEN($H259)&gt;35,"Address Line 2 exceeds the 35-character SAP limit. ","")&amp;IF(LEN($I259)&gt;35,"Address Line 3 exceeds the 35-character SAP limit. ","")&amp;IF($J259="","Enter Town. This must never be left blank, even if there is no conventional town name. ","")&amp;IF(LEN($J259)&gt;35,"Town exceeds 35 characters. ","")&amp;IF(AND($N259="IE",$K259=""),"County is required for deliveries within the Republic of Ireland. ","")&amp;IF(LEN($AB259)&gt;35,"County exceeds 35 characters. ","")&amp;IF(AND($L259="",AND($N259&lt;&gt;"AE",$N259&lt;&gt;"QA")),"Postcode is required for the selected country. If there is genuinely no postcode, enter the first 3 characters of the area (e.g. D15). ","")&amp;IF(LEN($L259)&gt;35,"Postcode exceeds 35 characters. ","")&amp;IF($AE259&lt;&gt;"",$AE259,"")&amp;IF(LEN($O259)&gt;40,"Gift Message Line 1 exceeds 40 characters. ","")&amp;IF(LEN($P259)&gt;40,"Gift Message Line 2 exceeds 40 characters. ","")&amp;IF(LEN($Q259)&gt;40,"Gift Message Line 3 exceeds 40 characters. ","")&amp;IF(LEN($R259)&gt;40,"Gift Message Line 4 exceeds 40 characters. ","")&amp;IF(LEN($S259)&gt;40,"Gift Message Line 5 exceeds 40 characters. ","")&amp;IF(LEN($T259)&gt;40,"Gift Message Line 6 exceeds 40 characters. ","")&amp;IF(LEN($U259)&gt;40,"Gift Message Line 7 exceeds 40 characters. ",""))</f>
        <v/>
      </c>
      <c r="Y259" s="44" t="str">
        <f t="shared" si="13"/>
        <v/>
      </c>
      <c r="Z259" s="44"/>
      <c r="AA259" s="44"/>
      <c r="AB259" s="32" t="str">
        <f t="shared" si="14"/>
        <v/>
      </c>
      <c r="AC259" s="32" t="str">
        <f>IF($A259="","",IFERROR(LEFT(INDEX('PRODUCT DATA'!$NO$2:$NO$25,MATCH($A259,'PRODUCT DATA'!$NP$2:$NP$25,0)),FIND("|",INDEX('PRODUCT DATA'!$NO$2:$NO$25,MATCH($A259,'PRODUCT DATA'!$NP$2:$NP$25,0)))-1),$A259))</f>
        <v/>
      </c>
      <c r="AD259" s="45"/>
      <c r="AE259" s="45" t="str">
        <f t="shared" si="15"/>
        <v/>
      </c>
    </row>
    <row r="260" spans="1:31" ht="15" customHeight="1" x14ac:dyDescent="0.25">
      <c r="A260" s="40"/>
      <c r="B260" s="43" t="str">
        <f>IF($A260="","",IFERROR(VLOOKUP($AC260,'PRODUCT DATA'!$NR$2:$NS$374,2,FALSE()),"UNKNOWN ITEM CODE - please check"))</f>
        <v/>
      </c>
      <c r="C260" s="39">
        <v>1</v>
      </c>
      <c r="D260" s="39"/>
      <c r="E260" s="40"/>
      <c r="F260" s="41"/>
      <c r="G260" s="39"/>
      <c r="H260" s="41"/>
      <c r="I260" s="41"/>
      <c r="J260" s="39"/>
      <c r="K260" s="41"/>
      <c r="L260" s="40"/>
      <c r="M260" s="40"/>
      <c r="N260" s="42" t="str">
        <f>IF($M260="","",IFERROR(INDEX('PRODUCT DATA'!$B$2:$B$58,MATCH(IF(UPPER($M260)="UK","GB",$M260),'PRODUCT DATA'!$B$2:$B$58,0)),IFERROR(INDEX('PRODUCT DATA'!$B$2:$B$58,MATCH(IF(UPPER($M260)="UK","GB",$M260),'PRODUCT DATA'!$A$2:$A$58,0)),"UNKNOWN COUNTRY - please check")))</f>
        <v/>
      </c>
      <c r="O260" s="41"/>
      <c r="P260" s="41"/>
      <c r="Q260" s="41"/>
      <c r="R260" s="41"/>
      <c r="S260" s="41"/>
      <c r="T260" s="41"/>
      <c r="U260" s="41"/>
      <c r="V260" s="43" t="str">
        <f t="shared" si="12"/>
        <v/>
      </c>
      <c r="W260" s="44" t="str">
        <f ca="1">IF(COUNTA($A260,$D260:$M260,$O260:$U260)=0,"",IF($A260="","Item Code; ","")&amp;IF(AND($A260&lt;&gt;"",ISNA(MATCH($AC260,'PRODUCT DATA'!$D$2:$D$394,0))),"Item Code; ","")&amp;IF($M260="","Country; ","")&amp;IF(AND($M260&lt;&gt;"",NOT(OR(NOT(ISNA(MATCH(IF(UPPER($M260)="UK","GB",$M260),'PRODUCT DATA'!$A$2:$A$58,0))),NOT(ISNA(MATCH(IF(UPPER($M260)="UK","GB",$M260),'PRODUCT DATA'!$B$2:$B$58,0)))))),"Country; ","")&amp;IF(AND($A260&lt;&gt;"",$M260&lt;&gt;"",NOT(ISNA(MATCH($AC260,'PRODUCT DATA'!$D$2:$D$394,0))),OR(NOT(ISNA(MATCH(IF(UPPER($M260)="UK","GB",$M260),'PRODUCT DATA'!$A$2:$A$58,0))),NOT(ISNA(MATCH(IF(UPPER($M260)="UK","GB",$M260),'PRODUCT DATA'!$B$2:$B$58,0)))),NOT(IFERROR(COUNTIF(OFFSET('PRODUCT DATA'!$F$2,0,MATCH($AC260,'PRODUCT DATA'!$F$1:$NN$1,0)-1,114,1),$N260)&gt;0,FALSE()))),IF(UPPER(IFERROR(OFFSET('PRODUCT DATA'!$C$2,MATCH($N260,'PRODUCT DATA'!$B$2:$B$58,0)-1,0),""))="NO","Alcohol Restriction; ","Item Code / Country combination; "),"")&amp;IF($C260="","Quantity; ","")&amp;IF(AND($C260&lt;&gt;"",OR(NOT(ISNUMBER($C260)),$C260&lt;1,$C260&gt;999,MOD($C260,1)&lt;&gt;0)),"Quantity; ","")&amp;IF($D260="","Recipient Name; ","")&amp;IF(LEN($D260)&gt;35,"Recipient Name; ","")&amp;IF($E260="","Recipient Phone; ","")&amp;IF(AND($E260&lt;&gt;"",OR(LEN($E260)&lt;6,LEN($E260)&gt;20,NOT(IFERROR(ISNUMBER(1*$E260),FALSE())))),"Recipient Phone; ","")&amp;IF(LEN($F260)&gt;35,"Recipient Company Name; ","")&amp;IF($G260="","Address Line 1; ","")&amp;IF(LEN($G260)&gt;35,"Address Line 1; ","")&amp;IF(LEN($H260)&gt;35,"Address Line 2; ","")&amp;IF(LEN($I260)&gt;35,"Address Line 3; ","")&amp;IF($J260="","Town; ","")&amp;IF(LEN($J260)&gt;35,"Town; ","")&amp;IF(AND($N260="IE",$K260=""),"County; ","")&amp;IF(LEN($AB260)&gt;35,"County; ","")&amp;IF(AND($L260="",AND($N260&lt;&gt;"AE",$N260&lt;&gt;"QA")),"Postcode; ","")&amp;IF(LEN($L260)&gt;35,"Postcode; ","")&amp;IF($AE260&lt;&gt;"","Postcode; ","")&amp;IF(LEN($O260)&gt;40,"Gift Message 1; ","")&amp;IF(LEN($P260)&gt;40,"Gift Message 2; ","")&amp;IF(LEN($Q260)&gt;40,"Gift Message 3; ","")&amp;IF(LEN($R260)&gt;40,"Gift Message 4; ","")&amp;IF(LEN($S260)&gt;40,"Gift Message 5; ","")&amp;IF(LEN($T260)&gt;40,"Gift Message 6; ","")&amp;IF(LEN($U260)&gt;40,"Gift Message 7; ",""))</f>
        <v/>
      </c>
      <c r="X260" s="44" t="str">
        <f ca="1">IF(COUNTA($A260,$D260:$M260,$O260:$U260)=0,"",IF($A260="","Enter the Item Code (hamper) - type it, paste it, or choose it from the dropdown. ","")&amp;IF(AND($A260&lt;&gt;"",ISNA(MATCH($AC260,'PRODUCT DATA'!$D$2:$D$394,0))),"This Item Code is not recognised. Check the code (case does not matter, but spelling and digits must match exactly) or choose it from the dropdown. ","")&amp;IF($M260="","Enter the Country after the Item Code - type or paste the name or the 2-letter code, or choose it from the dropdown. ","")&amp;IF(AND($M260&lt;&gt;"",NOT(OR(NOT(ISNA(MATCH(IF(UPPER($M260)="UK","GB",$M260),'PRODUCT DATA'!$A$2:$A$58,0))),NOT(ISNA(MATCH(IF(UPPER($M260)="UK","GB",$M260),'PRODUCT DATA'!$B$2:$B$58,0)))))),"This Country is not recognised as either a full name or a 2-letter code. Check the spelling (case does not matter) or choose it from the dropdown. ","")&amp;IF(AND($A260&lt;&gt;"",$M260&lt;&gt;"",NOT(ISNA(MATCH($AC260,'PRODUCT DATA'!$D$2:$D$394,0))),OR(NOT(ISNA(MATCH(IF(UPPER($M260)="UK","GB",$M260),'PRODUCT DATA'!$A$2:$A$58,0))),NOT(ISNA(MATCH(IF(UPPER($M260)="UK","GB",$M260),'PRODUCT DATA'!$B$2:$B$58,0)))),NOT(IFERROR(COUNTIF(OFFSET('PRODUCT DATA'!$F$2,0,MATCH($AC260,'PRODUCT DATA'!$F$1:$NN$1,0)-1,114,1),$N260)&gt;0,FALSE()))),IF(UPPER(IFERROR(OFFSET('PRODUCT DATA'!$C$2,MATCH($N260,'PRODUCT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"),"")&amp;IF($C260="","Enter Quantity. ","")&amp;IF(AND($C260&lt;&gt;"",OR(NOT(ISNUMBER($C260)),$C260&lt;1,$C260&gt;999,MOD($C260,1)&lt;&gt;0)),"Quantity must be a whole number from 1 to 999 (use a quantity above 1 only for a genuine bulk order of identical items to ONE address — otherwise use a separate row per recipient). ","")&amp;IF($D260="","Enter Recipient Name. ","")&amp;IF(LEN($D260)&gt;35,"Recipient Name exceeds 35 characters. ","")&amp;IF($E260="","Enter Recipient Phone. ","")&amp;IF(AND($E260&lt;&gt;"",OR(LEN($E260)&lt;6,LEN($E260)&gt;20,NOT(IFERROR(ISNUMBER(1*$E260),FALSE())))),"Phone must be the LOCAL number for the destination country: digits only, no +, spaces, or country code, 6 to 20 digits. ","")&amp;IF(LEN($F260)&gt;35,"Recipient Company Name exceeds 35 characters. ","")&amp;IF($G260="","Enter Address Line 1. ","")&amp;IF(LEN($G260)&gt;35,"Address Line 1 exceeds the 35-character SAP limit. ","")&amp;IF(LEN($H260)&gt;35,"Address Line 2 exceeds the 35-character SAP limit. ","")&amp;IF(LEN($I260)&gt;35,"Address Line 3 exceeds the 35-character SAP limit. ","")&amp;IF($J260="","Enter Town. This must never be left blank, even if there is no conventional town name. ","")&amp;IF(LEN($J260)&gt;35,"Town exceeds 35 characters. ","")&amp;IF(AND($N260="IE",$K260=""),"County is required for deliveries within the Republic of Ireland. ","")&amp;IF(LEN($AB260)&gt;35,"County exceeds 35 characters. ","")&amp;IF(AND($L260="",AND($N260&lt;&gt;"AE",$N260&lt;&gt;"QA")),"Postcode is required for the selected country. If there is genuinely no postcode, enter the first 3 characters of the area (e.g. D15). ","")&amp;IF(LEN($L260)&gt;35,"Postcode exceeds 35 characters. ","")&amp;IF($AE260&lt;&gt;"",$AE260,"")&amp;IF(LEN($O260)&gt;40,"Gift Message Line 1 exceeds 40 characters. ","")&amp;IF(LEN($P260)&gt;40,"Gift Message Line 2 exceeds 40 characters. ","")&amp;IF(LEN($Q260)&gt;40,"Gift Message Line 3 exceeds 40 characters. ","")&amp;IF(LEN($R260)&gt;40,"Gift Message Line 4 exceeds 40 characters. ","")&amp;IF(LEN($S260)&gt;40,"Gift Message Line 5 exceeds 40 characters. ","")&amp;IF(LEN($T260)&gt;40,"Gift Message Line 6 exceeds 40 characters. ","")&amp;IF(LEN($U260)&gt;40,"Gift Message Line 7 exceeds 40 characters. ",""))</f>
        <v/>
      </c>
      <c r="Y260" s="44" t="str">
        <f t="shared" si="13"/>
        <v/>
      </c>
      <c r="Z260" s="44"/>
      <c r="AA260" s="44"/>
      <c r="AB260" s="32" t="str">
        <f t="shared" si="14"/>
        <v/>
      </c>
      <c r="AC260" s="32" t="str">
        <f>IF($A260="","",IFERROR(LEFT(INDEX('PRODUCT DATA'!$NO$2:$NO$25,MATCH($A260,'PRODUCT DATA'!$NP$2:$NP$25,0)),FIND("|",INDEX('PRODUCT DATA'!$NO$2:$NO$25,MATCH($A260,'PRODUCT DATA'!$NP$2:$NP$25,0)))-1),$A260))</f>
        <v/>
      </c>
      <c r="AD260" s="45"/>
      <c r="AE260" s="45" t="str">
        <f t="shared" si="15"/>
        <v/>
      </c>
    </row>
    <row r="261" spans="1:31" ht="15" customHeight="1" x14ac:dyDescent="0.25">
      <c r="A261" s="40"/>
      <c r="B261" s="43" t="str">
        <f>IF($A261="","",IFERROR(VLOOKUP($AC261,'PRODUCT DATA'!$NR$2:$NS$374,2,FALSE()),"UNKNOWN ITEM CODE - please check"))</f>
        <v/>
      </c>
      <c r="C261" s="39">
        <v>1</v>
      </c>
      <c r="D261" s="39"/>
      <c r="E261" s="40"/>
      <c r="F261" s="41"/>
      <c r="G261" s="39"/>
      <c r="H261" s="41"/>
      <c r="I261" s="41"/>
      <c r="J261" s="39"/>
      <c r="K261" s="41"/>
      <c r="L261" s="40"/>
      <c r="M261" s="40"/>
      <c r="N261" s="42" t="str">
        <f>IF($M261="","",IFERROR(INDEX('PRODUCT DATA'!$B$2:$B$58,MATCH(IF(UPPER($M261)="UK","GB",$M261),'PRODUCT DATA'!$B$2:$B$58,0)),IFERROR(INDEX('PRODUCT DATA'!$B$2:$B$58,MATCH(IF(UPPER($M261)="UK","GB",$M261),'PRODUCT DATA'!$A$2:$A$58,0)),"UNKNOWN COUNTRY - please check")))</f>
        <v/>
      </c>
      <c r="O261" s="41"/>
      <c r="P261" s="41"/>
      <c r="Q261" s="41"/>
      <c r="R261" s="41"/>
      <c r="S261" s="41"/>
      <c r="T261" s="41"/>
      <c r="U261" s="41"/>
      <c r="V261" s="43" t="str">
        <f t="shared" si="12"/>
        <v/>
      </c>
      <c r="W261" s="44" t="str">
        <f ca="1">IF(COUNTA($A261,$D261:$M261,$O261:$U261)=0,"",IF($A261="","Item Code; ","")&amp;IF(AND($A261&lt;&gt;"",ISNA(MATCH($AC261,'PRODUCT DATA'!$D$2:$D$394,0))),"Item Code; ","")&amp;IF($M261="","Country; ","")&amp;IF(AND($M261&lt;&gt;"",NOT(OR(NOT(ISNA(MATCH(IF(UPPER($M261)="UK","GB",$M261),'PRODUCT DATA'!$A$2:$A$58,0))),NOT(ISNA(MATCH(IF(UPPER($M261)="UK","GB",$M261),'PRODUCT DATA'!$B$2:$B$58,0)))))),"Country; ","")&amp;IF(AND($A261&lt;&gt;"",$M261&lt;&gt;"",NOT(ISNA(MATCH($AC261,'PRODUCT DATA'!$D$2:$D$394,0))),OR(NOT(ISNA(MATCH(IF(UPPER($M261)="UK","GB",$M261),'PRODUCT DATA'!$A$2:$A$58,0))),NOT(ISNA(MATCH(IF(UPPER($M261)="UK","GB",$M261),'PRODUCT DATA'!$B$2:$B$58,0)))),NOT(IFERROR(COUNTIF(OFFSET('PRODUCT DATA'!$F$2,0,MATCH($AC261,'PRODUCT DATA'!$F$1:$NN$1,0)-1,114,1),$N261)&gt;0,FALSE()))),IF(UPPER(IFERROR(OFFSET('PRODUCT DATA'!$C$2,MATCH($N261,'PRODUCT DATA'!$B$2:$B$58,0)-1,0),""))="NO","Alcohol Restriction; ","Item Code / Country combination; "),"")&amp;IF($C261="","Quantity; ","")&amp;IF(AND($C261&lt;&gt;"",OR(NOT(ISNUMBER($C261)),$C261&lt;1,$C261&gt;999,MOD($C261,1)&lt;&gt;0)),"Quantity; ","")&amp;IF($D261="","Recipient Name; ","")&amp;IF(LEN($D261)&gt;35,"Recipient Name; ","")&amp;IF($E261="","Recipient Phone; ","")&amp;IF(AND($E261&lt;&gt;"",OR(LEN($E261)&lt;6,LEN($E261)&gt;20,NOT(IFERROR(ISNUMBER(1*$E261),FALSE())))),"Recipient Phone; ","")&amp;IF(LEN($F261)&gt;35,"Recipient Company Name; ","")&amp;IF($G261="","Address Line 1; ","")&amp;IF(LEN($G261)&gt;35,"Address Line 1; ","")&amp;IF(LEN($H261)&gt;35,"Address Line 2; ","")&amp;IF(LEN($I261)&gt;35,"Address Line 3; ","")&amp;IF($J261="","Town; ","")&amp;IF(LEN($J261)&gt;35,"Town; ","")&amp;IF(AND($N261="IE",$K261=""),"County; ","")&amp;IF(LEN($AB261)&gt;35,"County; ","")&amp;IF(AND($L261="",AND($N261&lt;&gt;"AE",$N261&lt;&gt;"QA")),"Postcode; ","")&amp;IF(LEN($L261)&gt;35,"Postcode; ","")&amp;IF($AE261&lt;&gt;"","Postcode; ","")&amp;IF(LEN($O261)&gt;40,"Gift Message 1; ","")&amp;IF(LEN($P261)&gt;40,"Gift Message 2; ","")&amp;IF(LEN($Q261)&gt;40,"Gift Message 3; ","")&amp;IF(LEN($R261)&gt;40,"Gift Message 4; ","")&amp;IF(LEN($S261)&gt;40,"Gift Message 5; ","")&amp;IF(LEN($T261)&gt;40,"Gift Message 6; ","")&amp;IF(LEN($U261)&gt;40,"Gift Message 7; ",""))</f>
        <v/>
      </c>
      <c r="X261" s="44" t="str">
        <f ca="1">IF(COUNTA($A261,$D261:$M261,$O261:$U261)=0,"",IF($A261="","Enter the Item Code (hamper) - type it, paste it, or choose it from the dropdown. ","")&amp;IF(AND($A261&lt;&gt;"",ISNA(MATCH($AC261,'PRODUCT DATA'!$D$2:$D$394,0))),"This Item Code is not recognised. Check the code (case does not matter, but spelling and digits must match exactly) or choose it from the dropdown. ","")&amp;IF($M261="","Enter the Country after the Item Code - type or paste the name or the 2-letter code, or choose it from the dropdown. ","")&amp;IF(AND($M261&lt;&gt;"",NOT(OR(NOT(ISNA(MATCH(IF(UPPER($M261)="UK","GB",$M261),'PRODUCT DATA'!$A$2:$A$58,0))),NOT(ISNA(MATCH(IF(UPPER($M261)="UK","GB",$M261),'PRODUCT DATA'!$B$2:$B$58,0)))))),"This Country is not recognised as either a full name or a 2-letter code. Check the spelling (case does not matter) or choose it from the dropdown. ","")&amp;IF(AND($A261&lt;&gt;"",$M261&lt;&gt;"",NOT(ISNA(MATCH($AC261,'PRODUCT DATA'!$D$2:$D$394,0))),OR(NOT(ISNA(MATCH(IF(UPPER($M261)="UK","GB",$M261),'PRODUCT DATA'!$A$2:$A$58,0))),NOT(ISNA(MATCH(IF(UPPER($M261)="UK","GB",$M261),'PRODUCT DATA'!$B$2:$B$58,0)))),NOT(IFERROR(COUNTIF(OFFSET('PRODUCT DATA'!$F$2,0,MATCH($AC261,'PRODUCT DATA'!$F$1:$NN$1,0)-1,114,1),$N261)&gt;0,FALSE()))),IF(UPPER(IFERROR(OFFSET('PRODUCT DATA'!$C$2,MATCH($N261,'PRODUCT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"),"")&amp;IF($C261="","Enter Quantity. ","")&amp;IF(AND($C261&lt;&gt;"",OR(NOT(ISNUMBER($C261)),$C261&lt;1,$C261&gt;999,MOD($C261,1)&lt;&gt;0)),"Quantity must be a whole number from 1 to 999 (use a quantity above 1 only for a genuine bulk order of identical items to ONE address — otherwise use a separate row per recipient). ","")&amp;IF($D261="","Enter Recipient Name. ","")&amp;IF(LEN($D261)&gt;35,"Recipient Name exceeds 35 characters. ","")&amp;IF($E261="","Enter Recipient Phone. ","")&amp;IF(AND($E261&lt;&gt;"",OR(LEN($E261)&lt;6,LEN($E261)&gt;20,NOT(IFERROR(ISNUMBER(1*$E261),FALSE())))),"Phone must be the LOCAL number for the destination country: digits only, no +, spaces, or country code, 6 to 20 digits. ","")&amp;IF(LEN($F261)&gt;35,"Recipient Company Name exceeds 35 characters. ","")&amp;IF($G261="","Enter Address Line 1. ","")&amp;IF(LEN($G261)&gt;35,"Address Line 1 exceeds the 35-character SAP limit. ","")&amp;IF(LEN($H261)&gt;35,"Address Line 2 exceeds the 35-character SAP limit. ","")&amp;IF(LEN($I261)&gt;35,"Address Line 3 exceeds the 35-character SAP limit. ","")&amp;IF($J261="","Enter Town. This must never be left blank, even if there is no conventional town name. ","")&amp;IF(LEN($J261)&gt;35,"Town exceeds 35 characters. ","")&amp;IF(AND($N261="IE",$K261=""),"County is required for deliveries within the Republic of Ireland. ","")&amp;IF(LEN($AB261)&gt;35,"County exceeds 35 characters. ","")&amp;IF(AND($L261="",AND($N261&lt;&gt;"AE",$N261&lt;&gt;"QA")),"Postcode is required for the selected country. If there is genuinely no postcode, enter the first 3 characters of the area (e.g. D15). ","")&amp;IF(LEN($L261)&gt;35,"Postcode exceeds 35 characters. ","")&amp;IF($AE261&lt;&gt;"",$AE261,"")&amp;IF(LEN($O261)&gt;40,"Gift Message Line 1 exceeds 40 characters. ","")&amp;IF(LEN($P261)&gt;40,"Gift Message Line 2 exceeds 40 characters. ","")&amp;IF(LEN($Q261)&gt;40,"Gift Message Line 3 exceeds 40 characters. ","")&amp;IF(LEN($R261)&gt;40,"Gift Message Line 4 exceeds 40 characters. ","")&amp;IF(LEN($S261)&gt;40,"Gift Message Line 5 exceeds 40 characters. ","")&amp;IF(LEN($T261)&gt;40,"Gift Message Line 6 exceeds 40 characters. ","")&amp;IF(LEN($U261)&gt;40,"Gift Message Line 7 exceeds 40 characters. ",""))</f>
        <v/>
      </c>
      <c r="Y261" s="44" t="str">
        <f t="shared" si="13"/>
        <v/>
      </c>
      <c r="Z261" s="44"/>
      <c r="AA261" s="44"/>
      <c r="AB261" s="32" t="str">
        <f t="shared" si="14"/>
        <v/>
      </c>
      <c r="AC261" s="32" t="str">
        <f>IF($A261="","",IFERROR(LEFT(INDEX('PRODUCT DATA'!$NO$2:$NO$25,MATCH($A261,'PRODUCT DATA'!$NP$2:$NP$25,0)),FIND("|",INDEX('PRODUCT DATA'!$NO$2:$NO$25,MATCH($A261,'PRODUCT DATA'!$NP$2:$NP$25,0)))-1),$A261))</f>
        <v/>
      </c>
      <c r="AD261" s="45"/>
      <c r="AE261" s="45" t="str">
        <f t="shared" si="15"/>
        <v/>
      </c>
    </row>
    <row r="262" spans="1:31" ht="15" customHeight="1" x14ac:dyDescent="0.25">
      <c r="A262" s="40"/>
      <c r="B262" s="43" t="str">
        <f>IF($A262="","",IFERROR(VLOOKUP($AC262,'PRODUCT DATA'!$NR$2:$NS$374,2,FALSE()),"UNKNOWN ITEM CODE - please check"))</f>
        <v/>
      </c>
      <c r="C262" s="39">
        <v>1</v>
      </c>
      <c r="D262" s="39"/>
      <c r="E262" s="40"/>
      <c r="F262" s="41"/>
      <c r="G262" s="39"/>
      <c r="H262" s="41"/>
      <c r="I262" s="41"/>
      <c r="J262" s="39"/>
      <c r="K262" s="41"/>
      <c r="L262" s="40"/>
      <c r="M262" s="40"/>
      <c r="N262" s="42" t="str">
        <f>IF($M262="","",IFERROR(INDEX('PRODUCT DATA'!$B$2:$B$58,MATCH(IF(UPPER($M262)="UK","GB",$M262),'PRODUCT DATA'!$B$2:$B$58,0)),IFERROR(INDEX('PRODUCT DATA'!$B$2:$B$58,MATCH(IF(UPPER($M262)="UK","GB",$M262),'PRODUCT DATA'!$A$2:$A$58,0)),"UNKNOWN COUNTRY - please check")))</f>
        <v/>
      </c>
      <c r="O262" s="41"/>
      <c r="P262" s="41"/>
      <c r="Q262" s="41"/>
      <c r="R262" s="41"/>
      <c r="S262" s="41"/>
      <c r="T262" s="41"/>
      <c r="U262" s="41"/>
      <c r="V262" s="43" t="str">
        <f t="shared" ref="V262:V325" si="16">IF(COUNTA($A262,$D262:$M262,$O262:$U262)=0,"",IF($X262="","OK","FIX"))</f>
        <v/>
      </c>
      <c r="W262" s="44" t="str">
        <f ca="1">IF(COUNTA($A262,$D262:$M262,$O262:$U262)=0,"",IF($A262="","Item Code; ","")&amp;IF(AND($A262&lt;&gt;"",ISNA(MATCH($AC262,'PRODUCT DATA'!$D$2:$D$394,0))),"Item Code; ","")&amp;IF($M262="","Country; ","")&amp;IF(AND($M262&lt;&gt;"",NOT(OR(NOT(ISNA(MATCH(IF(UPPER($M262)="UK","GB",$M262),'PRODUCT DATA'!$A$2:$A$58,0))),NOT(ISNA(MATCH(IF(UPPER($M262)="UK","GB",$M262),'PRODUCT DATA'!$B$2:$B$58,0)))))),"Country; ","")&amp;IF(AND($A262&lt;&gt;"",$M262&lt;&gt;"",NOT(ISNA(MATCH($AC262,'PRODUCT DATA'!$D$2:$D$394,0))),OR(NOT(ISNA(MATCH(IF(UPPER($M262)="UK","GB",$M262),'PRODUCT DATA'!$A$2:$A$58,0))),NOT(ISNA(MATCH(IF(UPPER($M262)="UK","GB",$M262),'PRODUCT DATA'!$B$2:$B$58,0)))),NOT(IFERROR(COUNTIF(OFFSET('PRODUCT DATA'!$F$2,0,MATCH($AC262,'PRODUCT DATA'!$F$1:$NN$1,0)-1,114,1),$N262)&gt;0,FALSE()))),IF(UPPER(IFERROR(OFFSET('PRODUCT DATA'!$C$2,MATCH($N262,'PRODUCT DATA'!$B$2:$B$58,0)-1,0),""))="NO","Alcohol Restriction; ","Item Code / Country combination; "),"")&amp;IF($C262="","Quantity; ","")&amp;IF(AND($C262&lt;&gt;"",OR(NOT(ISNUMBER($C262)),$C262&lt;1,$C262&gt;999,MOD($C262,1)&lt;&gt;0)),"Quantity; ","")&amp;IF($D262="","Recipient Name; ","")&amp;IF(LEN($D262)&gt;35,"Recipient Name; ","")&amp;IF($E262="","Recipient Phone; ","")&amp;IF(AND($E262&lt;&gt;"",OR(LEN($E262)&lt;6,LEN($E262)&gt;20,NOT(IFERROR(ISNUMBER(1*$E262),FALSE())))),"Recipient Phone; ","")&amp;IF(LEN($F262)&gt;35,"Recipient Company Name; ","")&amp;IF($G262="","Address Line 1; ","")&amp;IF(LEN($G262)&gt;35,"Address Line 1; ","")&amp;IF(LEN($H262)&gt;35,"Address Line 2; ","")&amp;IF(LEN($I262)&gt;35,"Address Line 3; ","")&amp;IF($J262="","Town; ","")&amp;IF(LEN($J262)&gt;35,"Town; ","")&amp;IF(AND($N262="IE",$K262=""),"County; ","")&amp;IF(LEN($AB262)&gt;35,"County; ","")&amp;IF(AND($L262="",AND($N262&lt;&gt;"AE",$N262&lt;&gt;"QA")),"Postcode; ","")&amp;IF(LEN($L262)&gt;35,"Postcode; ","")&amp;IF($AE262&lt;&gt;"","Postcode; ","")&amp;IF(LEN($O262)&gt;40,"Gift Message 1; ","")&amp;IF(LEN($P262)&gt;40,"Gift Message 2; ","")&amp;IF(LEN($Q262)&gt;40,"Gift Message 3; ","")&amp;IF(LEN($R262)&gt;40,"Gift Message 4; ","")&amp;IF(LEN($S262)&gt;40,"Gift Message 5; ","")&amp;IF(LEN($T262)&gt;40,"Gift Message 6; ","")&amp;IF(LEN($U262)&gt;40,"Gift Message 7; ",""))</f>
        <v/>
      </c>
      <c r="X262" s="44" t="str">
        <f ca="1">IF(COUNTA($A262,$D262:$M262,$O262:$U262)=0,"",IF($A262="","Enter the Item Code (hamper) - type it, paste it, or choose it from the dropdown. ","")&amp;IF(AND($A262&lt;&gt;"",ISNA(MATCH($AC262,'PRODUCT DATA'!$D$2:$D$394,0))),"This Item Code is not recognised. Check the code (case does not matter, but spelling and digits must match exactly) or choose it from the dropdown. ","")&amp;IF($M262="","Enter the Country after the Item Code - type or paste the name or the 2-letter code, or choose it from the dropdown. ","")&amp;IF(AND($M262&lt;&gt;"",NOT(OR(NOT(ISNA(MATCH(IF(UPPER($M262)="UK","GB",$M262),'PRODUCT DATA'!$A$2:$A$58,0))),NOT(ISNA(MATCH(IF(UPPER($M262)="UK","GB",$M262),'PRODUCT DATA'!$B$2:$B$58,0)))))),"This Country is not recognised as either a full name or a 2-letter code. Check the spelling (case does not matter) or choose it from the dropdown. ","")&amp;IF(AND($A262&lt;&gt;"",$M262&lt;&gt;"",NOT(ISNA(MATCH($AC262,'PRODUCT DATA'!$D$2:$D$394,0))),OR(NOT(ISNA(MATCH(IF(UPPER($M262)="UK","GB",$M262),'PRODUCT DATA'!$A$2:$A$58,0))),NOT(ISNA(MATCH(IF(UPPER($M262)="UK","GB",$M262),'PRODUCT DATA'!$B$2:$B$58,0)))),NOT(IFERROR(COUNTIF(OFFSET('PRODUCT DATA'!$F$2,0,MATCH($AC262,'PRODUCT DATA'!$F$1:$NN$1,0)-1,114,1),$N262)&gt;0,FALSE()))),IF(UPPER(IFERROR(OFFSET('PRODUCT DATA'!$C$2,MATCH($N262,'PRODUCT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"),"")&amp;IF($C262="","Enter Quantity. ","")&amp;IF(AND($C262&lt;&gt;"",OR(NOT(ISNUMBER($C262)),$C262&lt;1,$C262&gt;999,MOD($C262,1)&lt;&gt;0)),"Quantity must be a whole number from 1 to 999 (use a quantity above 1 only for a genuine bulk order of identical items to ONE address — otherwise use a separate row per recipient). ","")&amp;IF($D262="","Enter Recipient Name. ","")&amp;IF(LEN($D262)&gt;35,"Recipient Name exceeds 35 characters. ","")&amp;IF($E262="","Enter Recipient Phone. ","")&amp;IF(AND($E262&lt;&gt;"",OR(LEN($E262)&lt;6,LEN($E262)&gt;20,NOT(IFERROR(ISNUMBER(1*$E262),FALSE())))),"Phone must be the LOCAL number for the destination country: digits only, no +, spaces, or country code, 6 to 20 digits. ","")&amp;IF(LEN($F262)&gt;35,"Recipient Company Name exceeds 35 characters. ","")&amp;IF($G262="","Enter Address Line 1. ","")&amp;IF(LEN($G262)&gt;35,"Address Line 1 exceeds the 35-character SAP limit. ","")&amp;IF(LEN($H262)&gt;35,"Address Line 2 exceeds the 35-character SAP limit. ","")&amp;IF(LEN($I262)&gt;35,"Address Line 3 exceeds the 35-character SAP limit. ","")&amp;IF($J262="","Enter Town. This must never be left blank, even if there is no conventional town name. ","")&amp;IF(LEN($J262)&gt;35,"Town exceeds 35 characters. ","")&amp;IF(AND($N262="IE",$K262=""),"County is required for deliveries within the Republic of Ireland. ","")&amp;IF(LEN($AB262)&gt;35,"County exceeds 35 characters. ","")&amp;IF(AND($L262="",AND($N262&lt;&gt;"AE",$N262&lt;&gt;"QA")),"Postcode is required for the selected country. If there is genuinely no postcode, enter the first 3 characters of the area (e.g. D15). ","")&amp;IF(LEN($L262)&gt;35,"Postcode exceeds 35 characters. ","")&amp;IF($AE262&lt;&gt;"",$AE262,"")&amp;IF(LEN($O262)&gt;40,"Gift Message Line 1 exceeds 40 characters. ","")&amp;IF(LEN($P262)&gt;40,"Gift Message Line 2 exceeds 40 characters. ","")&amp;IF(LEN($Q262)&gt;40,"Gift Message Line 3 exceeds 40 characters. ","")&amp;IF(LEN($R262)&gt;40,"Gift Message Line 4 exceeds 40 characters. ","")&amp;IF(LEN($S262)&gt;40,"Gift Message Line 5 exceeds 40 characters. ","")&amp;IF(LEN($T262)&gt;40,"Gift Message Line 6 exceeds 40 characters. ","")&amp;IF(LEN($U262)&gt;40,"Gift Message Line 7 exceeds 40 characters. ",""))</f>
        <v/>
      </c>
      <c r="Y262" s="44" t="str">
        <f t="shared" ref="Y262:Y325" si="17">IF(AND(NOT(COUNTA($A262,$D262:$M262,$O262:$U262)=0),ISNUMBER($C262),$C262&gt;1),"Quantity is more than 1 - confirm this is a genuine bulk order to ONE address before SAP entry. ","")&amp;IF(AND(NOT(COUNTA($A262,$D262:$M262,$O262:$U262)=0),AND($O262="",$P262="",$Q262="",$R262="",$S262="",$T262="",$U262="")),"No gift message entered - add our standard message before this goes to SAP. ","")&amp;IF(AND(NOT(COUNTA($A262,$D262:$M262,$O262:$U262)=0),AND($N262&lt;&gt;"AT",$N262&lt;&gt;"BE",$N262&lt;&gt;"BG",$N262&lt;&gt;"CY",$N262&lt;&gt;"CZ",$N262&lt;&gt;"DE",$N262&lt;&gt;"DK",$N262&lt;&gt;"EE",$N262&lt;&gt;"ES",$N262&lt;&gt;"FI",$N262&lt;&gt;"FR",$N262&lt;&gt;"GB",$N262&lt;&gt;"GR",$N262&lt;&gt;"HR",$N262&lt;&gt;"HU",$N262&lt;&gt;"IC",$N262&lt;&gt;"IE",$N262&lt;&gt;"IT",$N262&lt;&gt;"LT",$N262&lt;&gt;"LU",$N262&lt;&gt;"LV",$N262&lt;&gt;"MT",$N262&lt;&gt;"NL",$N262&lt;&gt;"PL",$N262&lt;&gt;"PT",$N262&lt;&gt;"RO",$N262&lt;&gt;"SE",$N262&lt;&gt;"SI",$N262&lt;&gt;"SK",$N262&lt;&gt;"VA"),$K262&lt;&gt;""),"Non-EU/UK/Ireland delivery with County filled in - check the SAP Town/Address-3 field-swap rule (State goes in Town, City goes in Address Line 3) before SAP entry. ","")&amp;IF($AA262&lt;&gt;"",$AA262&amp;" ","")</f>
        <v/>
      </c>
      <c r="Z262" s="44"/>
      <c r="AA262" s="44"/>
      <c r="AB262" s="32" t="str">
        <f t="shared" ref="AB262:AB325" si="18">IF(TRIM($K262)="","",IF(LEFT(UPPER(TRIM($K262)),4)="CO. ",TRIM(MID(TRIM($K262),5,255)),IF(LEFT(UPPER(TRIM($K262)),3)="CO ",TRIM(MID(TRIM($K262),4,255)),IF(LEFT(UPPER(TRIM($K262)),7)="COUNTY ",TRIM(MID(TRIM($K262),8,255)),TRIM($K262)))))</f>
        <v/>
      </c>
      <c r="AC262" s="32" t="str">
        <f>IF($A262="","",IFERROR(LEFT(INDEX('PRODUCT DATA'!$NO$2:$NO$25,MATCH($A262,'PRODUCT DATA'!$NP$2:$NP$25,0)),FIND("|",INDEX('PRODUCT DATA'!$NO$2:$NO$25,MATCH($A262,'PRODUCT DATA'!$NP$2:$NP$25,0)))-1),$A262))</f>
        <v/>
      </c>
      <c r="AD262" s="45"/>
      <c r="AE262" s="45" t="str">
        <f t="shared" ref="AE262:AE325" si="19">IF(OR($L262="",$N262=""),"",IF($N262="US",IF(OR(AND(LEN((SUBSTITUTE(TRIM($L262)," ","")))=5,ISNUMBER(VALUE((SUBSTITUTE(TRIM($L262)," ",""))))),AND(LEN((SUBSTITUTE(TRIM($L262)," ","")))=9,ISNUMBER(VALUE((SUBSTITUTE(TRIM($L262)," ",""))))),AND(LEN((SUBSTITUTE(TRIM($L262)," ","")))=10,MID((SUBSTITUTE(TRIM($L262)," ","")),6,1)="-",ISNUMBER(VALUE(LEFT((SUBSTITUTE(TRIM($L262)," ","")),5))),ISNUMBER(VALUE(RIGHT((SUBSTITUTE(TRIM($L262)," ","")),4))))),"","Postcode '"&amp;$L262&amp;"' doesn't look like a valid "&amp;$N262&amp;" postcode - please check it. "),IF($N262="CA",IF(AND(LEN((SUBSTITUTE(TRIM($L262)," ","")))=6,AND(CODE(UPPER(MID((SUBSTITUTE(TRIM($L262)," ","")),1,1)))&gt;=65,CODE(UPPER(MID((SUBSTITUTE(TRIM($L262)," ","")),1,1)))&lt;=90),ISNUMBER(VALUE(MID((SUBSTITUTE(TRIM($L262)," ","")),2,1))),AND(CODE(UPPER(MID((SUBSTITUTE(TRIM($L262)," ","")),3,1)))&gt;=65,CODE(UPPER(MID((SUBSTITUTE(TRIM($L262)," ","")),3,1)))&lt;=90),ISNUMBER(VALUE(MID((SUBSTITUTE(TRIM($L262)," ","")),4,1))),AND(CODE(UPPER(MID((SUBSTITUTE(TRIM($L262)," ","")),5,1)))&gt;=65,CODE(UPPER(MID((SUBSTITUTE(TRIM($L262)," ","")),5,1)))&lt;=90),ISNUMBER(VALUE(MID((SUBSTITUTE(TRIM($L262)," ","")),6,1)))),"","Postcode '"&amp;$L262&amp;"' doesn't look like a valid "&amp;$N262&amp;" postcode - please check it. "),IF($N262="NL",IF(AND(LEN((SUBSTITUTE(TRIM($L262)," ","")))=6,ISNUMBER(VALUE(LEFT((SUBSTITUTE(TRIM($L262)," ","")),4))),AND(CODE(UPPER(MID((SUBSTITUTE(TRIM($L262)," ","")),5,1)))&gt;=65,CODE(UPPER(MID((SUBSTITUTE(TRIM($L262)," ","")),5,1)))&lt;=90),AND(CODE(UPPER(MID((SUBSTITUTE(TRIM($L262)," ","")),6,1)))&gt;=65,CODE(UPPER(MID((SUBSTITUTE(TRIM($L262)," ","")),6,1)))&lt;=90)),"","Postcode '"&amp;$L262&amp;"' doesn't look like a valid "&amp;$N262&amp;" postcode - please check it. "),IF($N262="IE",IF(AND(LEN((SUBSTITUTE(TRIM($L262)," ","")))=7,AND(CODE(UPPER(MID((SUBSTITUTE(TRIM($L262)," ","")),1,1)))&gt;=65,CODE(UPPER(MID((SUBSTITUTE(TRIM($L262)," ","")),1,1)))&lt;=90),ISNUMBER(VALUE(MID((SUBSTITUTE(TRIM($L262)," ","")),2,1))),OR(ISNUMBER(VALUE(MID((SUBSTITUTE(TRIM($L262)," ","")),3,1))),AND(CODE(UPPER(MID((SUBSTITUTE(TRIM($L262)," ","")),3,1)))&gt;=65,CODE(UPPER(MID((SUBSTITUTE(TRIM($L262)," ","")),3,1)))&lt;=90)),OR(ISNUMBER(VALUE(MID((SUBSTITUTE(TRIM($L262)," ","")),4,1))),AND(CODE(UPPER(MID((SUBSTITUTE(TRIM($L262)," ","")),4,1)))&gt;=65,CODE(UPPER(MID((SUBSTITUTE(TRIM($L262)," ","")),4,1)))&lt;=90)),OR(ISNUMBER(VALUE(MID((SUBSTITUTE(TRIM($L262)," ","")),5,1))),AND(CODE(UPPER(MID((SUBSTITUTE(TRIM($L262)," ","")),5,1)))&gt;=65,CODE(UPPER(MID((SUBSTITUTE(TRIM($L262)," ","")),5,1)))&lt;=90)),OR(ISNUMBER(VALUE(MID((SUBSTITUTE(TRIM($L262)," ","")),6,1))),AND(CODE(UPPER(MID((SUBSTITUTE(TRIM($L262)," ","")),6,1)))&gt;=65,CODE(UPPER(MID((SUBSTITUTE(TRIM($L262)," ","")),6,1)))&lt;=90)),OR(ISNUMBER(VALUE(MID((SUBSTITUTE(TRIM($L262)," ","")),7,1))),AND(CODE(UPPER(MID((SUBSTITUTE(TRIM($L262)," ","")),7,1)))&gt;=65,CODE(UPPER(MID((SUBSTITUTE(TRIM($L262)," ","")),7,1)))&lt;=90))),"","Postcode '"&amp;$L262&amp;"' doesn't look like a valid "&amp;$N262&amp;" postcode - please check it. "),IF($N262="GB",IF(AND(OR(LEN((SUBSTITUTE(TRIM($L262)," ","")))=5,LEN((SUBSTITUTE(TRIM($L262)," ","")))=6,LEN((SUBSTITUTE(TRIM($L262)," ","")))=7),AND(ISNUMBER(VALUE(MID((SUBSTITUTE(TRIM($L262)," ","")),LEN((SUBSTITUTE(TRIM($L262)," ","")))-2,1))),AND(CODE(UPPER(MID((SUBSTITUTE(TRIM($L262)," ","")),LEN((SUBSTITUTE(TRIM($L262)," ","")))-1,1)))&gt;=65,CODE(UPPER(MID((SUBSTITUTE(TRIM($L262)," ","")),LEN((SUBSTITUTE(TRIM($L262)," ","")))-1,1)))&lt;=90),AND(CODE(UPPER(MID((SUBSTITUTE(TRIM($L262)," ","")),LEN((SUBSTITUTE(TRIM($L262)," ",""))),1)))&gt;=65,CODE(UPPER(MID((SUBSTITUTE(TRIM($L262)," ","")),LEN((SUBSTITUTE(TRIM($L262)," ",""))),1)))&lt;=90)),IF(LEN((SUBSTITUTE(TRIM($L262)," ","")))-3=2,AND(AND(CODE(UPPER(MID((SUBSTITUTE(TRIM($L262)," ","")),1,1)))&gt;=65,CODE(UPPER(MID((SUBSTITUTE(TRIM($L262)," ","")),1,1)))&lt;=90),ISNUMBER(VALUE(MID((SUBSTITUTE(TRIM($L262)," ","")),2,1)))),IF(LEN((SUBSTITUTE(TRIM($L262)," ","")))-3=3,OR(AND(AND(CODE(UPPER(MID((SUBSTITUTE(TRIM($L262)," ","")),1,1)))&gt;=65,CODE(UPPER(MID((SUBSTITUTE(TRIM($L262)," ","")),1,1)))&lt;=90),ISNUMBER(VALUE(MID((SUBSTITUTE(TRIM($L262)," ","")),2,1))),OR(ISNUMBER(VALUE(MID((SUBSTITUTE(TRIM($L262)," ","")),3,1))),AND(CODE(UPPER(MID((SUBSTITUTE(TRIM($L262)," ","")),3,1)))&gt;=65,CODE(UPPER(MID((SUBSTITUTE(TRIM($L262)," ","")),3,1)))&lt;=90))),AND(AND(CODE(UPPER(MID((SUBSTITUTE(TRIM($L262)," ","")),1,1)))&gt;=65,CODE(UPPER(MID((SUBSTITUTE(TRIM($L262)," ","")),1,1)))&lt;=90),AND(CODE(UPPER(MID((SUBSTITUTE(TRIM($L262)," ","")),2,1)))&gt;=65,CODE(UPPER(MID((SUBSTITUTE(TRIM($L262)," ","")),2,1)))&lt;=90),ISNUMBER(VALUE(MID((SUBSTITUTE(TRIM($L262)," ","")),3,1))))),AND(AND(CODE(UPPER(MID((SUBSTITUTE(TRIM($L262)," ","")),1,1)))&gt;=65,CODE(UPPER(MID((SUBSTITUTE(TRIM($L262)," ","")),1,1)))&lt;=90),AND(CODE(UPPER(MID((SUBSTITUTE(TRIM($L262)," ","")),2,1)))&gt;=65,CODE(UPPER(MID((SUBSTITUTE(TRIM($L262)," ","")),2,1)))&lt;=90),ISNUMBER(VALUE(MID((SUBSTITUTE(TRIM($L262)," ","")),3,1))),OR(ISNUMBER(VALUE(MID((SUBSTITUTE(TRIM($L262)," ","")),4,1))),AND(CODE(UPPER(MID((SUBSTITUTE(TRIM($L262)," ","")),4,1)))&gt;=65,CODE(UPPER(MID((SUBSTITUTE(TRIM($L262)," ","")),4,1)))&lt;=90)))))),"","Postcode '"&amp;$L262&amp;"' doesn't look like a valid "&amp;$N262&amp;" postcode - please check it. "),""))))))</f>
        <v/>
      </c>
    </row>
    <row r="263" spans="1:31" ht="15" customHeight="1" x14ac:dyDescent="0.25">
      <c r="A263" s="40"/>
      <c r="B263" s="43" t="str">
        <f>IF($A263="","",IFERROR(VLOOKUP($AC263,'PRODUCT DATA'!$NR$2:$NS$374,2,FALSE()),"UNKNOWN ITEM CODE - please check"))</f>
        <v/>
      </c>
      <c r="C263" s="39">
        <v>1</v>
      </c>
      <c r="D263" s="39"/>
      <c r="E263" s="40"/>
      <c r="F263" s="41"/>
      <c r="G263" s="39"/>
      <c r="H263" s="41"/>
      <c r="I263" s="41"/>
      <c r="J263" s="39"/>
      <c r="K263" s="41"/>
      <c r="L263" s="40"/>
      <c r="M263" s="40"/>
      <c r="N263" s="42" t="str">
        <f>IF($M263="","",IFERROR(INDEX('PRODUCT DATA'!$B$2:$B$58,MATCH(IF(UPPER($M263)="UK","GB",$M263),'PRODUCT DATA'!$B$2:$B$58,0)),IFERROR(INDEX('PRODUCT DATA'!$B$2:$B$58,MATCH(IF(UPPER($M263)="UK","GB",$M263),'PRODUCT DATA'!$A$2:$A$58,0)),"UNKNOWN COUNTRY - please check")))</f>
        <v/>
      </c>
      <c r="O263" s="41"/>
      <c r="P263" s="41"/>
      <c r="Q263" s="41"/>
      <c r="R263" s="41"/>
      <c r="S263" s="41"/>
      <c r="T263" s="41"/>
      <c r="U263" s="41"/>
      <c r="V263" s="43" t="str">
        <f t="shared" si="16"/>
        <v/>
      </c>
      <c r="W263" s="44" t="str">
        <f ca="1">IF(COUNTA($A263,$D263:$M263,$O263:$U263)=0,"",IF($A263="","Item Code; ","")&amp;IF(AND($A263&lt;&gt;"",ISNA(MATCH($AC263,'PRODUCT DATA'!$D$2:$D$394,0))),"Item Code; ","")&amp;IF($M263="","Country; ","")&amp;IF(AND($M263&lt;&gt;"",NOT(OR(NOT(ISNA(MATCH(IF(UPPER($M263)="UK","GB",$M263),'PRODUCT DATA'!$A$2:$A$58,0))),NOT(ISNA(MATCH(IF(UPPER($M263)="UK","GB",$M263),'PRODUCT DATA'!$B$2:$B$58,0)))))),"Country; ","")&amp;IF(AND($A263&lt;&gt;"",$M263&lt;&gt;"",NOT(ISNA(MATCH($AC263,'PRODUCT DATA'!$D$2:$D$394,0))),OR(NOT(ISNA(MATCH(IF(UPPER($M263)="UK","GB",$M263),'PRODUCT DATA'!$A$2:$A$58,0))),NOT(ISNA(MATCH(IF(UPPER($M263)="UK","GB",$M263),'PRODUCT DATA'!$B$2:$B$58,0)))),NOT(IFERROR(COUNTIF(OFFSET('PRODUCT DATA'!$F$2,0,MATCH($AC263,'PRODUCT DATA'!$F$1:$NN$1,0)-1,114,1),$N263)&gt;0,FALSE()))),IF(UPPER(IFERROR(OFFSET('PRODUCT DATA'!$C$2,MATCH($N263,'PRODUCT DATA'!$B$2:$B$58,0)-1,0),""))="NO","Alcohol Restriction; ","Item Code / Country combination; "),"")&amp;IF($C263="","Quantity; ","")&amp;IF(AND($C263&lt;&gt;"",OR(NOT(ISNUMBER($C263)),$C263&lt;1,$C263&gt;999,MOD($C263,1)&lt;&gt;0)),"Quantity; ","")&amp;IF($D263="","Recipient Name; ","")&amp;IF(LEN($D263)&gt;35,"Recipient Name; ","")&amp;IF($E263="","Recipient Phone; ","")&amp;IF(AND($E263&lt;&gt;"",OR(LEN($E263)&lt;6,LEN($E263)&gt;20,NOT(IFERROR(ISNUMBER(1*$E263),FALSE())))),"Recipient Phone; ","")&amp;IF(LEN($F263)&gt;35,"Recipient Company Name; ","")&amp;IF($G263="","Address Line 1; ","")&amp;IF(LEN($G263)&gt;35,"Address Line 1; ","")&amp;IF(LEN($H263)&gt;35,"Address Line 2; ","")&amp;IF(LEN($I263)&gt;35,"Address Line 3; ","")&amp;IF($J263="","Town; ","")&amp;IF(LEN($J263)&gt;35,"Town; ","")&amp;IF(AND($N263="IE",$K263=""),"County; ","")&amp;IF(LEN($AB263)&gt;35,"County; ","")&amp;IF(AND($L263="",AND($N263&lt;&gt;"AE",$N263&lt;&gt;"QA")),"Postcode; ","")&amp;IF(LEN($L263)&gt;35,"Postcode; ","")&amp;IF($AE263&lt;&gt;"","Postcode; ","")&amp;IF(LEN($O263)&gt;40,"Gift Message 1; ","")&amp;IF(LEN($P263)&gt;40,"Gift Message 2; ","")&amp;IF(LEN($Q263)&gt;40,"Gift Message 3; ","")&amp;IF(LEN($R263)&gt;40,"Gift Message 4; ","")&amp;IF(LEN($S263)&gt;40,"Gift Message 5; ","")&amp;IF(LEN($T263)&gt;40,"Gift Message 6; ","")&amp;IF(LEN($U263)&gt;40,"Gift Message 7; ",""))</f>
        <v/>
      </c>
      <c r="X263" s="44" t="str">
        <f ca="1">IF(COUNTA($A263,$D263:$M263,$O263:$U263)=0,"",IF($A263="","Enter the Item Code (hamper) - type it, paste it, or choose it from the dropdown. ","")&amp;IF(AND($A263&lt;&gt;"",ISNA(MATCH($AC263,'PRODUCT DATA'!$D$2:$D$394,0))),"This Item Code is not recognised. Check the code (case does not matter, but spelling and digits must match exactly) or choose it from the dropdown. ","")&amp;IF($M263="","Enter the Country after the Item Code - type or paste the name or the 2-letter code, or choose it from the dropdown. ","")&amp;IF(AND($M263&lt;&gt;"",NOT(OR(NOT(ISNA(MATCH(IF(UPPER($M263)="UK","GB",$M263),'PRODUCT DATA'!$A$2:$A$58,0))),NOT(ISNA(MATCH(IF(UPPER($M263)="UK","GB",$M263),'PRODUCT DATA'!$B$2:$B$58,0)))))),"This Country is not recognised as either a full name or a 2-letter code. Check the spelling (case does not matter) or choose it from the dropdown. ","")&amp;IF(AND($A263&lt;&gt;"",$M263&lt;&gt;"",NOT(ISNA(MATCH($AC263,'PRODUCT DATA'!$D$2:$D$394,0))),OR(NOT(ISNA(MATCH(IF(UPPER($M263)="UK","GB",$M263),'PRODUCT DATA'!$A$2:$A$58,0))),NOT(ISNA(MATCH(IF(UPPER($M263)="UK","GB",$M263),'PRODUCT DATA'!$B$2:$B$58,0)))),NOT(IFERROR(COUNTIF(OFFSET('PRODUCT DATA'!$F$2,0,MATCH($AC263,'PRODUCT DATA'!$F$1:$NN$1,0)-1,114,1),$N263)&gt;0,FALSE()))),IF(UPPER(IFERROR(OFFSET('PRODUCT DATA'!$C$2,MATCH($N263,'PRODUCT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"),"")&amp;IF($C263="","Enter Quantity. ","")&amp;IF(AND($C263&lt;&gt;"",OR(NOT(ISNUMBER($C263)),$C263&lt;1,$C263&gt;999,MOD($C263,1)&lt;&gt;0)),"Quantity must be a whole number from 1 to 999 (use a quantity above 1 only for a genuine bulk order of identical items to ONE address — otherwise use a separate row per recipient). ","")&amp;IF($D263="","Enter Recipient Name. ","")&amp;IF(LEN($D263)&gt;35,"Recipient Name exceeds 35 characters. ","")&amp;IF($E263="","Enter Recipient Phone. ","")&amp;IF(AND($E263&lt;&gt;"",OR(LEN($E263)&lt;6,LEN($E263)&gt;20,NOT(IFERROR(ISNUMBER(1*$E263),FALSE())))),"Phone must be the LOCAL number for the destination country: digits only, no +, spaces, or country code, 6 to 20 digits. ","")&amp;IF(LEN($F263)&gt;35,"Recipient Company Name exceeds 35 characters. ","")&amp;IF($G263="","Enter Address Line 1. ","")&amp;IF(LEN($G263)&gt;35,"Address Line 1 exceeds the 35-character SAP limit. ","")&amp;IF(LEN($H263)&gt;35,"Address Line 2 exceeds the 35-character SAP limit. ","")&amp;IF(LEN($I263)&gt;35,"Address Line 3 exceeds the 35-character SAP limit. ","")&amp;IF($J263="","Enter Town. This must never be left blank, even if there is no conventional town name. ","")&amp;IF(LEN($J263)&gt;35,"Town exceeds 35 characters. ","")&amp;IF(AND($N263="IE",$K263=""),"County is required for deliveries within the Republic of Ireland. ","")&amp;IF(LEN($AB263)&gt;35,"County exceeds 35 characters. ","")&amp;IF(AND($L263="",AND($N263&lt;&gt;"AE",$N263&lt;&gt;"QA")),"Postcode is required for the selected country. If there is genuinely no postcode, enter the first 3 characters of the area (e.g. D15). ","")&amp;IF(LEN($L263)&gt;35,"Postcode exceeds 35 characters. ","")&amp;IF($AE263&lt;&gt;"",$AE263,"")&amp;IF(LEN($O263)&gt;40,"Gift Message Line 1 exceeds 40 characters. ","")&amp;IF(LEN($P263)&gt;40,"Gift Message Line 2 exceeds 40 characters. ","")&amp;IF(LEN($Q263)&gt;40,"Gift Message Line 3 exceeds 40 characters. ","")&amp;IF(LEN($R263)&gt;40,"Gift Message Line 4 exceeds 40 characters. ","")&amp;IF(LEN($S263)&gt;40,"Gift Message Line 5 exceeds 40 characters. ","")&amp;IF(LEN($T263)&gt;40,"Gift Message Line 6 exceeds 40 characters. ","")&amp;IF(LEN($U263)&gt;40,"Gift Message Line 7 exceeds 40 characters. ",""))</f>
        <v/>
      </c>
      <c r="Y263" s="44" t="str">
        <f t="shared" si="17"/>
        <v/>
      </c>
      <c r="Z263" s="44"/>
      <c r="AA263" s="44"/>
      <c r="AB263" s="32" t="str">
        <f t="shared" si="18"/>
        <v/>
      </c>
      <c r="AC263" s="32" t="str">
        <f>IF($A263="","",IFERROR(LEFT(INDEX('PRODUCT DATA'!$NO$2:$NO$25,MATCH($A263,'PRODUCT DATA'!$NP$2:$NP$25,0)),FIND("|",INDEX('PRODUCT DATA'!$NO$2:$NO$25,MATCH($A263,'PRODUCT DATA'!$NP$2:$NP$25,0)))-1),$A263))</f>
        <v/>
      </c>
      <c r="AD263" s="45"/>
      <c r="AE263" s="45" t="str">
        <f t="shared" si="19"/>
        <v/>
      </c>
    </row>
    <row r="264" spans="1:31" ht="15" customHeight="1" x14ac:dyDescent="0.25">
      <c r="A264" s="40"/>
      <c r="B264" s="43" t="str">
        <f>IF($A264="","",IFERROR(VLOOKUP($AC264,'PRODUCT DATA'!$NR$2:$NS$374,2,FALSE()),"UNKNOWN ITEM CODE - please check"))</f>
        <v/>
      </c>
      <c r="C264" s="39">
        <v>1</v>
      </c>
      <c r="D264" s="39"/>
      <c r="E264" s="40"/>
      <c r="F264" s="41"/>
      <c r="G264" s="39"/>
      <c r="H264" s="41"/>
      <c r="I264" s="41"/>
      <c r="J264" s="39"/>
      <c r="K264" s="41"/>
      <c r="L264" s="40"/>
      <c r="M264" s="40"/>
      <c r="N264" s="42" t="str">
        <f>IF($M264="","",IFERROR(INDEX('PRODUCT DATA'!$B$2:$B$58,MATCH(IF(UPPER($M264)="UK","GB",$M264),'PRODUCT DATA'!$B$2:$B$58,0)),IFERROR(INDEX('PRODUCT DATA'!$B$2:$B$58,MATCH(IF(UPPER($M264)="UK","GB",$M264),'PRODUCT DATA'!$A$2:$A$58,0)),"UNKNOWN COUNTRY - please check")))</f>
        <v/>
      </c>
      <c r="O264" s="41"/>
      <c r="P264" s="41"/>
      <c r="Q264" s="41"/>
      <c r="R264" s="41"/>
      <c r="S264" s="41"/>
      <c r="T264" s="41"/>
      <c r="U264" s="41"/>
      <c r="V264" s="43" t="str">
        <f t="shared" si="16"/>
        <v/>
      </c>
      <c r="W264" s="44" t="str">
        <f ca="1">IF(COUNTA($A264,$D264:$M264,$O264:$U264)=0,"",IF($A264="","Item Code; ","")&amp;IF(AND($A264&lt;&gt;"",ISNA(MATCH($AC264,'PRODUCT DATA'!$D$2:$D$394,0))),"Item Code; ","")&amp;IF($M264="","Country; ","")&amp;IF(AND($M264&lt;&gt;"",NOT(OR(NOT(ISNA(MATCH(IF(UPPER($M264)="UK","GB",$M264),'PRODUCT DATA'!$A$2:$A$58,0))),NOT(ISNA(MATCH(IF(UPPER($M264)="UK","GB",$M264),'PRODUCT DATA'!$B$2:$B$58,0)))))),"Country; ","")&amp;IF(AND($A264&lt;&gt;"",$M264&lt;&gt;"",NOT(ISNA(MATCH($AC264,'PRODUCT DATA'!$D$2:$D$394,0))),OR(NOT(ISNA(MATCH(IF(UPPER($M264)="UK","GB",$M264),'PRODUCT DATA'!$A$2:$A$58,0))),NOT(ISNA(MATCH(IF(UPPER($M264)="UK","GB",$M264),'PRODUCT DATA'!$B$2:$B$58,0)))),NOT(IFERROR(COUNTIF(OFFSET('PRODUCT DATA'!$F$2,0,MATCH($AC264,'PRODUCT DATA'!$F$1:$NN$1,0)-1,114,1),$N264)&gt;0,FALSE()))),IF(UPPER(IFERROR(OFFSET('PRODUCT DATA'!$C$2,MATCH($N264,'PRODUCT DATA'!$B$2:$B$58,0)-1,0),""))="NO","Alcohol Restriction; ","Item Code / Country combination; "),"")&amp;IF($C264="","Quantity; ","")&amp;IF(AND($C264&lt;&gt;"",OR(NOT(ISNUMBER($C264)),$C264&lt;1,$C264&gt;999,MOD($C264,1)&lt;&gt;0)),"Quantity; ","")&amp;IF($D264="","Recipient Name; ","")&amp;IF(LEN($D264)&gt;35,"Recipient Name; ","")&amp;IF($E264="","Recipient Phone; ","")&amp;IF(AND($E264&lt;&gt;"",OR(LEN($E264)&lt;6,LEN($E264)&gt;20,NOT(IFERROR(ISNUMBER(1*$E264),FALSE())))),"Recipient Phone; ","")&amp;IF(LEN($F264)&gt;35,"Recipient Company Name; ","")&amp;IF($G264="","Address Line 1; ","")&amp;IF(LEN($G264)&gt;35,"Address Line 1; ","")&amp;IF(LEN($H264)&gt;35,"Address Line 2; ","")&amp;IF(LEN($I264)&gt;35,"Address Line 3; ","")&amp;IF($J264="","Town; ","")&amp;IF(LEN($J264)&gt;35,"Town; ","")&amp;IF(AND($N264="IE",$K264=""),"County; ","")&amp;IF(LEN($AB264)&gt;35,"County; ","")&amp;IF(AND($L264="",AND($N264&lt;&gt;"AE",$N264&lt;&gt;"QA")),"Postcode; ","")&amp;IF(LEN($L264)&gt;35,"Postcode; ","")&amp;IF($AE264&lt;&gt;"","Postcode; ","")&amp;IF(LEN($O264)&gt;40,"Gift Message 1; ","")&amp;IF(LEN($P264)&gt;40,"Gift Message 2; ","")&amp;IF(LEN($Q264)&gt;40,"Gift Message 3; ","")&amp;IF(LEN($R264)&gt;40,"Gift Message 4; ","")&amp;IF(LEN($S264)&gt;40,"Gift Message 5; ","")&amp;IF(LEN($T264)&gt;40,"Gift Message 6; ","")&amp;IF(LEN($U264)&gt;40,"Gift Message 7; ",""))</f>
        <v/>
      </c>
      <c r="X264" s="44" t="str">
        <f ca="1">IF(COUNTA($A264,$D264:$M264,$O264:$U264)=0,"",IF($A264="","Enter the Item Code (hamper) - type it, paste it, or choose it from the dropdown. ","")&amp;IF(AND($A264&lt;&gt;"",ISNA(MATCH($AC264,'PRODUCT DATA'!$D$2:$D$394,0))),"This Item Code is not recognised. Check the code (case does not matter, but spelling and digits must match exactly) or choose it from the dropdown. ","")&amp;IF($M264="","Enter the Country after the Item Code - type or paste the name or the 2-letter code, or choose it from the dropdown. ","")&amp;IF(AND($M264&lt;&gt;"",NOT(OR(NOT(ISNA(MATCH(IF(UPPER($M264)="UK","GB",$M264),'PRODUCT DATA'!$A$2:$A$58,0))),NOT(ISNA(MATCH(IF(UPPER($M264)="UK","GB",$M264),'PRODUCT DATA'!$B$2:$B$58,0)))))),"This Country is not recognised as either a full name or a 2-letter code. Check the spelling (case does not matter) or choose it from the dropdown. ","")&amp;IF(AND($A264&lt;&gt;"",$M264&lt;&gt;"",NOT(ISNA(MATCH($AC264,'PRODUCT DATA'!$D$2:$D$394,0))),OR(NOT(ISNA(MATCH(IF(UPPER($M264)="UK","GB",$M264),'PRODUCT DATA'!$A$2:$A$58,0))),NOT(ISNA(MATCH(IF(UPPER($M264)="UK","GB",$M264),'PRODUCT DATA'!$B$2:$B$58,0)))),NOT(IFERROR(COUNTIF(OFFSET('PRODUCT DATA'!$F$2,0,MATCH($AC264,'PRODUCT DATA'!$F$1:$NN$1,0)-1,114,1),$N264)&gt;0,FALSE()))),IF(UPPER(IFERROR(OFFSET('PRODUCT DATA'!$C$2,MATCH($N264,'PRODUCT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"),"")&amp;IF($C264="","Enter Quantity. ","")&amp;IF(AND($C264&lt;&gt;"",OR(NOT(ISNUMBER($C264)),$C264&lt;1,$C264&gt;999,MOD($C264,1)&lt;&gt;0)),"Quantity must be a whole number from 1 to 999 (use a quantity above 1 only for a genuine bulk order of identical items to ONE address — otherwise use a separate row per recipient). ","")&amp;IF($D264="","Enter Recipient Name. ","")&amp;IF(LEN($D264)&gt;35,"Recipient Name exceeds 35 characters. ","")&amp;IF($E264="","Enter Recipient Phone. ","")&amp;IF(AND($E264&lt;&gt;"",OR(LEN($E264)&lt;6,LEN($E264)&gt;20,NOT(IFERROR(ISNUMBER(1*$E264),FALSE())))),"Phone must be the LOCAL number for the destination country: digits only, no +, spaces, or country code, 6 to 20 digits. ","")&amp;IF(LEN($F264)&gt;35,"Recipient Company Name exceeds 35 characters. ","")&amp;IF($G264="","Enter Address Line 1. ","")&amp;IF(LEN($G264)&gt;35,"Address Line 1 exceeds the 35-character SAP limit. ","")&amp;IF(LEN($H264)&gt;35,"Address Line 2 exceeds the 35-character SAP limit. ","")&amp;IF(LEN($I264)&gt;35,"Address Line 3 exceeds the 35-character SAP limit. ","")&amp;IF($J264="","Enter Town. This must never be left blank, even if there is no conventional town name. ","")&amp;IF(LEN($J264)&gt;35,"Town exceeds 35 characters. ","")&amp;IF(AND($N264="IE",$K264=""),"County is required for deliveries within the Republic of Ireland. ","")&amp;IF(LEN($AB264)&gt;35,"County exceeds 35 characters. ","")&amp;IF(AND($L264="",AND($N264&lt;&gt;"AE",$N264&lt;&gt;"QA")),"Postcode is required for the selected country. If there is genuinely no postcode, enter the first 3 characters of the area (e.g. D15). ","")&amp;IF(LEN($L264)&gt;35,"Postcode exceeds 35 characters. ","")&amp;IF($AE264&lt;&gt;"",$AE264,"")&amp;IF(LEN($O264)&gt;40,"Gift Message Line 1 exceeds 40 characters. ","")&amp;IF(LEN($P264)&gt;40,"Gift Message Line 2 exceeds 40 characters. ","")&amp;IF(LEN($Q264)&gt;40,"Gift Message Line 3 exceeds 40 characters. ","")&amp;IF(LEN($R264)&gt;40,"Gift Message Line 4 exceeds 40 characters. ","")&amp;IF(LEN($S264)&gt;40,"Gift Message Line 5 exceeds 40 characters. ","")&amp;IF(LEN($T264)&gt;40,"Gift Message Line 6 exceeds 40 characters. ","")&amp;IF(LEN($U264)&gt;40,"Gift Message Line 7 exceeds 40 characters. ",""))</f>
        <v/>
      </c>
      <c r="Y264" s="44" t="str">
        <f t="shared" si="17"/>
        <v/>
      </c>
      <c r="Z264" s="44"/>
      <c r="AA264" s="44"/>
      <c r="AB264" s="32" t="str">
        <f t="shared" si="18"/>
        <v/>
      </c>
      <c r="AC264" s="32" t="str">
        <f>IF($A264="","",IFERROR(LEFT(INDEX('PRODUCT DATA'!$NO$2:$NO$25,MATCH($A264,'PRODUCT DATA'!$NP$2:$NP$25,0)),FIND("|",INDEX('PRODUCT DATA'!$NO$2:$NO$25,MATCH($A264,'PRODUCT DATA'!$NP$2:$NP$25,0)))-1),$A264))</f>
        <v/>
      </c>
      <c r="AD264" s="45"/>
      <c r="AE264" s="45" t="str">
        <f t="shared" si="19"/>
        <v/>
      </c>
    </row>
    <row r="265" spans="1:31" ht="15" customHeight="1" x14ac:dyDescent="0.25">
      <c r="A265" s="40"/>
      <c r="B265" s="43" t="str">
        <f>IF($A265="","",IFERROR(VLOOKUP($AC265,'PRODUCT DATA'!$NR$2:$NS$374,2,FALSE()),"UNKNOWN ITEM CODE - please check"))</f>
        <v/>
      </c>
      <c r="C265" s="39">
        <v>1</v>
      </c>
      <c r="D265" s="39"/>
      <c r="E265" s="40"/>
      <c r="F265" s="41"/>
      <c r="G265" s="39"/>
      <c r="H265" s="41"/>
      <c r="I265" s="41"/>
      <c r="J265" s="39"/>
      <c r="K265" s="41"/>
      <c r="L265" s="40"/>
      <c r="M265" s="40"/>
      <c r="N265" s="42" t="str">
        <f>IF($M265="","",IFERROR(INDEX('PRODUCT DATA'!$B$2:$B$58,MATCH(IF(UPPER($M265)="UK","GB",$M265),'PRODUCT DATA'!$B$2:$B$58,0)),IFERROR(INDEX('PRODUCT DATA'!$B$2:$B$58,MATCH(IF(UPPER($M265)="UK","GB",$M265),'PRODUCT DATA'!$A$2:$A$58,0)),"UNKNOWN COUNTRY - please check")))</f>
        <v/>
      </c>
      <c r="O265" s="41"/>
      <c r="P265" s="41"/>
      <c r="Q265" s="41"/>
      <c r="R265" s="41"/>
      <c r="S265" s="41"/>
      <c r="T265" s="41"/>
      <c r="U265" s="41"/>
      <c r="V265" s="43" t="str">
        <f t="shared" si="16"/>
        <v/>
      </c>
      <c r="W265" s="44" t="str">
        <f ca="1">IF(COUNTA($A265,$D265:$M265,$O265:$U265)=0,"",IF($A265="","Item Code; ","")&amp;IF(AND($A265&lt;&gt;"",ISNA(MATCH($AC265,'PRODUCT DATA'!$D$2:$D$394,0))),"Item Code; ","")&amp;IF($M265="","Country; ","")&amp;IF(AND($M265&lt;&gt;"",NOT(OR(NOT(ISNA(MATCH(IF(UPPER($M265)="UK","GB",$M265),'PRODUCT DATA'!$A$2:$A$58,0))),NOT(ISNA(MATCH(IF(UPPER($M265)="UK","GB",$M265),'PRODUCT DATA'!$B$2:$B$58,0)))))),"Country; ","")&amp;IF(AND($A265&lt;&gt;"",$M265&lt;&gt;"",NOT(ISNA(MATCH($AC265,'PRODUCT DATA'!$D$2:$D$394,0))),OR(NOT(ISNA(MATCH(IF(UPPER($M265)="UK","GB",$M265),'PRODUCT DATA'!$A$2:$A$58,0))),NOT(ISNA(MATCH(IF(UPPER($M265)="UK","GB",$M265),'PRODUCT DATA'!$B$2:$B$58,0)))),NOT(IFERROR(COUNTIF(OFFSET('PRODUCT DATA'!$F$2,0,MATCH($AC265,'PRODUCT DATA'!$F$1:$NN$1,0)-1,114,1),$N265)&gt;0,FALSE()))),IF(UPPER(IFERROR(OFFSET('PRODUCT DATA'!$C$2,MATCH($N265,'PRODUCT DATA'!$B$2:$B$58,0)-1,0),""))="NO","Alcohol Restriction; ","Item Code / Country combination; "),"")&amp;IF($C265="","Quantity; ","")&amp;IF(AND($C265&lt;&gt;"",OR(NOT(ISNUMBER($C265)),$C265&lt;1,$C265&gt;999,MOD($C265,1)&lt;&gt;0)),"Quantity; ","")&amp;IF($D265="","Recipient Name; ","")&amp;IF(LEN($D265)&gt;35,"Recipient Name; ","")&amp;IF($E265="","Recipient Phone; ","")&amp;IF(AND($E265&lt;&gt;"",OR(LEN($E265)&lt;6,LEN($E265)&gt;20,NOT(IFERROR(ISNUMBER(1*$E265),FALSE())))),"Recipient Phone; ","")&amp;IF(LEN($F265)&gt;35,"Recipient Company Name; ","")&amp;IF($G265="","Address Line 1; ","")&amp;IF(LEN($G265)&gt;35,"Address Line 1; ","")&amp;IF(LEN($H265)&gt;35,"Address Line 2; ","")&amp;IF(LEN($I265)&gt;35,"Address Line 3; ","")&amp;IF($J265="","Town; ","")&amp;IF(LEN($J265)&gt;35,"Town; ","")&amp;IF(AND($N265="IE",$K265=""),"County; ","")&amp;IF(LEN($AB265)&gt;35,"County; ","")&amp;IF(AND($L265="",AND($N265&lt;&gt;"AE",$N265&lt;&gt;"QA")),"Postcode; ","")&amp;IF(LEN($L265)&gt;35,"Postcode; ","")&amp;IF($AE265&lt;&gt;"","Postcode; ","")&amp;IF(LEN($O265)&gt;40,"Gift Message 1; ","")&amp;IF(LEN($P265)&gt;40,"Gift Message 2; ","")&amp;IF(LEN($Q265)&gt;40,"Gift Message 3; ","")&amp;IF(LEN($R265)&gt;40,"Gift Message 4; ","")&amp;IF(LEN($S265)&gt;40,"Gift Message 5; ","")&amp;IF(LEN($T265)&gt;40,"Gift Message 6; ","")&amp;IF(LEN($U265)&gt;40,"Gift Message 7; ",""))</f>
        <v/>
      </c>
      <c r="X265" s="44" t="str">
        <f ca="1">IF(COUNTA($A265,$D265:$M265,$O265:$U265)=0,"",IF($A265="","Enter the Item Code (hamper) - type it, paste it, or choose it from the dropdown. ","")&amp;IF(AND($A265&lt;&gt;"",ISNA(MATCH($AC265,'PRODUCT DATA'!$D$2:$D$394,0))),"This Item Code is not recognised. Check the code (case does not matter, but spelling and digits must match exactly) or choose it from the dropdown. ","")&amp;IF($M265="","Enter the Country after the Item Code - type or paste the name or the 2-letter code, or choose it from the dropdown. ","")&amp;IF(AND($M265&lt;&gt;"",NOT(OR(NOT(ISNA(MATCH(IF(UPPER($M265)="UK","GB",$M265),'PRODUCT DATA'!$A$2:$A$58,0))),NOT(ISNA(MATCH(IF(UPPER($M265)="UK","GB",$M265),'PRODUCT DATA'!$B$2:$B$58,0)))))),"This Country is not recognised as either a full name or a 2-letter code. Check the spelling (case does not matter) or choose it from the dropdown. ","")&amp;IF(AND($A265&lt;&gt;"",$M265&lt;&gt;"",NOT(ISNA(MATCH($AC265,'PRODUCT DATA'!$D$2:$D$394,0))),OR(NOT(ISNA(MATCH(IF(UPPER($M265)="UK","GB",$M265),'PRODUCT DATA'!$A$2:$A$58,0))),NOT(ISNA(MATCH(IF(UPPER($M265)="UK","GB",$M265),'PRODUCT DATA'!$B$2:$B$58,0)))),NOT(IFERROR(COUNTIF(OFFSET('PRODUCT DATA'!$F$2,0,MATCH($AC265,'PRODUCT DATA'!$F$1:$NN$1,0)-1,114,1),$N265)&gt;0,FALSE()))),IF(UPPER(IFERROR(OFFSET('PRODUCT DATA'!$C$2,MATCH($N265,'PRODUCT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"),"")&amp;IF($C265="","Enter Quantity. ","")&amp;IF(AND($C265&lt;&gt;"",OR(NOT(ISNUMBER($C265)),$C265&lt;1,$C265&gt;999,MOD($C265,1)&lt;&gt;0)),"Quantity must be a whole number from 1 to 999 (use a quantity above 1 only for a genuine bulk order of identical items to ONE address — otherwise use a separate row per recipient). ","")&amp;IF($D265="","Enter Recipient Name. ","")&amp;IF(LEN($D265)&gt;35,"Recipient Name exceeds 35 characters. ","")&amp;IF($E265="","Enter Recipient Phone. ","")&amp;IF(AND($E265&lt;&gt;"",OR(LEN($E265)&lt;6,LEN($E265)&gt;20,NOT(IFERROR(ISNUMBER(1*$E265),FALSE())))),"Phone must be the LOCAL number for the destination country: digits only, no +, spaces, or country code, 6 to 20 digits. ","")&amp;IF(LEN($F265)&gt;35,"Recipient Company Name exceeds 35 characters. ","")&amp;IF($G265="","Enter Address Line 1. ","")&amp;IF(LEN($G265)&gt;35,"Address Line 1 exceeds the 35-character SAP limit. ","")&amp;IF(LEN($H265)&gt;35,"Address Line 2 exceeds the 35-character SAP limit. ","")&amp;IF(LEN($I265)&gt;35,"Address Line 3 exceeds the 35-character SAP limit. ","")&amp;IF($J265="","Enter Town. This must never be left blank, even if there is no conventional town name. ","")&amp;IF(LEN($J265)&gt;35,"Town exceeds 35 characters. ","")&amp;IF(AND($N265="IE",$K265=""),"County is required for deliveries within the Republic of Ireland. ","")&amp;IF(LEN($AB265)&gt;35,"County exceeds 35 characters. ","")&amp;IF(AND($L265="",AND($N265&lt;&gt;"AE",$N265&lt;&gt;"QA")),"Postcode is required for the selected country. If there is genuinely no postcode, enter the first 3 characters of the area (e.g. D15). ","")&amp;IF(LEN($L265)&gt;35,"Postcode exceeds 35 characters. ","")&amp;IF($AE265&lt;&gt;"",$AE265,"")&amp;IF(LEN($O265)&gt;40,"Gift Message Line 1 exceeds 40 characters. ","")&amp;IF(LEN($P265)&gt;40,"Gift Message Line 2 exceeds 40 characters. ","")&amp;IF(LEN($Q265)&gt;40,"Gift Message Line 3 exceeds 40 characters. ","")&amp;IF(LEN($R265)&gt;40,"Gift Message Line 4 exceeds 40 characters. ","")&amp;IF(LEN($S265)&gt;40,"Gift Message Line 5 exceeds 40 characters. ","")&amp;IF(LEN($T265)&gt;40,"Gift Message Line 6 exceeds 40 characters. ","")&amp;IF(LEN($U265)&gt;40,"Gift Message Line 7 exceeds 40 characters. ",""))</f>
        <v/>
      </c>
      <c r="Y265" s="44" t="str">
        <f t="shared" si="17"/>
        <v/>
      </c>
      <c r="Z265" s="44"/>
      <c r="AA265" s="44"/>
      <c r="AB265" s="32" t="str">
        <f t="shared" si="18"/>
        <v/>
      </c>
      <c r="AC265" s="32" t="str">
        <f>IF($A265="","",IFERROR(LEFT(INDEX('PRODUCT DATA'!$NO$2:$NO$25,MATCH($A265,'PRODUCT DATA'!$NP$2:$NP$25,0)),FIND("|",INDEX('PRODUCT DATA'!$NO$2:$NO$25,MATCH($A265,'PRODUCT DATA'!$NP$2:$NP$25,0)))-1),$A265))</f>
        <v/>
      </c>
      <c r="AD265" s="45"/>
      <c r="AE265" s="45" t="str">
        <f t="shared" si="19"/>
        <v/>
      </c>
    </row>
    <row r="266" spans="1:31" ht="15" customHeight="1" x14ac:dyDescent="0.25">
      <c r="A266" s="40"/>
      <c r="B266" s="43" t="str">
        <f>IF($A266="","",IFERROR(VLOOKUP($AC266,'PRODUCT DATA'!$NR$2:$NS$374,2,FALSE()),"UNKNOWN ITEM CODE - please check"))</f>
        <v/>
      </c>
      <c r="C266" s="39">
        <v>1</v>
      </c>
      <c r="D266" s="39"/>
      <c r="E266" s="40"/>
      <c r="F266" s="41"/>
      <c r="G266" s="39"/>
      <c r="H266" s="41"/>
      <c r="I266" s="41"/>
      <c r="J266" s="39"/>
      <c r="K266" s="41"/>
      <c r="L266" s="40"/>
      <c r="M266" s="40"/>
      <c r="N266" s="42" t="str">
        <f>IF($M266="","",IFERROR(INDEX('PRODUCT DATA'!$B$2:$B$58,MATCH(IF(UPPER($M266)="UK","GB",$M266),'PRODUCT DATA'!$B$2:$B$58,0)),IFERROR(INDEX('PRODUCT DATA'!$B$2:$B$58,MATCH(IF(UPPER($M266)="UK","GB",$M266),'PRODUCT DATA'!$A$2:$A$58,0)),"UNKNOWN COUNTRY - please check")))</f>
        <v/>
      </c>
      <c r="O266" s="41"/>
      <c r="P266" s="41"/>
      <c r="Q266" s="41"/>
      <c r="R266" s="41"/>
      <c r="S266" s="41"/>
      <c r="T266" s="41"/>
      <c r="U266" s="41"/>
      <c r="V266" s="43" t="str">
        <f t="shared" si="16"/>
        <v/>
      </c>
      <c r="W266" s="44" t="str">
        <f ca="1">IF(COUNTA($A266,$D266:$M266,$O266:$U266)=0,"",IF($A266="","Item Code; ","")&amp;IF(AND($A266&lt;&gt;"",ISNA(MATCH($AC266,'PRODUCT DATA'!$D$2:$D$394,0))),"Item Code; ","")&amp;IF($M266="","Country; ","")&amp;IF(AND($M266&lt;&gt;"",NOT(OR(NOT(ISNA(MATCH(IF(UPPER($M266)="UK","GB",$M266),'PRODUCT DATA'!$A$2:$A$58,0))),NOT(ISNA(MATCH(IF(UPPER($M266)="UK","GB",$M266),'PRODUCT DATA'!$B$2:$B$58,0)))))),"Country; ","")&amp;IF(AND($A266&lt;&gt;"",$M266&lt;&gt;"",NOT(ISNA(MATCH($AC266,'PRODUCT DATA'!$D$2:$D$394,0))),OR(NOT(ISNA(MATCH(IF(UPPER($M266)="UK","GB",$M266),'PRODUCT DATA'!$A$2:$A$58,0))),NOT(ISNA(MATCH(IF(UPPER($M266)="UK","GB",$M266),'PRODUCT DATA'!$B$2:$B$58,0)))),NOT(IFERROR(COUNTIF(OFFSET('PRODUCT DATA'!$F$2,0,MATCH($AC266,'PRODUCT DATA'!$F$1:$NN$1,0)-1,114,1),$N266)&gt;0,FALSE()))),IF(UPPER(IFERROR(OFFSET('PRODUCT DATA'!$C$2,MATCH($N266,'PRODUCT DATA'!$B$2:$B$58,0)-1,0),""))="NO","Alcohol Restriction; ","Item Code / Country combination; "),"")&amp;IF($C266="","Quantity; ","")&amp;IF(AND($C266&lt;&gt;"",OR(NOT(ISNUMBER($C266)),$C266&lt;1,$C266&gt;999,MOD($C266,1)&lt;&gt;0)),"Quantity; ","")&amp;IF($D266="","Recipient Name; ","")&amp;IF(LEN($D266)&gt;35,"Recipient Name; ","")&amp;IF($E266="","Recipient Phone; ","")&amp;IF(AND($E266&lt;&gt;"",OR(LEN($E266)&lt;6,LEN($E266)&gt;20,NOT(IFERROR(ISNUMBER(1*$E266),FALSE())))),"Recipient Phone; ","")&amp;IF(LEN($F266)&gt;35,"Recipient Company Name; ","")&amp;IF($G266="","Address Line 1; ","")&amp;IF(LEN($G266)&gt;35,"Address Line 1; ","")&amp;IF(LEN($H266)&gt;35,"Address Line 2; ","")&amp;IF(LEN($I266)&gt;35,"Address Line 3; ","")&amp;IF($J266="","Town; ","")&amp;IF(LEN($J266)&gt;35,"Town; ","")&amp;IF(AND($N266="IE",$K266=""),"County; ","")&amp;IF(LEN($AB266)&gt;35,"County; ","")&amp;IF(AND($L266="",AND($N266&lt;&gt;"AE",$N266&lt;&gt;"QA")),"Postcode; ","")&amp;IF(LEN($L266)&gt;35,"Postcode; ","")&amp;IF($AE266&lt;&gt;"","Postcode; ","")&amp;IF(LEN($O266)&gt;40,"Gift Message 1; ","")&amp;IF(LEN($P266)&gt;40,"Gift Message 2; ","")&amp;IF(LEN($Q266)&gt;40,"Gift Message 3; ","")&amp;IF(LEN($R266)&gt;40,"Gift Message 4; ","")&amp;IF(LEN($S266)&gt;40,"Gift Message 5; ","")&amp;IF(LEN($T266)&gt;40,"Gift Message 6; ","")&amp;IF(LEN($U266)&gt;40,"Gift Message 7; ",""))</f>
        <v/>
      </c>
      <c r="X266" s="44" t="str">
        <f ca="1">IF(COUNTA($A266,$D266:$M266,$O266:$U266)=0,"",IF($A266="","Enter the Item Code (hamper) - type it, paste it, or choose it from the dropdown. ","")&amp;IF(AND($A266&lt;&gt;"",ISNA(MATCH($AC266,'PRODUCT DATA'!$D$2:$D$394,0))),"This Item Code is not recognised. Check the code (case does not matter, but spelling and digits must match exactly) or choose it from the dropdown. ","")&amp;IF($M266="","Enter the Country after the Item Code - type or paste the name or the 2-letter code, or choose it from the dropdown. ","")&amp;IF(AND($M266&lt;&gt;"",NOT(OR(NOT(ISNA(MATCH(IF(UPPER($M266)="UK","GB",$M266),'PRODUCT DATA'!$A$2:$A$58,0))),NOT(ISNA(MATCH(IF(UPPER($M266)="UK","GB",$M266),'PRODUCT DATA'!$B$2:$B$58,0)))))),"This Country is not recognised as either a full name or a 2-letter code. Check the spelling (case does not matter) or choose it from the dropdown. ","")&amp;IF(AND($A266&lt;&gt;"",$M266&lt;&gt;"",NOT(ISNA(MATCH($AC266,'PRODUCT DATA'!$D$2:$D$394,0))),OR(NOT(ISNA(MATCH(IF(UPPER($M266)="UK","GB",$M266),'PRODUCT DATA'!$A$2:$A$58,0))),NOT(ISNA(MATCH(IF(UPPER($M266)="UK","GB",$M266),'PRODUCT DATA'!$B$2:$B$58,0)))),NOT(IFERROR(COUNTIF(OFFSET('PRODUCT DATA'!$F$2,0,MATCH($AC266,'PRODUCT DATA'!$F$1:$NN$1,0)-1,114,1),$N266)&gt;0,FALSE()))),IF(UPPER(IFERROR(OFFSET('PRODUCT DATA'!$C$2,MATCH($N266,'PRODUCT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"),"")&amp;IF($C266="","Enter Quantity. ","")&amp;IF(AND($C266&lt;&gt;"",OR(NOT(ISNUMBER($C266)),$C266&lt;1,$C266&gt;999,MOD($C266,1)&lt;&gt;0)),"Quantity must be a whole number from 1 to 999 (use a quantity above 1 only for a genuine bulk order of identical items to ONE address — otherwise use a separate row per recipient). ","")&amp;IF($D266="","Enter Recipient Name. ","")&amp;IF(LEN($D266)&gt;35,"Recipient Name exceeds 35 characters. ","")&amp;IF($E266="","Enter Recipient Phone. ","")&amp;IF(AND($E266&lt;&gt;"",OR(LEN($E266)&lt;6,LEN($E266)&gt;20,NOT(IFERROR(ISNUMBER(1*$E266),FALSE())))),"Phone must be the LOCAL number for the destination country: digits only, no +, spaces, or country code, 6 to 20 digits. ","")&amp;IF(LEN($F266)&gt;35,"Recipient Company Name exceeds 35 characters. ","")&amp;IF($G266="","Enter Address Line 1. ","")&amp;IF(LEN($G266)&gt;35,"Address Line 1 exceeds the 35-character SAP limit. ","")&amp;IF(LEN($H266)&gt;35,"Address Line 2 exceeds the 35-character SAP limit. ","")&amp;IF(LEN($I266)&gt;35,"Address Line 3 exceeds the 35-character SAP limit. ","")&amp;IF($J266="","Enter Town. This must never be left blank, even if there is no conventional town name. ","")&amp;IF(LEN($J266)&gt;35,"Town exceeds 35 characters. ","")&amp;IF(AND($N266="IE",$K266=""),"County is required for deliveries within the Republic of Ireland. ","")&amp;IF(LEN($AB266)&gt;35,"County exceeds 35 characters. ","")&amp;IF(AND($L266="",AND($N266&lt;&gt;"AE",$N266&lt;&gt;"QA")),"Postcode is required for the selected country. If there is genuinely no postcode, enter the first 3 characters of the area (e.g. D15). ","")&amp;IF(LEN($L266)&gt;35,"Postcode exceeds 35 characters. ","")&amp;IF($AE266&lt;&gt;"",$AE266,"")&amp;IF(LEN($O266)&gt;40,"Gift Message Line 1 exceeds 40 characters. ","")&amp;IF(LEN($P266)&gt;40,"Gift Message Line 2 exceeds 40 characters. ","")&amp;IF(LEN($Q266)&gt;40,"Gift Message Line 3 exceeds 40 characters. ","")&amp;IF(LEN($R266)&gt;40,"Gift Message Line 4 exceeds 40 characters. ","")&amp;IF(LEN($S266)&gt;40,"Gift Message Line 5 exceeds 40 characters. ","")&amp;IF(LEN($T266)&gt;40,"Gift Message Line 6 exceeds 40 characters. ","")&amp;IF(LEN($U266)&gt;40,"Gift Message Line 7 exceeds 40 characters. ",""))</f>
        <v/>
      </c>
      <c r="Y266" s="44" t="str">
        <f t="shared" si="17"/>
        <v/>
      </c>
      <c r="Z266" s="44"/>
      <c r="AA266" s="44"/>
      <c r="AB266" s="32" t="str">
        <f t="shared" si="18"/>
        <v/>
      </c>
      <c r="AC266" s="32" t="str">
        <f>IF($A266="","",IFERROR(LEFT(INDEX('PRODUCT DATA'!$NO$2:$NO$25,MATCH($A266,'PRODUCT DATA'!$NP$2:$NP$25,0)),FIND("|",INDEX('PRODUCT DATA'!$NO$2:$NO$25,MATCH($A266,'PRODUCT DATA'!$NP$2:$NP$25,0)))-1),$A266))</f>
        <v/>
      </c>
      <c r="AD266" s="45"/>
      <c r="AE266" s="45" t="str">
        <f t="shared" si="19"/>
        <v/>
      </c>
    </row>
    <row r="267" spans="1:31" ht="15" customHeight="1" x14ac:dyDescent="0.25">
      <c r="A267" s="40"/>
      <c r="B267" s="43" t="str">
        <f>IF($A267="","",IFERROR(VLOOKUP($AC267,'PRODUCT DATA'!$NR$2:$NS$374,2,FALSE()),"UNKNOWN ITEM CODE - please check"))</f>
        <v/>
      </c>
      <c r="C267" s="39">
        <v>1</v>
      </c>
      <c r="D267" s="39"/>
      <c r="E267" s="40"/>
      <c r="F267" s="41"/>
      <c r="G267" s="39"/>
      <c r="H267" s="41"/>
      <c r="I267" s="41"/>
      <c r="J267" s="39"/>
      <c r="K267" s="41"/>
      <c r="L267" s="40"/>
      <c r="M267" s="40"/>
      <c r="N267" s="42" t="str">
        <f>IF($M267="","",IFERROR(INDEX('PRODUCT DATA'!$B$2:$B$58,MATCH(IF(UPPER($M267)="UK","GB",$M267),'PRODUCT DATA'!$B$2:$B$58,0)),IFERROR(INDEX('PRODUCT DATA'!$B$2:$B$58,MATCH(IF(UPPER($M267)="UK","GB",$M267),'PRODUCT DATA'!$A$2:$A$58,0)),"UNKNOWN COUNTRY - please check")))</f>
        <v/>
      </c>
      <c r="O267" s="41"/>
      <c r="P267" s="41"/>
      <c r="Q267" s="41"/>
      <c r="R267" s="41"/>
      <c r="S267" s="41"/>
      <c r="T267" s="41"/>
      <c r="U267" s="41"/>
      <c r="V267" s="43" t="str">
        <f t="shared" si="16"/>
        <v/>
      </c>
      <c r="W267" s="44" t="str">
        <f ca="1">IF(COUNTA($A267,$D267:$M267,$O267:$U267)=0,"",IF($A267="","Item Code; ","")&amp;IF(AND($A267&lt;&gt;"",ISNA(MATCH($AC267,'PRODUCT DATA'!$D$2:$D$394,0))),"Item Code; ","")&amp;IF($M267="","Country; ","")&amp;IF(AND($M267&lt;&gt;"",NOT(OR(NOT(ISNA(MATCH(IF(UPPER($M267)="UK","GB",$M267),'PRODUCT DATA'!$A$2:$A$58,0))),NOT(ISNA(MATCH(IF(UPPER($M267)="UK","GB",$M267),'PRODUCT DATA'!$B$2:$B$58,0)))))),"Country; ","")&amp;IF(AND($A267&lt;&gt;"",$M267&lt;&gt;"",NOT(ISNA(MATCH($AC267,'PRODUCT DATA'!$D$2:$D$394,0))),OR(NOT(ISNA(MATCH(IF(UPPER($M267)="UK","GB",$M267),'PRODUCT DATA'!$A$2:$A$58,0))),NOT(ISNA(MATCH(IF(UPPER($M267)="UK","GB",$M267),'PRODUCT DATA'!$B$2:$B$58,0)))),NOT(IFERROR(COUNTIF(OFFSET('PRODUCT DATA'!$F$2,0,MATCH($AC267,'PRODUCT DATA'!$F$1:$NN$1,0)-1,114,1),$N267)&gt;0,FALSE()))),IF(UPPER(IFERROR(OFFSET('PRODUCT DATA'!$C$2,MATCH($N267,'PRODUCT DATA'!$B$2:$B$58,0)-1,0),""))="NO","Alcohol Restriction; ","Item Code / Country combination; "),"")&amp;IF($C267="","Quantity; ","")&amp;IF(AND($C267&lt;&gt;"",OR(NOT(ISNUMBER($C267)),$C267&lt;1,$C267&gt;999,MOD($C267,1)&lt;&gt;0)),"Quantity; ","")&amp;IF($D267="","Recipient Name; ","")&amp;IF(LEN($D267)&gt;35,"Recipient Name; ","")&amp;IF($E267="","Recipient Phone; ","")&amp;IF(AND($E267&lt;&gt;"",OR(LEN($E267)&lt;6,LEN($E267)&gt;20,NOT(IFERROR(ISNUMBER(1*$E267),FALSE())))),"Recipient Phone; ","")&amp;IF(LEN($F267)&gt;35,"Recipient Company Name; ","")&amp;IF($G267="","Address Line 1; ","")&amp;IF(LEN($G267)&gt;35,"Address Line 1; ","")&amp;IF(LEN($H267)&gt;35,"Address Line 2; ","")&amp;IF(LEN($I267)&gt;35,"Address Line 3; ","")&amp;IF($J267="","Town; ","")&amp;IF(LEN($J267)&gt;35,"Town; ","")&amp;IF(AND($N267="IE",$K267=""),"County; ","")&amp;IF(LEN($AB267)&gt;35,"County; ","")&amp;IF(AND($L267="",AND($N267&lt;&gt;"AE",$N267&lt;&gt;"QA")),"Postcode; ","")&amp;IF(LEN($L267)&gt;35,"Postcode; ","")&amp;IF($AE267&lt;&gt;"","Postcode; ","")&amp;IF(LEN($O267)&gt;40,"Gift Message 1; ","")&amp;IF(LEN($P267)&gt;40,"Gift Message 2; ","")&amp;IF(LEN($Q267)&gt;40,"Gift Message 3; ","")&amp;IF(LEN($R267)&gt;40,"Gift Message 4; ","")&amp;IF(LEN($S267)&gt;40,"Gift Message 5; ","")&amp;IF(LEN($T267)&gt;40,"Gift Message 6; ","")&amp;IF(LEN($U267)&gt;40,"Gift Message 7; ",""))</f>
        <v/>
      </c>
      <c r="X267" s="44" t="str">
        <f ca="1">IF(COUNTA($A267,$D267:$M267,$O267:$U267)=0,"",IF($A267="","Enter the Item Code (hamper) - type it, paste it, or choose it from the dropdown. ","")&amp;IF(AND($A267&lt;&gt;"",ISNA(MATCH($AC267,'PRODUCT DATA'!$D$2:$D$394,0))),"This Item Code is not recognised. Check the code (case does not matter, but spelling and digits must match exactly) or choose it from the dropdown. ","")&amp;IF($M267="","Enter the Country after the Item Code - type or paste the name or the 2-letter code, or choose it from the dropdown. ","")&amp;IF(AND($M267&lt;&gt;"",NOT(OR(NOT(ISNA(MATCH(IF(UPPER($M267)="UK","GB",$M267),'PRODUCT DATA'!$A$2:$A$58,0))),NOT(ISNA(MATCH(IF(UPPER($M267)="UK","GB",$M267),'PRODUCT DATA'!$B$2:$B$58,0)))))),"This Country is not recognised as either a full name or a 2-letter code. Check the spelling (case does not matter) or choose it from the dropdown. ","")&amp;IF(AND($A267&lt;&gt;"",$M267&lt;&gt;"",NOT(ISNA(MATCH($AC267,'PRODUCT DATA'!$D$2:$D$394,0))),OR(NOT(ISNA(MATCH(IF(UPPER($M267)="UK","GB",$M267),'PRODUCT DATA'!$A$2:$A$58,0))),NOT(ISNA(MATCH(IF(UPPER($M267)="UK","GB",$M267),'PRODUCT DATA'!$B$2:$B$58,0)))),NOT(IFERROR(COUNTIF(OFFSET('PRODUCT DATA'!$F$2,0,MATCH($AC267,'PRODUCT DATA'!$F$1:$NN$1,0)-1,114,1),$N267)&gt;0,FALSE()))),IF(UPPER(IFERROR(OFFSET('PRODUCT DATA'!$C$2,MATCH($N267,'PRODUCT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"),"")&amp;IF($C267="","Enter Quantity. ","")&amp;IF(AND($C267&lt;&gt;"",OR(NOT(ISNUMBER($C267)),$C267&lt;1,$C267&gt;999,MOD($C267,1)&lt;&gt;0)),"Quantity must be a whole number from 1 to 999 (use a quantity above 1 only for a genuine bulk order of identical items to ONE address — otherwise use a separate row per recipient). ","")&amp;IF($D267="","Enter Recipient Name. ","")&amp;IF(LEN($D267)&gt;35,"Recipient Name exceeds 35 characters. ","")&amp;IF($E267="","Enter Recipient Phone. ","")&amp;IF(AND($E267&lt;&gt;"",OR(LEN($E267)&lt;6,LEN($E267)&gt;20,NOT(IFERROR(ISNUMBER(1*$E267),FALSE())))),"Phone must be the LOCAL number for the destination country: digits only, no +, spaces, or country code, 6 to 20 digits. ","")&amp;IF(LEN($F267)&gt;35,"Recipient Company Name exceeds 35 characters. ","")&amp;IF($G267="","Enter Address Line 1. ","")&amp;IF(LEN($G267)&gt;35,"Address Line 1 exceeds the 35-character SAP limit. ","")&amp;IF(LEN($H267)&gt;35,"Address Line 2 exceeds the 35-character SAP limit. ","")&amp;IF(LEN($I267)&gt;35,"Address Line 3 exceeds the 35-character SAP limit. ","")&amp;IF($J267="","Enter Town. This must never be left blank, even if there is no conventional town name. ","")&amp;IF(LEN($J267)&gt;35,"Town exceeds 35 characters. ","")&amp;IF(AND($N267="IE",$K267=""),"County is required for deliveries within the Republic of Ireland. ","")&amp;IF(LEN($AB267)&gt;35,"County exceeds 35 characters. ","")&amp;IF(AND($L267="",AND($N267&lt;&gt;"AE",$N267&lt;&gt;"QA")),"Postcode is required for the selected country. If there is genuinely no postcode, enter the first 3 characters of the area (e.g. D15). ","")&amp;IF(LEN($L267)&gt;35,"Postcode exceeds 35 characters. ","")&amp;IF($AE267&lt;&gt;"",$AE267,"")&amp;IF(LEN($O267)&gt;40,"Gift Message Line 1 exceeds 40 characters. ","")&amp;IF(LEN($P267)&gt;40,"Gift Message Line 2 exceeds 40 characters. ","")&amp;IF(LEN($Q267)&gt;40,"Gift Message Line 3 exceeds 40 characters. ","")&amp;IF(LEN($R267)&gt;40,"Gift Message Line 4 exceeds 40 characters. ","")&amp;IF(LEN($S267)&gt;40,"Gift Message Line 5 exceeds 40 characters. ","")&amp;IF(LEN($T267)&gt;40,"Gift Message Line 6 exceeds 40 characters. ","")&amp;IF(LEN($U267)&gt;40,"Gift Message Line 7 exceeds 40 characters. ",""))</f>
        <v/>
      </c>
      <c r="Y267" s="44" t="str">
        <f t="shared" si="17"/>
        <v/>
      </c>
      <c r="Z267" s="44"/>
      <c r="AA267" s="44"/>
      <c r="AB267" s="32" t="str">
        <f t="shared" si="18"/>
        <v/>
      </c>
      <c r="AC267" s="32" t="str">
        <f>IF($A267="","",IFERROR(LEFT(INDEX('PRODUCT DATA'!$NO$2:$NO$25,MATCH($A267,'PRODUCT DATA'!$NP$2:$NP$25,0)),FIND("|",INDEX('PRODUCT DATA'!$NO$2:$NO$25,MATCH($A267,'PRODUCT DATA'!$NP$2:$NP$25,0)))-1),$A267))</f>
        <v/>
      </c>
      <c r="AD267" s="45"/>
      <c r="AE267" s="45" t="str">
        <f t="shared" si="19"/>
        <v/>
      </c>
    </row>
    <row r="268" spans="1:31" ht="15" customHeight="1" x14ac:dyDescent="0.25">
      <c r="A268" s="40"/>
      <c r="B268" s="43" t="str">
        <f>IF($A268="","",IFERROR(VLOOKUP($AC268,'PRODUCT DATA'!$NR$2:$NS$374,2,FALSE()),"UNKNOWN ITEM CODE - please check"))</f>
        <v/>
      </c>
      <c r="C268" s="39">
        <v>1</v>
      </c>
      <c r="D268" s="39"/>
      <c r="E268" s="40"/>
      <c r="F268" s="41"/>
      <c r="G268" s="39"/>
      <c r="H268" s="41"/>
      <c r="I268" s="41"/>
      <c r="J268" s="39"/>
      <c r="K268" s="41"/>
      <c r="L268" s="40"/>
      <c r="M268" s="40"/>
      <c r="N268" s="42" t="str">
        <f>IF($M268="","",IFERROR(INDEX('PRODUCT DATA'!$B$2:$B$58,MATCH(IF(UPPER($M268)="UK","GB",$M268),'PRODUCT DATA'!$B$2:$B$58,0)),IFERROR(INDEX('PRODUCT DATA'!$B$2:$B$58,MATCH(IF(UPPER($M268)="UK","GB",$M268),'PRODUCT DATA'!$A$2:$A$58,0)),"UNKNOWN COUNTRY - please check")))</f>
        <v/>
      </c>
      <c r="O268" s="41"/>
      <c r="P268" s="41"/>
      <c r="Q268" s="41"/>
      <c r="R268" s="41"/>
      <c r="S268" s="41"/>
      <c r="T268" s="41"/>
      <c r="U268" s="41"/>
      <c r="V268" s="43" t="str">
        <f t="shared" si="16"/>
        <v/>
      </c>
      <c r="W268" s="44" t="str">
        <f ca="1">IF(COUNTA($A268,$D268:$M268,$O268:$U268)=0,"",IF($A268="","Item Code; ","")&amp;IF(AND($A268&lt;&gt;"",ISNA(MATCH($AC268,'PRODUCT DATA'!$D$2:$D$394,0))),"Item Code; ","")&amp;IF($M268="","Country; ","")&amp;IF(AND($M268&lt;&gt;"",NOT(OR(NOT(ISNA(MATCH(IF(UPPER($M268)="UK","GB",$M268),'PRODUCT DATA'!$A$2:$A$58,0))),NOT(ISNA(MATCH(IF(UPPER($M268)="UK","GB",$M268),'PRODUCT DATA'!$B$2:$B$58,0)))))),"Country; ","")&amp;IF(AND($A268&lt;&gt;"",$M268&lt;&gt;"",NOT(ISNA(MATCH($AC268,'PRODUCT DATA'!$D$2:$D$394,0))),OR(NOT(ISNA(MATCH(IF(UPPER($M268)="UK","GB",$M268),'PRODUCT DATA'!$A$2:$A$58,0))),NOT(ISNA(MATCH(IF(UPPER($M268)="UK","GB",$M268),'PRODUCT DATA'!$B$2:$B$58,0)))),NOT(IFERROR(COUNTIF(OFFSET('PRODUCT DATA'!$F$2,0,MATCH($AC268,'PRODUCT DATA'!$F$1:$NN$1,0)-1,114,1),$N268)&gt;0,FALSE()))),IF(UPPER(IFERROR(OFFSET('PRODUCT DATA'!$C$2,MATCH($N268,'PRODUCT DATA'!$B$2:$B$58,0)-1,0),""))="NO","Alcohol Restriction; ","Item Code / Country combination; "),"")&amp;IF($C268="","Quantity; ","")&amp;IF(AND($C268&lt;&gt;"",OR(NOT(ISNUMBER($C268)),$C268&lt;1,$C268&gt;999,MOD($C268,1)&lt;&gt;0)),"Quantity; ","")&amp;IF($D268="","Recipient Name; ","")&amp;IF(LEN($D268)&gt;35,"Recipient Name; ","")&amp;IF($E268="","Recipient Phone; ","")&amp;IF(AND($E268&lt;&gt;"",OR(LEN($E268)&lt;6,LEN($E268)&gt;20,NOT(IFERROR(ISNUMBER(1*$E268),FALSE())))),"Recipient Phone; ","")&amp;IF(LEN($F268)&gt;35,"Recipient Company Name; ","")&amp;IF($G268="","Address Line 1; ","")&amp;IF(LEN($G268)&gt;35,"Address Line 1; ","")&amp;IF(LEN($H268)&gt;35,"Address Line 2; ","")&amp;IF(LEN($I268)&gt;35,"Address Line 3; ","")&amp;IF($J268="","Town; ","")&amp;IF(LEN($J268)&gt;35,"Town; ","")&amp;IF(AND($N268="IE",$K268=""),"County; ","")&amp;IF(LEN($AB268)&gt;35,"County; ","")&amp;IF(AND($L268="",AND($N268&lt;&gt;"AE",$N268&lt;&gt;"QA")),"Postcode; ","")&amp;IF(LEN($L268)&gt;35,"Postcode; ","")&amp;IF($AE268&lt;&gt;"","Postcode; ","")&amp;IF(LEN($O268)&gt;40,"Gift Message 1; ","")&amp;IF(LEN($P268)&gt;40,"Gift Message 2; ","")&amp;IF(LEN($Q268)&gt;40,"Gift Message 3; ","")&amp;IF(LEN($R268)&gt;40,"Gift Message 4; ","")&amp;IF(LEN($S268)&gt;40,"Gift Message 5; ","")&amp;IF(LEN($T268)&gt;40,"Gift Message 6; ","")&amp;IF(LEN($U268)&gt;40,"Gift Message 7; ",""))</f>
        <v/>
      </c>
      <c r="X268" s="44" t="str">
        <f ca="1">IF(COUNTA($A268,$D268:$M268,$O268:$U268)=0,"",IF($A268="","Enter the Item Code (hamper) - type it, paste it, or choose it from the dropdown. ","")&amp;IF(AND($A268&lt;&gt;"",ISNA(MATCH($AC268,'PRODUCT DATA'!$D$2:$D$394,0))),"This Item Code is not recognised. Check the code (case does not matter, but spelling and digits must match exactly) or choose it from the dropdown. ","")&amp;IF($M268="","Enter the Country after the Item Code - type or paste the name or the 2-letter code, or choose it from the dropdown. ","")&amp;IF(AND($M268&lt;&gt;"",NOT(OR(NOT(ISNA(MATCH(IF(UPPER($M268)="UK","GB",$M268),'PRODUCT DATA'!$A$2:$A$58,0))),NOT(ISNA(MATCH(IF(UPPER($M268)="UK","GB",$M268),'PRODUCT DATA'!$B$2:$B$58,0)))))),"This Country is not recognised as either a full name or a 2-letter code. Check the spelling (case does not matter) or choose it from the dropdown. ","")&amp;IF(AND($A268&lt;&gt;"",$M268&lt;&gt;"",NOT(ISNA(MATCH($AC268,'PRODUCT DATA'!$D$2:$D$394,0))),OR(NOT(ISNA(MATCH(IF(UPPER($M268)="UK","GB",$M268),'PRODUCT DATA'!$A$2:$A$58,0))),NOT(ISNA(MATCH(IF(UPPER($M268)="UK","GB",$M268),'PRODUCT DATA'!$B$2:$B$58,0)))),NOT(IFERROR(COUNTIF(OFFSET('PRODUCT DATA'!$F$2,0,MATCH($AC268,'PRODUCT DATA'!$F$1:$NN$1,0)-1,114,1),$N268)&gt;0,FALSE()))),IF(UPPER(IFERROR(OFFSET('PRODUCT DATA'!$C$2,MATCH($N268,'PRODUCT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"),"")&amp;IF($C268="","Enter Quantity. ","")&amp;IF(AND($C268&lt;&gt;"",OR(NOT(ISNUMBER($C268)),$C268&lt;1,$C268&gt;999,MOD($C268,1)&lt;&gt;0)),"Quantity must be a whole number from 1 to 999 (use a quantity above 1 only for a genuine bulk order of identical items to ONE address — otherwise use a separate row per recipient). ","")&amp;IF($D268="","Enter Recipient Name. ","")&amp;IF(LEN($D268)&gt;35,"Recipient Name exceeds 35 characters. ","")&amp;IF($E268="","Enter Recipient Phone. ","")&amp;IF(AND($E268&lt;&gt;"",OR(LEN($E268)&lt;6,LEN($E268)&gt;20,NOT(IFERROR(ISNUMBER(1*$E268),FALSE())))),"Phone must be the LOCAL number for the destination country: digits only, no +, spaces, or country code, 6 to 20 digits. ","")&amp;IF(LEN($F268)&gt;35,"Recipient Company Name exceeds 35 characters. ","")&amp;IF($G268="","Enter Address Line 1. ","")&amp;IF(LEN($G268)&gt;35,"Address Line 1 exceeds the 35-character SAP limit. ","")&amp;IF(LEN($H268)&gt;35,"Address Line 2 exceeds the 35-character SAP limit. ","")&amp;IF(LEN($I268)&gt;35,"Address Line 3 exceeds the 35-character SAP limit. ","")&amp;IF($J268="","Enter Town. This must never be left blank, even if there is no conventional town name. ","")&amp;IF(LEN($J268)&gt;35,"Town exceeds 35 characters. ","")&amp;IF(AND($N268="IE",$K268=""),"County is required for deliveries within the Republic of Ireland. ","")&amp;IF(LEN($AB268)&gt;35,"County exceeds 35 characters. ","")&amp;IF(AND($L268="",AND($N268&lt;&gt;"AE",$N268&lt;&gt;"QA")),"Postcode is required for the selected country. If there is genuinely no postcode, enter the first 3 characters of the area (e.g. D15). ","")&amp;IF(LEN($L268)&gt;35,"Postcode exceeds 35 characters. ","")&amp;IF($AE268&lt;&gt;"",$AE268,"")&amp;IF(LEN($O268)&gt;40,"Gift Message Line 1 exceeds 40 characters. ","")&amp;IF(LEN($P268)&gt;40,"Gift Message Line 2 exceeds 40 characters. ","")&amp;IF(LEN($Q268)&gt;40,"Gift Message Line 3 exceeds 40 characters. ","")&amp;IF(LEN($R268)&gt;40,"Gift Message Line 4 exceeds 40 characters. ","")&amp;IF(LEN($S268)&gt;40,"Gift Message Line 5 exceeds 40 characters. ","")&amp;IF(LEN($T268)&gt;40,"Gift Message Line 6 exceeds 40 characters. ","")&amp;IF(LEN($U268)&gt;40,"Gift Message Line 7 exceeds 40 characters. ",""))</f>
        <v/>
      </c>
      <c r="Y268" s="44" t="str">
        <f t="shared" si="17"/>
        <v/>
      </c>
      <c r="Z268" s="44"/>
      <c r="AA268" s="44"/>
      <c r="AB268" s="32" t="str">
        <f t="shared" si="18"/>
        <v/>
      </c>
      <c r="AC268" s="32" t="str">
        <f>IF($A268="","",IFERROR(LEFT(INDEX('PRODUCT DATA'!$NO$2:$NO$25,MATCH($A268,'PRODUCT DATA'!$NP$2:$NP$25,0)),FIND("|",INDEX('PRODUCT DATA'!$NO$2:$NO$25,MATCH($A268,'PRODUCT DATA'!$NP$2:$NP$25,0)))-1),$A268))</f>
        <v/>
      </c>
      <c r="AD268" s="45"/>
      <c r="AE268" s="45" t="str">
        <f t="shared" si="19"/>
        <v/>
      </c>
    </row>
    <row r="269" spans="1:31" ht="15" customHeight="1" x14ac:dyDescent="0.25">
      <c r="A269" s="40"/>
      <c r="B269" s="43" t="str">
        <f>IF($A269="","",IFERROR(VLOOKUP($AC269,'PRODUCT DATA'!$NR$2:$NS$374,2,FALSE()),"UNKNOWN ITEM CODE - please check"))</f>
        <v/>
      </c>
      <c r="C269" s="39">
        <v>1</v>
      </c>
      <c r="D269" s="39"/>
      <c r="E269" s="40"/>
      <c r="F269" s="41"/>
      <c r="G269" s="39"/>
      <c r="H269" s="41"/>
      <c r="I269" s="41"/>
      <c r="J269" s="39"/>
      <c r="K269" s="41"/>
      <c r="L269" s="40"/>
      <c r="M269" s="40"/>
      <c r="N269" s="42" t="str">
        <f>IF($M269="","",IFERROR(INDEX('PRODUCT DATA'!$B$2:$B$58,MATCH(IF(UPPER($M269)="UK","GB",$M269),'PRODUCT DATA'!$B$2:$B$58,0)),IFERROR(INDEX('PRODUCT DATA'!$B$2:$B$58,MATCH(IF(UPPER($M269)="UK","GB",$M269),'PRODUCT DATA'!$A$2:$A$58,0)),"UNKNOWN COUNTRY - please check")))</f>
        <v/>
      </c>
      <c r="O269" s="41"/>
      <c r="P269" s="41"/>
      <c r="Q269" s="41"/>
      <c r="R269" s="41"/>
      <c r="S269" s="41"/>
      <c r="T269" s="41"/>
      <c r="U269" s="41"/>
      <c r="V269" s="43" t="str">
        <f t="shared" si="16"/>
        <v/>
      </c>
      <c r="W269" s="44" t="str">
        <f ca="1">IF(COUNTA($A269,$D269:$M269,$O269:$U269)=0,"",IF($A269="","Item Code; ","")&amp;IF(AND($A269&lt;&gt;"",ISNA(MATCH($AC269,'PRODUCT DATA'!$D$2:$D$394,0))),"Item Code; ","")&amp;IF($M269="","Country; ","")&amp;IF(AND($M269&lt;&gt;"",NOT(OR(NOT(ISNA(MATCH(IF(UPPER($M269)="UK","GB",$M269),'PRODUCT DATA'!$A$2:$A$58,0))),NOT(ISNA(MATCH(IF(UPPER($M269)="UK","GB",$M269),'PRODUCT DATA'!$B$2:$B$58,0)))))),"Country; ","")&amp;IF(AND($A269&lt;&gt;"",$M269&lt;&gt;"",NOT(ISNA(MATCH($AC269,'PRODUCT DATA'!$D$2:$D$394,0))),OR(NOT(ISNA(MATCH(IF(UPPER($M269)="UK","GB",$M269),'PRODUCT DATA'!$A$2:$A$58,0))),NOT(ISNA(MATCH(IF(UPPER($M269)="UK","GB",$M269),'PRODUCT DATA'!$B$2:$B$58,0)))),NOT(IFERROR(COUNTIF(OFFSET('PRODUCT DATA'!$F$2,0,MATCH($AC269,'PRODUCT DATA'!$F$1:$NN$1,0)-1,114,1),$N269)&gt;0,FALSE()))),IF(UPPER(IFERROR(OFFSET('PRODUCT DATA'!$C$2,MATCH($N269,'PRODUCT DATA'!$B$2:$B$58,0)-1,0),""))="NO","Alcohol Restriction; ","Item Code / Country combination; "),"")&amp;IF($C269="","Quantity; ","")&amp;IF(AND($C269&lt;&gt;"",OR(NOT(ISNUMBER($C269)),$C269&lt;1,$C269&gt;999,MOD($C269,1)&lt;&gt;0)),"Quantity; ","")&amp;IF($D269="","Recipient Name; ","")&amp;IF(LEN($D269)&gt;35,"Recipient Name; ","")&amp;IF($E269="","Recipient Phone; ","")&amp;IF(AND($E269&lt;&gt;"",OR(LEN($E269)&lt;6,LEN($E269)&gt;20,NOT(IFERROR(ISNUMBER(1*$E269),FALSE())))),"Recipient Phone; ","")&amp;IF(LEN($F269)&gt;35,"Recipient Company Name; ","")&amp;IF($G269="","Address Line 1; ","")&amp;IF(LEN($G269)&gt;35,"Address Line 1; ","")&amp;IF(LEN($H269)&gt;35,"Address Line 2; ","")&amp;IF(LEN($I269)&gt;35,"Address Line 3; ","")&amp;IF($J269="","Town; ","")&amp;IF(LEN($J269)&gt;35,"Town; ","")&amp;IF(AND($N269="IE",$K269=""),"County; ","")&amp;IF(LEN($AB269)&gt;35,"County; ","")&amp;IF(AND($L269="",AND($N269&lt;&gt;"AE",$N269&lt;&gt;"QA")),"Postcode; ","")&amp;IF(LEN($L269)&gt;35,"Postcode; ","")&amp;IF($AE269&lt;&gt;"","Postcode; ","")&amp;IF(LEN($O269)&gt;40,"Gift Message 1; ","")&amp;IF(LEN($P269)&gt;40,"Gift Message 2; ","")&amp;IF(LEN($Q269)&gt;40,"Gift Message 3; ","")&amp;IF(LEN($R269)&gt;40,"Gift Message 4; ","")&amp;IF(LEN($S269)&gt;40,"Gift Message 5; ","")&amp;IF(LEN($T269)&gt;40,"Gift Message 6; ","")&amp;IF(LEN($U269)&gt;40,"Gift Message 7; ",""))</f>
        <v/>
      </c>
      <c r="X269" s="44" t="str">
        <f ca="1">IF(COUNTA($A269,$D269:$M269,$O269:$U269)=0,"",IF($A269="","Enter the Item Code (hamper) - type it, paste it, or choose it from the dropdown. ","")&amp;IF(AND($A269&lt;&gt;"",ISNA(MATCH($AC269,'PRODUCT DATA'!$D$2:$D$394,0))),"This Item Code is not recognised. Check the code (case does not matter, but spelling and digits must match exactly) or choose it from the dropdown. ","")&amp;IF($M269="","Enter the Country after the Item Code - type or paste the name or the 2-letter code, or choose it from the dropdown. ","")&amp;IF(AND($M269&lt;&gt;"",NOT(OR(NOT(ISNA(MATCH(IF(UPPER($M269)="UK","GB",$M269),'PRODUCT DATA'!$A$2:$A$58,0))),NOT(ISNA(MATCH(IF(UPPER($M269)="UK","GB",$M269),'PRODUCT DATA'!$B$2:$B$58,0)))))),"This Country is not recognised as either a full name or a 2-letter code. Check the spelling (case does not matter) or choose it from the dropdown. ","")&amp;IF(AND($A269&lt;&gt;"",$M269&lt;&gt;"",NOT(ISNA(MATCH($AC269,'PRODUCT DATA'!$D$2:$D$394,0))),OR(NOT(ISNA(MATCH(IF(UPPER($M269)="UK","GB",$M269),'PRODUCT DATA'!$A$2:$A$58,0))),NOT(ISNA(MATCH(IF(UPPER($M269)="UK","GB",$M269),'PRODUCT DATA'!$B$2:$B$58,0)))),NOT(IFERROR(COUNTIF(OFFSET('PRODUCT DATA'!$F$2,0,MATCH($AC269,'PRODUCT DATA'!$F$1:$NN$1,0)-1,114,1),$N269)&gt;0,FALSE()))),IF(UPPER(IFERROR(OFFSET('PRODUCT DATA'!$C$2,MATCH($N269,'PRODUCT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"),"")&amp;IF($C269="","Enter Quantity. ","")&amp;IF(AND($C269&lt;&gt;"",OR(NOT(ISNUMBER($C269)),$C269&lt;1,$C269&gt;999,MOD($C269,1)&lt;&gt;0)),"Quantity must be a whole number from 1 to 999 (use a quantity above 1 only for a genuine bulk order of identical items to ONE address — otherwise use a separate row per recipient). ","")&amp;IF($D269="","Enter Recipient Name. ","")&amp;IF(LEN($D269)&gt;35,"Recipient Name exceeds 35 characters. ","")&amp;IF($E269="","Enter Recipient Phone. ","")&amp;IF(AND($E269&lt;&gt;"",OR(LEN($E269)&lt;6,LEN($E269)&gt;20,NOT(IFERROR(ISNUMBER(1*$E269),FALSE())))),"Phone must be the LOCAL number for the destination country: digits only, no +, spaces, or country code, 6 to 20 digits. ","")&amp;IF(LEN($F269)&gt;35,"Recipient Company Name exceeds 35 characters. ","")&amp;IF($G269="","Enter Address Line 1. ","")&amp;IF(LEN($G269)&gt;35,"Address Line 1 exceeds the 35-character SAP limit. ","")&amp;IF(LEN($H269)&gt;35,"Address Line 2 exceeds the 35-character SAP limit. ","")&amp;IF(LEN($I269)&gt;35,"Address Line 3 exceeds the 35-character SAP limit. ","")&amp;IF($J269="","Enter Town. This must never be left blank, even if there is no conventional town name. ","")&amp;IF(LEN($J269)&gt;35,"Town exceeds 35 characters. ","")&amp;IF(AND($N269="IE",$K269=""),"County is required for deliveries within the Republic of Ireland. ","")&amp;IF(LEN($AB269)&gt;35,"County exceeds 35 characters. ","")&amp;IF(AND($L269="",AND($N269&lt;&gt;"AE",$N269&lt;&gt;"QA")),"Postcode is required for the selected country. If there is genuinely no postcode, enter the first 3 characters of the area (e.g. D15). ","")&amp;IF(LEN($L269)&gt;35,"Postcode exceeds 35 characters. ","")&amp;IF($AE269&lt;&gt;"",$AE269,"")&amp;IF(LEN($O269)&gt;40,"Gift Message Line 1 exceeds 40 characters. ","")&amp;IF(LEN($P269)&gt;40,"Gift Message Line 2 exceeds 40 characters. ","")&amp;IF(LEN($Q269)&gt;40,"Gift Message Line 3 exceeds 40 characters. ","")&amp;IF(LEN($R269)&gt;40,"Gift Message Line 4 exceeds 40 characters. ","")&amp;IF(LEN($S269)&gt;40,"Gift Message Line 5 exceeds 40 characters. ","")&amp;IF(LEN($T269)&gt;40,"Gift Message Line 6 exceeds 40 characters. ","")&amp;IF(LEN($U269)&gt;40,"Gift Message Line 7 exceeds 40 characters. ",""))</f>
        <v/>
      </c>
      <c r="Y269" s="44" t="str">
        <f t="shared" si="17"/>
        <v/>
      </c>
      <c r="Z269" s="44"/>
      <c r="AA269" s="44"/>
      <c r="AB269" s="32" t="str">
        <f t="shared" si="18"/>
        <v/>
      </c>
      <c r="AC269" s="32" t="str">
        <f>IF($A269="","",IFERROR(LEFT(INDEX('PRODUCT DATA'!$NO$2:$NO$25,MATCH($A269,'PRODUCT DATA'!$NP$2:$NP$25,0)),FIND("|",INDEX('PRODUCT DATA'!$NO$2:$NO$25,MATCH($A269,'PRODUCT DATA'!$NP$2:$NP$25,0)))-1),$A269))</f>
        <v/>
      </c>
      <c r="AD269" s="45"/>
      <c r="AE269" s="45" t="str">
        <f t="shared" si="19"/>
        <v/>
      </c>
    </row>
    <row r="270" spans="1:31" ht="15" customHeight="1" x14ac:dyDescent="0.25">
      <c r="A270" s="40"/>
      <c r="B270" s="43" t="str">
        <f>IF($A270="","",IFERROR(VLOOKUP($AC270,'PRODUCT DATA'!$NR$2:$NS$374,2,FALSE()),"UNKNOWN ITEM CODE - please check"))</f>
        <v/>
      </c>
      <c r="C270" s="39">
        <v>1</v>
      </c>
      <c r="D270" s="39"/>
      <c r="E270" s="40"/>
      <c r="F270" s="41"/>
      <c r="G270" s="39"/>
      <c r="H270" s="41"/>
      <c r="I270" s="41"/>
      <c r="J270" s="39"/>
      <c r="K270" s="41"/>
      <c r="L270" s="40"/>
      <c r="M270" s="40"/>
      <c r="N270" s="42" t="str">
        <f>IF($M270="","",IFERROR(INDEX('PRODUCT DATA'!$B$2:$B$58,MATCH(IF(UPPER($M270)="UK","GB",$M270),'PRODUCT DATA'!$B$2:$B$58,0)),IFERROR(INDEX('PRODUCT DATA'!$B$2:$B$58,MATCH(IF(UPPER($M270)="UK","GB",$M270),'PRODUCT DATA'!$A$2:$A$58,0)),"UNKNOWN COUNTRY - please check")))</f>
        <v/>
      </c>
      <c r="O270" s="41"/>
      <c r="P270" s="41"/>
      <c r="Q270" s="41"/>
      <c r="R270" s="41"/>
      <c r="S270" s="41"/>
      <c r="T270" s="41"/>
      <c r="U270" s="41"/>
      <c r="V270" s="43" t="str">
        <f t="shared" si="16"/>
        <v/>
      </c>
      <c r="W270" s="44" t="str">
        <f ca="1">IF(COUNTA($A270,$D270:$M270,$O270:$U270)=0,"",IF($A270="","Item Code; ","")&amp;IF(AND($A270&lt;&gt;"",ISNA(MATCH($AC270,'PRODUCT DATA'!$D$2:$D$394,0))),"Item Code; ","")&amp;IF($M270="","Country; ","")&amp;IF(AND($M270&lt;&gt;"",NOT(OR(NOT(ISNA(MATCH(IF(UPPER($M270)="UK","GB",$M270),'PRODUCT DATA'!$A$2:$A$58,0))),NOT(ISNA(MATCH(IF(UPPER($M270)="UK","GB",$M270),'PRODUCT DATA'!$B$2:$B$58,0)))))),"Country; ","")&amp;IF(AND($A270&lt;&gt;"",$M270&lt;&gt;"",NOT(ISNA(MATCH($AC270,'PRODUCT DATA'!$D$2:$D$394,0))),OR(NOT(ISNA(MATCH(IF(UPPER($M270)="UK","GB",$M270),'PRODUCT DATA'!$A$2:$A$58,0))),NOT(ISNA(MATCH(IF(UPPER($M270)="UK","GB",$M270),'PRODUCT DATA'!$B$2:$B$58,0)))),NOT(IFERROR(COUNTIF(OFFSET('PRODUCT DATA'!$F$2,0,MATCH($AC270,'PRODUCT DATA'!$F$1:$NN$1,0)-1,114,1),$N270)&gt;0,FALSE()))),IF(UPPER(IFERROR(OFFSET('PRODUCT DATA'!$C$2,MATCH($N270,'PRODUCT DATA'!$B$2:$B$58,0)-1,0),""))="NO","Alcohol Restriction; ","Item Code / Country combination; "),"")&amp;IF($C270="","Quantity; ","")&amp;IF(AND($C270&lt;&gt;"",OR(NOT(ISNUMBER($C270)),$C270&lt;1,$C270&gt;999,MOD($C270,1)&lt;&gt;0)),"Quantity; ","")&amp;IF($D270="","Recipient Name; ","")&amp;IF(LEN($D270)&gt;35,"Recipient Name; ","")&amp;IF($E270="","Recipient Phone; ","")&amp;IF(AND($E270&lt;&gt;"",OR(LEN($E270)&lt;6,LEN($E270)&gt;20,NOT(IFERROR(ISNUMBER(1*$E270),FALSE())))),"Recipient Phone; ","")&amp;IF(LEN($F270)&gt;35,"Recipient Company Name; ","")&amp;IF($G270="","Address Line 1; ","")&amp;IF(LEN($G270)&gt;35,"Address Line 1; ","")&amp;IF(LEN($H270)&gt;35,"Address Line 2; ","")&amp;IF(LEN($I270)&gt;35,"Address Line 3; ","")&amp;IF($J270="","Town; ","")&amp;IF(LEN($J270)&gt;35,"Town; ","")&amp;IF(AND($N270="IE",$K270=""),"County; ","")&amp;IF(LEN($AB270)&gt;35,"County; ","")&amp;IF(AND($L270="",AND($N270&lt;&gt;"AE",$N270&lt;&gt;"QA")),"Postcode; ","")&amp;IF(LEN($L270)&gt;35,"Postcode; ","")&amp;IF($AE270&lt;&gt;"","Postcode; ","")&amp;IF(LEN($O270)&gt;40,"Gift Message 1; ","")&amp;IF(LEN($P270)&gt;40,"Gift Message 2; ","")&amp;IF(LEN($Q270)&gt;40,"Gift Message 3; ","")&amp;IF(LEN($R270)&gt;40,"Gift Message 4; ","")&amp;IF(LEN($S270)&gt;40,"Gift Message 5; ","")&amp;IF(LEN($T270)&gt;40,"Gift Message 6; ","")&amp;IF(LEN($U270)&gt;40,"Gift Message 7; ",""))</f>
        <v/>
      </c>
      <c r="X270" s="44" t="str">
        <f ca="1">IF(COUNTA($A270,$D270:$M270,$O270:$U270)=0,"",IF($A270="","Enter the Item Code (hamper) - type it, paste it, or choose it from the dropdown. ","")&amp;IF(AND($A270&lt;&gt;"",ISNA(MATCH($AC270,'PRODUCT DATA'!$D$2:$D$394,0))),"This Item Code is not recognised. Check the code (case does not matter, but spelling and digits must match exactly) or choose it from the dropdown. ","")&amp;IF($M270="","Enter the Country after the Item Code - type or paste the name or the 2-letter code, or choose it from the dropdown. ","")&amp;IF(AND($M270&lt;&gt;"",NOT(OR(NOT(ISNA(MATCH(IF(UPPER($M270)="UK","GB",$M270),'PRODUCT DATA'!$A$2:$A$58,0))),NOT(ISNA(MATCH(IF(UPPER($M270)="UK","GB",$M270),'PRODUCT DATA'!$B$2:$B$58,0)))))),"This Country is not recognised as either a full name or a 2-letter code. Check the spelling (case does not matter) or choose it from the dropdown. ","")&amp;IF(AND($A270&lt;&gt;"",$M270&lt;&gt;"",NOT(ISNA(MATCH($AC270,'PRODUCT DATA'!$D$2:$D$394,0))),OR(NOT(ISNA(MATCH(IF(UPPER($M270)="UK","GB",$M270),'PRODUCT DATA'!$A$2:$A$58,0))),NOT(ISNA(MATCH(IF(UPPER($M270)="UK","GB",$M270),'PRODUCT DATA'!$B$2:$B$58,0)))),NOT(IFERROR(COUNTIF(OFFSET('PRODUCT DATA'!$F$2,0,MATCH($AC270,'PRODUCT DATA'!$F$1:$NN$1,0)-1,114,1),$N270)&gt;0,FALSE()))),IF(UPPER(IFERROR(OFFSET('PRODUCT DATA'!$C$2,MATCH($N270,'PRODUCT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"),"")&amp;IF($C270="","Enter Quantity. ","")&amp;IF(AND($C270&lt;&gt;"",OR(NOT(ISNUMBER($C270)),$C270&lt;1,$C270&gt;999,MOD($C270,1)&lt;&gt;0)),"Quantity must be a whole number from 1 to 999 (use a quantity above 1 only for a genuine bulk order of identical items to ONE address — otherwise use a separate row per recipient). ","")&amp;IF($D270="","Enter Recipient Name. ","")&amp;IF(LEN($D270)&gt;35,"Recipient Name exceeds 35 characters. ","")&amp;IF($E270="","Enter Recipient Phone. ","")&amp;IF(AND($E270&lt;&gt;"",OR(LEN($E270)&lt;6,LEN($E270)&gt;20,NOT(IFERROR(ISNUMBER(1*$E270),FALSE())))),"Phone must be the LOCAL number for the destination country: digits only, no +, spaces, or country code, 6 to 20 digits. ","")&amp;IF(LEN($F270)&gt;35,"Recipient Company Name exceeds 35 characters. ","")&amp;IF($G270="","Enter Address Line 1. ","")&amp;IF(LEN($G270)&gt;35,"Address Line 1 exceeds the 35-character SAP limit. ","")&amp;IF(LEN($H270)&gt;35,"Address Line 2 exceeds the 35-character SAP limit. ","")&amp;IF(LEN($I270)&gt;35,"Address Line 3 exceeds the 35-character SAP limit. ","")&amp;IF($J270="","Enter Town. This must never be left blank, even if there is no conventional town name. ","")&amp;IF(LEN($J270)&gt;35,"Town exceeds 35 characters. ","")&amp;IF(AND($N270="IE",$K270=""),"County is required for deliveries within the Republic of Ireland. ","")&amp;IF(LEN($AB270)&gt;35,"County exceeds 35 characters. ","")&amp;IF(AND($L270="",AND($N270&lt;&gt;"AE",$N270&lt;&gt;"QA")),"Postcode is required for the selected country. If there is genuinely no postcode, enter the first 3 characters of the area (e.g. D15). ","")&amp;IF(LEN($L270)&gt;35,"Postcode exceeds 35 characters. ","")&amp;IF($AE270&lt;&gt;"",$AE270,"")&amp;IF(LEN($O270)&gt;40,"Gift Message Line 1 exceeds 40 characters. ","")&amp;IF(LEN($P270)&gt;40,"Gift Message Line 2 exceeds 40 characters. ","")&amp;IF(LEN($Q270)&gt;40,"Gift Message Line 3 exceeds 40 characters. ","")&amp;IF(LEN($R270)&gt;40,"Gift Message Line 4 exceeds 40 characters. ","")&amp;IF(LEN($S270)&gt;40,"Gift Message Line 5 exceeds 40 characters. ","")&amp;IF(LEN($T270)&gt;40,"Gift Message Line 6 exceeds 40 characters. ","")&amp;IF(LEN($U270)&gt;40,"Gift Message Line 7 exceeds 40 characters. ",""))</f>
        <v/>
      </c>
      <c r="Y270" s="44" t="str">
        <f t="shared" si="17"/>
        <v/>
      </c>
      <c r="Z270" s="44"/>
      <c r="AA270" s="44"/>
      <c r="AB270" s="32" t="str">
        <f t="shared" si="18"/>
        <v/>
      </c>
      <c r="AC270" s="32" t="str">
        <f>IF($A270="","",IFERROR(LEFT(INDEX('PRODUCT DATA'!$NO$2:$NO$25,MATCH($A270,'PRODUCT DATA'!$NP$2:$NP$25,0)),FIND("|",INDEX('PRODUCT DATA'!$NO$2:$NO$25,MATCH($A270,'PRODUCT DATA'!$NP$2:$NP$25,0)))-1),$A270))</f>
        <v/>
      </c>
      <c r="AD270" s="45"/>
      <c r="AE270" s="45" t="str">
        <f t="shared" si="19"/>
        <v/>
      </c>
    </row>
    <row r="271" spans="1:31" ht="15" customHeight="1" x14ac:dyDescent="0.25">
      <c r="A271" s="40"/>
      <c r="B271" s="43" t="str">
        <f>IF($A271="","",IFERROR(VLOOKUP($AC271,'PRODUCT DATA'!$NR$2:$NS$374,2,FALSE()),"UNKNOWN ITEM CODE - please check"))</f>
        <v/>
      </c>
      <c r="C271" s="39">
        <v>1</v>
      </c>
      <c r="D271" s="39"/>
      <c r="E271" s="40"/>
      <c r="F271" s="41"/>
      <c r="G271" s="39"/>
      <c r="H271" s="41"/>
      <c r="I271" s="41"/>
      <c r="J271" s="39"/>
      <c r="K271" s="41"/>
      <c r="L271" s="40"/>
      <c r="M271" s="40"/>
      <c r="N271" s="42" t="str">
        <f>IF($M271="","",IFERROR(INDEX('PRODUCT DATA'!$B$2:$B$58,MATCH(IF(UPPER($M271)="UK","GB",$M271),'PRODUCT DATA'!$B$2:$B$58,0)),IFERROR(INDEX('PRODUCT DATA'!$B$2:$B$58,MATCH(IF(UPPER($M271)="UK","GB",$M271),'PRODUCT DATA'!$A$2:$A$58,0)),"UNKNOWN COUNTRY - please check")))</f>
        <v/>
      </c>
      <c r="O271" s="41"/>
      <c r="P271" s="41"/>
      <c r="Q271" s="41"/>
      <c r="R271" s="41"/>
      <c r="S271" s="41"/>
      <c r="T271" s="41"/>
      <c r="U271" s="41"/>
      <c r="V271" s="43" t="str">
        <f t="shared" si="16"/>
        <v/>
      </c>
      <c r="W271" s="44" t="str">
        <f ca="1">IF(COUNTA($A271,$D271:$M271,$O271:$U271)=0,"",IF($A271="","Item Code; ","")&amp;IF(AND($A271&lt;&gt;"",ISNA(MATCH($AC271,'PRODUCT DATA'!$D$2:$D$394,0))),"Item Code; ","")&amp;IF($M271="","Country; ","")&amp;IF(AND($M271&lt;&gt;"",NOT(OR(NOT(ISNA(MATCH(IF(UPPER($M271)="UK","GB",$M271),'PRODUCT DATA'!$A$2:$A$58,0))),NOT(ISNA(MATCH(IF(UPPER($M271)="UK","GB",$M271),'PRODUCT DATA'!$B$2:$B$58,0)))))),"Country; ","")&amp;IF(AND($A271&lt;&gt;"",$M271&lt;&gt;"",NOT(ISNA(MATCH($AC271,'PRODUCT DATA'!$D$2:$D$394,0))),OR(NOT(ISNA(MATCH(IF(UPPER($M271)="UK","GB",$M271),'PRODUCT DATA'!$A$2:$A$58,0))),NOT(ISNA(MATCH(IF(UPPER($M271)="UK","GB",$M271),'PRODUCT DATA'!$B$2:$B$58,0)))),NOT(IFERROR(COUNTIF(OFFSET('PRODUCT DATA'!$F$2,0,MATCH($AC271,'PRODUCT DATA'!$F$1:$NN$1,0)-1,114,1),$N271)&gt;0,FALSE()))),IF(UPPER(IFERROR(OFFSET('PRODUCT DATA'!$C$2,MATCH($N271,'PRODUCT DATA'!$B$2:$B$58,0)-1,0),""))="NO","Alcohol Restriction; ","Item Code / Country combination; "),"")&amp;IF($C271="","Quantity; ","")&amp;IF(AND($C271&lt;&gt;"",OR(NOT(ISNUMBER($C271)),$C271&lt;1,$C271&gt;999,MOD($C271,1)&lt;&gt;0)),"Quantity; ","")&amp;IF($D271="","Recipient Name; ","")&amp;IF(LEN($D271)&gt;35,"Recipient Name; ","")&amp;IF($E271="","Recipient Phone; ","")&amp;IF(AND($E271&lt;&gt;"",OR(LEN($E271)&lt;6,LEN($E271)&gt;20,NOT(IFERROR(ISNUMBER(1*$E271),FALSE())))),"Recipient Phone; ","")&amp;IF(LEN($F271)&gt;35,"Recipient Company Name; ","")&amp;IF($G271="","Address Line 1; ","")&amp;IF(LEN($G271)&gt;35,"Address Line 1; ","")&amp;IF(LEN($H271)&gt;35,"Address Line 2; ","")&amp;IF(LEN($I271)&gt;35,"Address Line 3; ","")&amp;IF($J271="","Town; ","")&amp;IF(LEN($J271)&gt;35,"Town; ","")&amp;IF(AND($N271="IE",$K271=""),"County; ","")&amp;IF(LEN($AB271)&gt;35,"County; ","")&amp;IF(AND($L271="",AND($N271&lt;&gt;"AE",$N271&lt;&gt;"QA")),"Postcode; ","")&amp;IF(LEN($L271)&gt;35,"Postcode; ","")&amp;IF($AE271&lt;&gt;"","Postcode; ","")&amp;IF(LEN($O271)&gt;40,"Gift Message 1; ","")&amp;IF(LEN($P271)&gt;40,"Gift Message 2; ","")&amp;IF(LEN($Q271)&gt;40,"Gift Message 3; ","")&amp;IF(LEN($R271)&gt;40,"Gift Message 4; ","")&amp;IF(LEN($S271)&gt;40,"Gift Message 5; ","")&amp;IF(LEN($T271)&gt;40,"Gift Message 6; ","")&amp;IF(LEN($U271)&gt;40,"Gift Message 7; ",""))</f>
        <v/>
      </c>
      <c r="X271" s="44" t="str">
        <f ca="1">IF(COUNTA($A271,$D271:$M271,$O271:$U271)=0,"",IF($A271="","Enter the Item Code (hamper) - type it, paste it, or choose it from the dropdown. ","")&amp;IF(AND($A271&lt;&gt;"",ISNA(MATCH($AC271,'PRODUCT DATA'!$D$2:$D$394,0))),"This Item Code is not recognised. Check the code (case does not matter, but spelling and digits must match exactly) or choose it from the dropdown. ","")&amp;IF($M271="","Enter the Country after the Item Code - type or paste the name or the 2-letter code, or choose it from the dropdown. ","")&amp;IF(AND($M271&lt;&gt;"",NOT(OR(NOT(ISNA(MATCH(IF(UPPER($M271)="UK","GB",$M271),'PRODUCT DATA'!$A$2:$A$58,0))),NOT(ISNA(MATCH(IF(UPPER($M271)="UK","GB",$M271),'PRODUCT DATA'!$B$2:$B$58,0)))))),"This Country is not recognised as either a full name or a 2-letter code. Check the spelling (case does not matter) or choose it from the dropdown. ","")&amp;IF(AND($A271&lt;&gt;"",$M271&lt;&gt;"",NOT(ISNA(MATCH($AC271,'PRODUCT DATA'!$D$2:$D$394,0))),OR(NOT(ISNA(MATCH(IF(UPPER($M271)="UK","GB",$M271),'PRODUCT DATA'!$A$2:$A$58,0))),NOT(ISNA(MATCH(IF(UPPER($M271)="UK","GB",$M271),'PRODUCT DATA'!$B$2:$B$58,0)))),NOT(IFERROR(COUNTIF(OFFSET('PRODUCT DATA'!$F$2,0,MATCH($AC271,'PRODUCT DATA'!$F$1:$NN$1,0)-1,114,1),$N271)&gt;0,FALSE()))),IF(UPPER(IFERROR(OFFSET('PRODUCT DATA'!$C$2,MATCH($N271,'PRODUCT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"),"")&amp;IF($C271="","Enter Quantity. ","")&amp;IF(AND($C271&lt;&gt;"",OR(NOT(ISNUMBER($C271)),$C271&lt;1,$C271&gt;999,MOD($C271,1)&lt;&gt;0)),"Quantity must be a whole number from 1 to 999 (use a quantity above 1 only for a genuine bulk order of identical items to ONE address — otherwise use a separate row per recipient). ","")&amp;IF($D271="","Enter Recipient Name. ","")&amp;IF(LEN($D271)&gt;35,"Recipient Name exceeds 35 characters. ","")&amp;IF($E271="","Enter Recipient Phone. ","")&amp;IF(AND($E271&lt;&gt;"",OR(LEN($E271)&lt;6,LEN($E271)&gt;20,NOT(IFERROR(ISNUMBER(1*$E271),FALSE())))),"Phone must be the LOCAL number for the destination country: digits only, no +, spaces, or country code, 6 to 20 digits. ","")&amp;IF(LEN($F271)&gt;35,"Recipient Company Name exceeds 35 characters. ","")&amp;IF($G271="","Enter Address Line 1. ","")&amp;IF(LEN($G271)&gt;35,"Address Line 1 exceeds the 35-character SAP limit. ","")&amp;IF(LEN($H271)&gt;35,"Address Line 2 exceeds the 35-character SAP limit. ","")&amp;IF(LEN($I271)&gt;35,"Address Line 3 exceeds the 35-character SAP limit. ","")&amp;IF($J271="","Enter Town. This must never be left blank, even if there is no conventional town name. ","")&amp;IF(LEN($J271)&gt;35,"Town exceeds 35 characters. ","")&amp;IF(AND($N271="IE",$K271=""),"County is required for deliveries within the Republic of Ireland. ","")&amp;IF(LEN($AB271)&gt;35,"County exceeds 35 characters. ","")&amp;IF(AND($L271="",AND($N271&lt;&gt;"AE",$N271&lt;&gt;"QA")),"Postcode is required for the selected country. If there is genuinely no postcode, enter the first 3 characters of the area (e.g. D15). ","")&amp;IF(LEN($L271)&gt;35,"Postcode exceeds 35 characters. ","")&amp;IF($AE271&lt;&gt;"",$AE271,"")&amp;IF(LEN($O271)&gt;40,"Gift Message Line 1 exceeds 40 characters. ","")&amp;IF(LEN($P271)&gt;40,"Gift Message Line 2 exceeds 40 characters. ","")&amp;IF(LEN($Q271)&gt;40,"Gift Message Line 3 exceeds 40 characters. ","")&amp;IF(LEN($R271)&gt;40,"Gift Message Line 4 exceeds 40 characters. ","")&amp;IF(LEN($S271)&gt;40,"Gift Message Line 5 exceeds 40 characters. ","")&amp;IF(LEN($T271)&gt;40,"Gift Message Line 6 exceeds 40 characters. ","")&amp;IF(LEN($U271)&gt;40,"Gift Message Line 7 exceeds 40 characters. ",""))</f>
        <v/>
      </c>
      <c r="Y271" s="44" t="str">
        <f t="shared" si="17"/>
        <v/>
      </c>
      <c r="Z271" s="44"/>
      <c r="AA271" s="44"/>
      <c r="AB271" s="32" t="str">
        <f t="shared" si="18"/>
        <v/>
      </c>
      <c r="AC271" s="32" t="str">
        <f>IF($A271="","",IFERROR(LEFT(INDEX('PRODUCT DATA'!$NO$2:$NO$25,MATCH($A271,'PRODUCT DATA'!$NP$2:$NP$25,0)),FIND("|",INDEX('PRODUCT DATA'!$NO$2:$NO$25,MATCH($A271,'PRODUCT DATA'!$NP$2:$NP$25,0)))-1),$A271))</f>
        <v/>
      </c>
      <c r="AD271" s="45"/>
      <c r="AE271" s="45" t="str">
        <f t="shared" si="19"/>
        <v/>
      </c>
    </row>
    <row r="272" spans="1:31" ht="15" customHeight="1" x14ac:dyDescent="0.25">
      <c r="A272" s="40"/>
      <c r="B272" s="43" t="str">
        <f>IF($A272="","",IFERROR(VLOOKUP($AC272,'PRODUCT DATA'!$NR$2:$NS$374,2,FALSE()),"UNKNOWN ITEM CODE - please check"))</f>
        <v/>
      </c>
      <c r="C272" s="39">
        <v>1</v>
      </c>
      <c r="D272" s="39"/>
      <c r="E272" s="40"/>
      <c r="F272" s="41"/>
      <c r="G272" s="39"/>
      <c r="H272" s="41"/>
      <c r="I272" s="41"/>
      <c r="J272" s="39"/>
      <c r="K272" s="41"/>
      <c r="L272" s="40"/>
      <c r="M272" s="40"/>
      <c r="N272" s="42" t="str">
        <f>IF($M272="","",IFERROR(INDEX('PRODUCT DATA'!$B$2:$B$58,MATCH(IF(UPPER($M272)="UK","GB",$M272),'PRODUCT DATA'!$B$2:$B$58,0)),IFERROR(INDEX('PRODUCT DATA'!$B$2:$B$58,MATCH(IF(UPPER($M272)="UK","GB",$M272),'PRODUCT DATA'!$A$2:$A$58,0)),"UNKNOWN COUNTRY - please check")))</f>
        <v/>
      </c>
      <c r="O272" s="41"/>
      <c r="P272" s="41"/>
      <c r="Q272" s="41"/>
      <c r="R272" s="41"/>
      <c r="S272" s="41"/>
      <c r="T272" s="41"/>
      <c r="U272" s="41"/>
      <c r="V272" s="43" t="str">
        <f t="shared" si="16"/>
        <v/>
      </c>
      <c r="W272" s="44" t="str">
        <f ca="1">IF(COUNTA($A272,$D272:$M272,$O272:$U272)=0,"",IF($A272="","Item Code; ","")&amp;IF(AND($A272&lt;&gt;"",ISNA(MATCH($AC272,'PRODUCT DATA'!$D$2:$D$394,0))),"Item Code; ","")&amp;IF($M272="","Country; ","")&amp;IF(AND($M272&lt;&gt;"",NOT(OR(NOT(ISNA(MATCH(IF(UPPER($M272)="UK","GB",$M272),'PRODUCT DATA'!$A$2:$A$58,0))),NOT(ISNA(MATCH(IF(UPPER($M272)="UK","GB",$M272),'PRODUCT DATA'!$B$2:$B$58,0)))))),"Country; ","")&amp;IF(AND($A272&lt;&gt;"",$M272&lt;&gt;"",NOT(ISNA(MATCH($AC272,'PRODUCT DATA'!$D$2:$D$394,0))),OR(NOT(ISNA(MATCH(IF(UPPER($M272)="UK","GB",$M272),'PRODUCT DATA'!$A$2:$A$58,0))),NOT(ISNA(MATCH(IF(UPPER($M272)="UK","GB",$M272),'PRODUCT DATA'!$B$2:$B$58,0)))),NOT(IFERROR(COUNTIF(OFFSET('PRODUCT DATA'!$F$2,0,MATCH($AC272,'PRODUCT DATA'!$F$1:$NN$1,0)-1,114,1),$N272)&gt;0,FALSE()))),IF(UPPER(IFERROR(OFFSET('PRODUCT DATA'!$C$2,MATCH($N272,'PRODUCT DATA'!$B$2:$B$58,0)-1,0),""))="NO","Alcohol Restriction; ","Item Code / Country combination; "),"")&amp;IF($C272="","Quantity; ","")&amp;IF(AND($C272&lt;&gt;"",OR(NOT(ISNUMBER($C272)),$C272&lt;1,$C272&gt;999,MOD($C272,1)&lt;&gt;0)),"Quantity; ","")&amp;IF($D272="","Recipient Name; ","")&amp;IF(LEN($D272)&gt;35,"Recipient Name; ","")&amp;IF($E272="","Recipient Phone; ","")&amp;IF(AND($E272&lt;&gt;"",OR(LEN($E272)&lt;6,LEN($E272)&gt;20,NOT(IFERROR(ISNUMBER(1*$E272),FALSE())))),"Recipient Phone; ","")&amp;IF(LEN($F272)&gt;35,"Recipient Company Name; ","")&amp;IF($G272="","Address Line 1; ","")&amp;IF(LEN($G272)&gt;35,"Address Line 1; ","")&amp;IF(LEN($H272)&gt;35,"Address Line 2; ","")&amp;IF(LEN($I272)&gt;35,"Address Line 3; ","")&amp;IF($J272="","Town; ","")&amp;IF(LEN($J272)&gt;35,"Town; ","")&amp;IF(AND($N272="IE",$K272=""),"County; ","")&amp;IF(LEN($AB272)&gt;35,"County; ","")&amp;IF(AND($L272="",AND($N272&lt;&gt;"AE",$N272&lt;&gt;"QA")),"Postcode; ","")&amp;IF(LEN($L272)&gt;35,"Postcode; ","")&amp;IF($AE272&lt;&gt;"","Postcode; ","")&amp;IF(LEN($O272)&gt;40,"Gift Message 1; ","")&amp;IF(LEN($P272)&gt;40,"Gift Message 2; ","")&amp;IF(LEN($Q272)&gt;40,"Gift Message 3; ","")&amp;IF(LEN($R272)&gt;40,"Gift Message 4; ","")&amp;IF(LEN($S272)&gt;40,"Gift Message 5; ","")&amp;IF(LEN($T272)&gt;40,"Gift Message 6; ","")&amp;IF(LEN($U272)&gt;40,"Gift Message 7; ",""))</f>
        <v/>
      </c>
      <c r="X272" s="44" t="str">
        <f ca="1">IF(COUNTA($A272,$D272:$M272,$O272:$U272)=0,"",IF($A272="","Enter the Item Code (hamper) - type it, paste it, or choose it from the dropdown. ","")&amp;IF(AND($A272&lt;&gt;"",ISNA(MATCH($AC272,'PRODUCT DATA'!$D$2:$D$394,0))),"This Item Code is not recognised. Check the code (case does not matter, but spelling and digits must match exactly) or choose it from the dropdown. ","")&amp;IF($M272="","Enter the Country after the Item Code - type or paste the name or the 2-letter code, or choose it from the dropdown. ","")&amp;IF(AND($M272&lt;&gt;"",NOT(OR(NOT(ISNA(MATCH(IF(UPPER($M272)="UK","GB",$M272),'PRODUCT DATA'!$A$2:$A$58,0))),NOT(ISNA(MATCH(IF(UPPER($M272)="UK","GB",$M272),'PRODUCT DATA'!$B$2:$B$58,0)))))),"This Country is not recognised as either a full name or a 2-letter code. Check the spelling (case does not matter) or choose it from the dropdown. ","")&amp;IF(AND($A272&lt;&gt;"",$M272&lt;&gt;"",NOT(ISNA(MATCH($AC272,'PRODUCT DATA'!$D$2:$D$394,0))),OR(NOT(ISNA(MATCH(IF(UPPER($M272)="UK","GB",$M272),'PRODUCT DATA'!$A$2:$A$58,0))),NOT(ISNA(MATCH(IF(UPPER($M272)="UK","GB",$M272),'PRODUCT DATA'!$B$2:$B$58,0)))),NOT(IFERROR(COUNTIF(OFFSET('PRODUCT DATA'!$F$2,0,MATCH($AC272,'PRODUCT DATA'!$F$1:$NN$1,0)-1,114,1),$N272)&gt;0,FALSE()))),IF(UPPER(IFERROR(OFFSET('PRODUCT DATA'!$C$2,MATCH($N272,'PRODUCT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"),"")&amp;IF($C272="","Enter Quantity. ","")&amp;IF(AND($C272&lt;&gt;"",OR(NOT(ISNUMBER($C272)),$C272&lt;1,$C272&gt;999,MOD($C272,1)&lt;&gt;0)),"Quantity must be a whole number from 1 to 999 (use a quantity above 1 only for a genuine bulk order of identical items to ONE address — otherwise use a separate row per recipient). ","")&amp;IF($D272="","Enter Recipient Name. ","")&amp;IF(LEN($D272)&gt;35,"Recipient Name exceeds 35 characters. ","")&amp;IF($E272="","Enter Recipient Phone. ","")&amp;IF(AND($E272&lt;&gt;"",OR(LEN($E272)&lt;6,LEN($E272)&gt;20,NOT(IFERROR(ISNUMBER(1*$E272),FALSE())))),"Phone must be the LOCAL number for the destination country: digits only, no +, spaces, or country code, 6 to 20 digits. ","")&amp;IF(LEN($F272)&gt;35,"Recipient Company Name exceeds 35 characters. ","")&amp;IF($G272="","Enter Address Line 1. ","")&amp;IF(LEN($G272)&gt;35,"Address Line 1 exceeds the 35-character SAP limit. ","")&amp;IF(LEN($H272)&gt;35,"Address Line 2 exceeds the 35-character SAP limit. ","")&amp;IF(LEN($I272)&gt;35,"Address Line 3 exceeds the 35-character SAP limit. ","")&amp;IF($J272="","Enter Town. This must never be left blank, even if there is no conventional town name. ","")&amp;IF(LEN($J272)&gt;35,"Town exceeds 35 characters. ","")&amp;IF(AND($N272="IE",$K272=""),"County is required for deliveries within the Republic of Ireland. ","")&amp;IF(LEN($AB272)&gt;35,"County exceeds 35 characters. ","")&amp;IF(AND($L272="",AND($N272&lt;&gt;"AE",$N272&lt;&gt;"QA")),"Postcode is required for the selected country. If there is genuinely no postcode, enter the first 3 characters of the area (e.g. D15). ","")&amp;IF(LEN($L272)&gt;35,"Postcode exceeds 35 characters. ","")&amp;IF($AE272&lt;&gt;"",$AE272,"")&amp;IF(LEN($O272)&gt;40,"Gift Message Line 1 exceeds 40 characters. ","")&amp;IF(LEN($P272)&gt;40,"Gift Message Line 2 exceeds 40 characters. ","")&amp;IF(LEN($Q272)&gt;40,"Gift Message Line 3 exceeds 40 characters. ","")&amp;IF(LEN($R272)&gt;40,"Gift Message Line 4 exceeds 40 characters. ","")&amp;IF(LEN($S272)&gt;40,"Gift Message Line 5 exceeds 40 characters. ","")&amp;IF(LEN($T272)&gt;40,"Gift Message Line 6 exceeds 40 characters. ","")&amp;IF(LEN($U272)&gt;40,"Gift Message Line 7 exceeds 40 characters. ",""))</f>
        <v/>
      </c>
      <c r="Y272" s="44" t="str">
        <f t="shared" si="17"/>
        <v/>
      </c>
      <c r="Z272" s="44"/>
      <c r="AA272" s="44"/>
      <c r="AB272" s="32" t="str">
        <f t="shared" si="18"/>
        <v/>
      </c>
      <c r="AC272" s="32" t="str">
        <f>IF($A272="","",IFERROR(LEFT(INDEX('PRODUCT DATA'!$NO$2:$NO$25,MATCH($A272,'PRODUCT DATA'!$NP$2:$NP$25,0)),FIND("|",INDEX('PRODUCT DATA'!$NO$2:$NO$25,MATCH($A272,'PRODUCT DATA'!$NP$2:$NP$25,0)))-1),$A272))</f>
        <v/>
      </c>
      <c r="AD272" s="45"/>
      <c r="AE272" s="45" t="str">
        <f t="shared" si="19"/>
        <v/>
      </c>
    </row>
    <row r="273" spans="1:31" ht="15" customHeight="1" x14ac:dyDescent="0.25">
      <c r="A273" s="40"/>
      <c r="B273" s="43" t="str">
        <f>IF($A273="","",IFERROR(VLOOKUP($AC273,'PRODUCT DATA'!$NR$2:$NS$374,2,FALSE()),"UNKNOWN ITEM CODE - please check"))</f>
        <v/>
      </c>
      <c r="C273" s="39">
        <v>1</v>
      </c>
      <c r="D273" s="39"/>
      <c r="E273" s="40"/>
      <c r="F273" s="41"/>
      <c r="G273" s="39"/>
      <c r="H273" s="41"/>
      <c r="I273" s="41"/>
      <c r="J273" s="39"/>
      <c r="K273" s="41"/>
      <c r="L273" s="40"/>
      <c r="M273" s="40"/>
      <c r="N273" s="42" t="str">
        <f>IF($M273="","",IFERROR(INDEX('PRODUCT DATA'!$B$2:$B$58,MATCH(IF(UPPER($M273)="UK","GB",$M273),'PRODUCT DATA'!$B$2:$B$58,0)),IFERROR(INDEX('PRODUCT DATA'!$B$2:$B$58,MATCH(IF(UPPER($M273)="UK","GB",$M273),'PRODUCT DATA'!$A$2:$A$58,0)),"UNKNOWN COUNTRY - please check")))</f>
        <v/>
      </c>
      <c r="O273" s="41"/>
      <c r="P273" s="41"/>
      <c r="Q273" s="41"/>
      <c r="R273" s="41"/>
      <c r="S273" s="41"/>
      <c r="T273" s="41"/>
      <c r="U273" s="41"/>
      <c r="V273" s="43" t="str">
        <f t="shared" si="16"/>
        <v/>
      </c>
      <c r="W273" s="44" t="str">
        <f ca="1">IF(COUNTA($A273,$D273:$M273,$O273:$U273)=0,"",IF($A273="","Item Code; ","")&amp;IF(AND($A273&lt;&gt;"",ISNA(MATCH($AC273,'PRODUCT DATA'!$D$2:$D$394,0))),"Item Code; ","")&amp;IF($M273="","Country; ","")&amp;IF(AND($M273&lt;&gt;"",NOT(OR(NOT(ISNA(MATCH(IF(UPPER($M273)="UK","GB",$M273),'PRODUCT DATA'!$A$2:$A$58,0))),NOT(ISNA(MATCH(IF(UPPER($M273)="UK","GB",$M273),'PRODUCT DATA'!$B$2:$B$58,0)))))),"Country; ","")&amp;IF(AND($A273&lt;&gt;"",$M273&lt;&gt;"",NOT(ISNA(MATCH($AC273,'PRODUCT DATA'!$D$2:$D$394,0))),OR(NOT(ISNA(MATCH(IF(UPPER($M273)="UK","GB",$M273),'PRODUCT DATA'!$A$2:$A$58,0))),NOT(ISNA(MATCH(IF(UPPER($M273)="UK","GB",$M273),'PRODUCT DATA'!$B$2:$B$58,0)))),NOT(IFERROR(COUNTIF(OFFSET('PRODUCT DATA'!$F$2,0,MATCH($AC273,'PRODUCT DATA'!$F$1:$NN$1,0)-1,114,1),$N273)&gt;0,FALSE()))),IF(UPPER(IFERROR(OFFSET('PRODUCT DATA'!$C$2,MATCH($N273,'PRODUCT DATA'!$B$2:$B$58,0)-1,0),""))="NO","Alcohol Restriction; ","Item Code / Country combination; "),"")&amp;IF($C273="","Quantity; ","")&amp;IF(AND($C273&lt;&gt;"",OR(NOT(ISNUMBER($C273)),$C273&lt;1,$C273&gt;999,MOD($C273,1)&lt;&gt;0)),"Quantity; ","")&amp;IF($D273="","Recipient Name; ","")&amp;IF(LEN($D273)&gt;35,"Recipient Name; ","")&amp;IF($E273="","Recipient Phone; ","")&amp;IF(AND($E273&lt;&gt;"",OR(LEN($E273)&lt;6,LEN($E273)&gt;20,NOT(IFERROR(ISNUMBER(1*$E273),FALSE())))),"Recipient Phone; ","")&amp;IF(LEN($F273)&gt;35,"Recipient Company Name; ","")&amp;IF($G273="","Address Line 1; ","")&amp;IF(LEN($G273)&gt;35,"Address Line 1; ","")&amp;IF(LEN($H273)&gt;35,"Address Line 2; ","")&amp;IF(LEN($I273)&gt;35,"Address Line 3; ","")&amp;IF($J273="","Town; ","")&amp;IF(LEN($J273)&gt;35,"Town; ","")&amp;IF(AND($N273="IE",$K273=""),"County; ","")&amp;IF(LEN($AB273)&gt;35,"County; ","")&amp;IF(AND($L273="",AND($N273&lt;&gt;"AE",$N273&lt;&gt;"QA")),"Postcode; ","")&amp;IF(LEN($L273)&gt;35,"Postcode; ","")&amp;IF($AE273&lt;&gt;"","Postcode; ","")&amp;IF(LEN($O273)&gt;40,"Gift Message 1; ","")&amp;IF(LEN($P273)&gt;40,"Gift Message 2; ","")&amp;IF(LEN($Q273)&gt;40,"Gift Message 3; ","")&amp;IF(LEN($R273)&gt;40,"Gift Message 4; ","")&amp;IF(LEN($S273)&gt;40,"Gift Message 5; ","")&amp;IF(LEN($T273)&gt;40,"Gift Message 6; ","")&amp;IF(LEN($U273)&gt;40,"Gift Message 7; ",""))</f>
        <v/>
      </c>
      <c r="X273" s="44" t="str">
        <f ca="1">IF(COUNTA($A273,$D273:$M273,$O273:$U273)=0,"",IF($A273="","Enter the Item Code (hamper) - type it, paste it, or choose it from the dropdown. ","")&amp;IF(AND($A273&lt;&gt;"",ISNA(MATCH($AC273,'PRODUCT DATA'!$D$2:$D$394,0))),"This Item Code is not recognised. Check the code (case does not matter, but spelling and digits must match exactly) or choose it from the dropdown. ","")&amp;IF($M273="","Enter the Country after the Item Code - type or paste the name or the 2-letter code, or choose it from the dropdown. ","")&amp;IF(AND($M273&lt;&gt;"",NOT(OR(NOT(ISNA(MATCH(IF(UPPER($M273)="UK","GB",$M273),'PRODUCT DATA'!$A$2:$A$58,0))),NOT(ISNA(MATCH(IF(UPPER($M273)="UK","GB",$M273),'PRODUCT DATA'!$B$2:$B$58,0)))))),"This Country is not recognised as either a full name or a 2-letter code. Check the spelling (case does not matter) or choose it from the dropdown. ","")&amp;IF(AND($A273&lt;&gt;"",$M273&lt;&gt;"",NOT(ISNA(MATCH($AC273,'PRODUCT DATA'!$D$2:$D$394,0))),OR(NOT(ISNA(MATCH(IF(UPPER($M273)="UK","GB",$M273),'PRODUCT DATA'!$A$2:$A$58,0))),NOT(ISNA(MATCH(IF(UPPER($M273)="UK","GB",$M273),'PRODUCT DATA'!$B$2:$B$58,0)))),NOT(IFERROR(COUNTIF(OFFSET('PRODUCT DATA'!$F$2,0,MATCH($AC273,'PRODUCT DATA'!$F$1:$NN$1,0)-1,114,1),$N273)&gt;0,FALSE()))),IF(UPPER(IFERROR(OFFSET('PRODUCT DATA'!$C$2,MATCH($N273,'PRODUCT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"),"")&amp;IF($C273="","Enter Quantity. ","")&amp;IF(AND($C273&lt;&gt;"",OR(NOT(ISNUMBER($C273)),$C273&lt;1,$C273&gt;999,MOD($C273,1)&lt;&gt;0)),"Quantity must be a whole number from 1 to 999 (use a quantity above 1 only for a genuine bulk order of identical items to ONE address — otherwise use a separate row per recipient). ","")&amp;IF($D273="","Enter Recipient Name. ","")&amp;IF(LEN($D273)&gt;35,"Recipient Name exceeds 35 characters. ","")&amp;IF($E273="","Enter Recipient Phone. ","")&amp;IF(AND($E273&lt;&gt;"",OR(LEN($E273)&lt;6,LEN($E273)&gt;20,NOT(IFERROR(ISNUMBER(1*$E273),FALSE())))),"Phone must be the LOCAL number for the destination country: digits only, no +, spaces, or country code, 6 to 20 digits. ","")&amp;IF(LEN($F273)&gt;35,"Recipient Company Name exceeds 35 characters. ","")&amp;IF($G273="","Enter Address Line 1. ","")&amp;IF(LEN($G273)&gt;35,"Address Line 1 exceeds the 35-character SAP limit. ","")&amp;IF(LEN($H273)&gt;35,"Address Line 2 exceeds the 35-character SAP limit. ","")&amp;IF(LEN($I273)&gt;35,"Address Line 3 exceeds the 35-character SAP limit. ","")&amp;IF($J273="","Enter Town. This must never be left blank, even if there is no conventional town name. ","")&amp;IF(LEN($J273)&gt;35,"Town exceeds 35 characters. ","")&amp;IF(AND($N273="IE",$K273=""),"County is required for deliveries within the Republic of Ireland. ","")&amp;IF(LEN($AB273)&gt;35,"County exceeds 35 characters. ","")&amp;IF(AND($L273="",AND($N273&lt;&gt;"AE",$N273&lt;&gt;"QA")),"Postcode is required for the selected country. If there is genuinely no postcode, enter the first 3 characters of the area (e.g. D15). ","")&amp;IF(LEN($L273)&gt;35,"Postcode exceeds 35 characters. ","")&amp;IF($AE273&lt;&gt;"",$AE273,"")&amp;IF(LEN($O273)&gt;40,"Gift Message Line 1 exceeds 40 characters. ","")&amp;IF(LEN($P273)&gt;40,"Gift Message Line 2 exceeds 40 characters. ","")&amp;IF(LEN($Q273)&gt;40,"Gift Message Line 3 exceeds 40 characters. ","")&amp;IF(LEN($R273)&gt;40,"Gift Message Line 4 exceeds 40 characters. ","")&amp;IF(LEN($S273)&gt;40,"Gift Message Line 5 exceeds 40 characters. ","")&amp;IF(LEN($T273)&gt;40,"Gift Message Line 6 exceeds 40 characters. ","")&amp;IF(LEN($U273)&gt;40,"Gift Message Line 7 exceeds 40 characters. ",""))</f>
        <v/>
      </c>
      <c r="Y273" s="44" t="str">
        <f t="shared" si="17"/>
        <v/>
      </c>
      <c r="Z273" s="44"/>
      <c r="AA273" s="44"/>
      <c r="AB273" s="32" t="str">
        <f t="shared" si="18"/>
        <v/>
      </c>
      <c r="AC273" s="32" t="str">
        <f>IF($A273="","",IFERROR(LEFT(INDEX('PRODUCT DATA'!$NO$2:$NO$25,MATCH($A273,'PRODUCT DATA'!$NP$2:$NP$25,0)),FIND("|",INDEX('PRODUCT DATA'!$NO$2:$NO$25,MATCH($A273,'PRODUCT DATA'!$NP$2:$NP$25,0)))-1),$A273))</f>
        <v/>
      </c>
      <c r="AD273" s="45"/>
      <c r="AE273" s="45" t="str">
        <f t="shared" si="19"/>
        <v/>
      </c>
    </row>
    <row r="274" spans="1:31" ht="15" customHeight="1" x14ac:dyDescent="0.25">
      <c r="A274" s="40"/>
      <c r="B274" s="43" t="str">
        <f>IF($A274="","",IFERROR(VLOOKUP($AC274,'PRODUCT DATA'!$NR$2:$NS$374,2,FALSE()),"UNKNOWN ITEM CODE - please check"))</f>
        <v/>
      </c>
      <c r="C274" s="39">
        <v>1</v>
      </c>
      <c r="D274" s="39"/>
      <c r="E274" s="40"/>
      <c r="F274" s="41"/>
      <c r="G274" s="39"/>
      <c r="H274" s="41"/>
      <c r="I274" s="41"/>
      <c r="J274" s="39"/>
      <c r="K274" s="41"/>
      <c r="L274" s="40"/>
      <c r="M274" s="40"/>
      <c r="N274" s="42" t="str">
        <f>IF($M274="","",IFERROR(INDEX('PRODUCT DATA'!$B$2:$B$58,MATCH(IF(UPPER($M274)="UK","GB",$M274),'PRODUCT DATA'!$B$2:$B$58,0)),IFERROR(INDEX('PRODUCT DATA'!$B$2:$B$58,MATCH(IF(UPPER($M274)="UK","GB",$M274),'PRODUCT DATA'!$A$2:$A$58,0)),"UNKNOWN COUNTRY - please check")))</f>
        <v/>
      </c>
      <c r="O274" s="41"/>
      <c r="P274" s="41"/>
      <c r="Q274" s="41"/>
      <c r="R274" s="41"/>
      <c r="S274" s="41"/>
      <c r="T274" s="41"/>
      <c r="U274" s="41"/>
      <c r="V274" s="43" t="str">
        <f t="shared" si="16"/>
        <v/>
      </c>
      <c r="W274" s="44" t="str">
        <f ca="1">IF(COUNTA($A274,$D274:$M274,$O274:$U274)=0,"",IF($A274="","Item Code; ","")&amp;IF(AND($A274&lt;&gt;"",ISNA(MATCH($AC274,'PRODUCT DATA'!$D$2:$D$394,0))),"Item Code; ","")&amp;IF($M274="","Country; ","")&amp;IF(AND($M274&lt;&gt;"",NOT(OR(NOT(ISNA(MATCH(IF(UPPER($M274)="UK","GB",$M274),'PRODUCT DATA'!$A$2:$A$58,0))),NOT(ISNA(MATCH(IF(UPPER($M274)="UK","GB",$M274),'PRODUCT DATA'!$B$2:$B$58,0)))))),"Country; ","")&amp;IF(AND($A274&lt;&gt;"",$M274&lt;&gt;"",NOT(ISNA(MATCH($AC274,'PRODUCT DATA'!$D$2:$D$394,0))),OR(NOT(ISNA(MATCH(IF(UPPER($M274)="UK","GB",$M274),'PRODUCT DATA'!$A$2:$A$58,0))),NOT(ISNA(MATCH(IF(UPPER($M274)="UK","GB",$M274),'PRODUCT DATA'!$B$2:$B$58,0)))),NOT(IFERROR(COUNTIF(OFFSET('PRODUCT DATA'!$F$2,0,MATCH($AC274,'PRODUCT DATA'!$F$1:$NN$1,0)-1,114,1),$N274)&gt;0,FALSE()))),IF(UPPER(IFERROR(OFFSET('PRODUCT DATA'!$C$2,MATCH($N274,'PRODUCT DATA'!$B$2:$B$58,0)-1,0),""))="NO","Alcohol Restriction; ","Item Code / Country combination; "),"")&amp;IF($C274="","Quantity; ","")&amp;IF(AND($C274&lt;&gt;"",OR(NOT(ISNUMBER($C274)),$C274&lt;1,$C274&gt;999,MOD($C274,1)&lt;&gt;0)),"Quantity; ","")&amp;IF($D274="","Recipient Name; ","")&amp;IF(LEN($D274)&gt;35,"Recipient Name; ","")&amp;IF($E274="","Recipient Phone; ","")&amp;IF(AND($E274&lt;&gt;"",OR(LEN($E274)&lt;6,LEN($E274)&gt;20,NOT(IFERROR(ISNUMBER(1*$E274),FALSE())))),"Recipient Phone; ","")&amp;IF(LEN($F274)&gt;35,"Recipient Company Name; ","")&amp;IF($G274="","Address Line 1; ","")&amp;IF(LEN($G274)&gt;35,"Address Line 1; ","")&amp;IF(LEN($H274)&gt;35,"Address Line 2; ","")&amp;IF(LEN($I274)&gt;35,"Address Line 3; ","")&amp;IF($J274="","Town; ","")&amp;IF(LEN($J274)&gt;35,"Town; ","")&amp;IF(AND($N274="IE",$K274=""),"County; ","")&amp;IF(LEN($AB274)&gt;35,"County; ","")&amp;IF(AND($L274="",AND($N274&lt;&gt;"AE",$N274&lt;&gt;"QA")),"Postcode; ","")&amp;IF(LEN($L274)&gt;35,"Postcode; ","")&amp;IF($AE274&lt;&gt;"","Postcode; ","")&amp;IF(LEN($O274)&gt;40,"Gift Message 1; ","")&amp;IF(LEN($P274)&gt;40,"Gift Message 2; ","")&amp;IF(LEN($Q274)&gt;40,"Gift Message 3; ","")&amp;IF(LEN($R274)&gt;40,"Gift Message 4; ","")&amp;IF(LEN($S274)&gt;40,"Gift Message 5; ","")&amp;IF(LEN($T274)&gt;40,"Gift Message 6; ","")&amp;IF(LEN($U274)&gt;40,"Gift Message 7; ",""))</f>
        <v/>
      </c>
      <c r="X274" s="44" t="str">
        <f ca="1">IF(COUNTA($A274,$D274:$M274,$O274:$U274)=0,"",IF($A274="","Enter the Item Code (hamper) - type it, paste it, or choose it from the dropdown. ","")&amp;IF(AND($A274&lt;&gt;"",ISNA(MATCH($AC274,'PRODUCT DATA'!$D$2:$D$394,0))),"This Item Code is not recognised. Check the code (case does not matter, but spelling and digits must match exactly) or choose it from the dropdown. ","")&amp;IF($M274="","Enter the Country after the Item Code - type or paste the name or the 2-letter code, or choose it from the dropdown. ","")&amp;IF(AND($M274&lt;&gt;"",NOT(OR(NOT(ISNA(MATCH(IF(UPPER($M274)="UK","GB",$M274),'PRODUCT DATA'!$A$2:$A$58,0))),NOT(ISNA(MATCH(IF(UPPER($M274)="UK","GB",$M274),'PRODUCT DATA'!$B$2:$B$58,0)))))),"This Country is not recognised as either a full name or a 2-letter code. Check the spelling (case does not matter) or choose it from the dropdown. ","")&amp;IF(AND($A274&lt;&gt;"",$M274&lt;&gt;"",NOT(ISNA(MATCH($AC274,'PRODUCT DATA'!$D$2:$D$394,0))),OR(NOT(ISNA(MATCH(IF(UPPER($M274)="UK","GB",$M274),'PRODUCT DATA'!$A$2:$A$58,0))),NOT(ISNA(MATCH(IF(UPPER($M274)="UK","GB",$M274),'PRODUCT DATA'!$B$2:$B$58,0)))),NOT(IFERROR(COUNTIF(OFFSET('PRODUCT DATA'!$F$2,0,MATCH($AC274,'PRODUCT DATA'!$F$1:$NN$1,0)-1,114,1),$N274)&gt;0,FALSE()))),IF(UPPER(IFERROR(OFFSET('PRODUCT DATA'!$C$2,MATCH($N274,'PRODUCT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"),"")&amp;IF($C274="","Enter Quantity. ","")&amp;IF(AND($C274&lt;&gt;"",OR(NOT(ISNUMBER($C274)),$C274&lt;1,$C274&gt;999,MOD($C274,1)&lt;&gt;0)),"Quantity must be a whole number from 1 to 999 (use a quantity above 1 only for a genuine bulk order of identical items to ONE address — otherwise use a separate row per recipient). ","")&amp;IF($D274="","Enter Recipient Name. ","")&amp;IF(LEN($D274)&gt;35,"Recipient Name exceeds 35 characters. ","")&amp;IF($E274="","Enter Recipient Phone. ","")&amp;IF(AND($E274&lt;&gt;"",OR(LEN($E274)&lt;6,LEN($E274)&gt;20,NOT(IFERROR(ISNUMBER(1*$E274),FALSE())))),"Phone must be the LOCAL number for the destination country: digits only, no +, spaces, or country code, 6 to 20 digits. ","")&amp;IF(LEN($F274)&gt;35,"Recipient Company Name exceeds 35 characters. ","")&amp;IF($G274="","Enter Address Line 1. ","")&amp;IF(LEN($G274)&gt;35,"Address Line 1 exceeds the 35-character SAP limit. ","")&amp;IF(LEN($H274)&gt;35,"Address Line 2 exceeds the 35-character SAP limit. ","")&amp;IF(LEN($I274)&gt;35,"Address Line 3 exceeds the 35-character SAP limit. ","")&amp;IF($J274="","Enter Town. This must never be left blank, even if there is no conventional town name. ","")&amp;IF(LEN($J274)&gt;35,"Town exceeds 35 characters. ","")&amp;IF(AND($N274="IE",$K274=""),"County is required for deliveries within the Republic of Ireland. ","")&amp;IF(LEN($AB274)&gt;35,"County exceeds 35 characters. ","")&amp;IF(AND($L274="",AND($N274&lt;&gt;"AE",$N274&lt;&gt;"QA")),"Postcode is required for the selected country. If there is genuinely no postcode, enter the first 3 characters of the area (e.g. D15). ","")&amp;IF(LEN($L274)&gt;35,"Postcode exceeds 35 characters. ","")&amp;IF($AE274&lt;&gt;"",$AE274,"")&amp;IF(LEN($O274)&gt;40,"Gift Message Line 1 exceeds 40 characters. ","")&amp;IF(LEN($P274)&gt;40,"Gift Message Line 2 exceeds 40 characters. ","")&amp;IF(LEN($Q274)&gt;40,"Gift Message Line 3 exceeds 40 characters. ","")&amp;IF(LEN($R274)&gt;40,"Gift Message Line 4 exceeds 40 characters. ","")&amp;IF(LEN($S274)&gt;40,"Gift Message Line 5 exceeds 40 characters. ","")&amp;IF(LEN($T274)&gt;40,"Gift Message Line 6 exceeds 40 characters. ","")&amp;IF(LEN($U274)&gt;40,"Gift Message Line 7 exceeds 40 characters. ",""))</f>
        <v/>
      </c>
      <c r="Y274" s="44" t="str">
        <f t="shared" si="17"/>
        <v/>
      </c>
      <c r="Z274" s="44"/>
      <c r="AA274" s="44"/>
      <c r="AB274" s="32" t="str">
        <f t="shared" si="18"/>
        <v/>
      </c>
      <c r="AC274" s="32" t="str">
        <f>IF($A274="","",IFERROR(LEFT(INDEX('PRODUCT DATA'!$NO$2:$NO$25,MATCH($A274,'PRODUCT DATA'!$NP$2:$NP$25,0)),FIND("|",INDEX('PRODUCT DATA'!$NO$2:$NO$25,MATCH($A274,'PRODUCT DATA'!$NP$2:$NP$25,0)))-1),$A274))</f>
        <v/>
      </c>
      <c r="AD274" s="45"/>
      <c r="AE274" s="45" t="str">
        <f t="shared" si="19"/>
        <v/>
      </c>
    </row>
    <row r="275" spans="1:31" ht="15" customHeight="1" x14ac:dyDescent="0.25">
      <c r="A275" s="40"/>
      <c r="B275" s="43" t="str">
        <f>IF($A275="","",IFERROR(VLOOKUP($AC275,'PRODUCT DATA'!$NR$2:$NS$374,2,FALSE()),"UNKNOWN ITEM CODE - please check"))</f>
        <v/>
      </c>
      <c r="C275" s="39">
        <v>1</v>
      </c>
      <c r="D275" s="39"/>
      <c r="E275" s="40"/>
      <c r="F275" s="41"/>
      <c r="G275" s="39"/>
      <c r="H275" s="41"/>
      <c r="I275" s="41"/>
      <c r="J275" s="39"/>
      <c r="K275" s="41"/>
      <c r="L275" s="40"/>
      <c r="M275" s="40"/>
      <c r="N275" s="42" t="str">
        <f>IF($M275="","",IFERROR(INDEX('PRODUCT DATA'!$B$2:$B$58,MATCH(IF(UPPER($M275)="UK","GB",$M275),'PRODUCT DATA'!$B$2:$B$58,0)),IFERROR(INDEX('PRODUCT DATA'!$B$2:$B$58,MATCH(IF(UPPER($M275)="UK","GB",$M275),'PRODUCT DATA'!$A$2:$A$58,0)),"UNKNOWN COUNTRY - please check")))</f>
        <v/>
      </c>
      <c r="O275" s="41"/>
      <c r="P275" s="41"/>
      <c r="Q275" s="41"/>
      <c r="R275" s="41"/>
      <c r="S275" s="41"/>
      <c r="T275" s="41"/>
      <c r="U275" s="41"/>
      <c r="V275" s="43" t="str">
        <f t="shared" si="16"/>
        <v/>
      </c>
      <c r="W275" s="44" t="str">
        <f ca="1">IF(COUNTA($A275,$D275:$M275,$O275:$U275)=0,"",IF($A275="","Item Code; ","")&amp;IF(AND($A275&lt;&gt;"",ISNA(MATCH($AC275,'PRODUCT DATA'!$D$2:$D$394,0))),"Item Code; ","")&amp;IF($M275="","Country; ","")&amp;IF(AND($M275&lt;&gt;"",NOT(OR(NOT(ISNA(MATCH(IF(UPPER($M275)="UK","GB",$M275),'PRODUCT DATA'!$A$2:$A$58,0))),NOT(ISNA(MATCH(IF(UPPER($M275)="UK","GB",$M275),'PRODUCT DATA'!$B$2:$B$58,0)))))),"Country; ","")&amp;IF(AND($A275&lt;&gt;"",$M275&lt;&gt;"",NOT(ISNA(MATCH($AC275,'PRODUCT DATA'!$D$2:$D$394,0))),OR(NOT(ISNA(MATCH(IF(UPPER($M275)="UK","GB",$M275),'PRODUCT DATA'!$A$2:$A$58,0))),NOT(ISNA(MATCH(IF(UPPER($M275)="UK","GB",$M275),'PRODUCT DATA'!$B$2:$B$58,0)))),NOT(IFERROR(COUNTIF(OFFSET('PRODUCT DATA'!$F$2,0,MATCH($AC275,'PRODUCT DATA'!$F$1:$NN$1,0)-1,114,1),$N275)&gt;0,FALSE()))),IF(UPPER(IFERROR(OFFSET('PRODUCT DATA'!$C$2,MATCH($N275,'PRODUCT DATA'!$B$2:$B$58,0)-1,0),""))="NO","Alcohol Restriction; ","Item Code / Country combination; "),"")&amp;IF($C275="","Quantity; ","")&amp;IF(AND($C275&lt;&gt;"",OR(NOT(ISNUMBER($C275)),$C275&lt;1,$C275&gt;999,MOD($C275,1)&lt;&gt;0)),"Quantity; ","")&amp;IF($D275="","Recipient Name; ","")&amp;IF(LEN($D275)&gt;35,"Recipient Name; ","")&amp;IF($E275="","Recipient Phone; ","")&amp;IF(AND($E275&lt;&gt;"",OR(LEN($E275)&lt;6,LEN($E275)&gt;20,NOT(IFERROR(ISNUMBER(1*$E275),FALSE())))),"Recipient Phone; ","")&amp;IF(LEN($F275)&gt;35,"Recipient Company Name; ","")&amp;IF($G275="","Address Line 1; ","")&amp;IF(LEN($G275)&gt;35,"Address Line 1; ","")&amp;IF(LEN($H275)&gt;35,"Address Line 2; ","")&amp;IF(LEN($I275)&gt;35,"Address Line 3; ","")&amp;IF($J275="","Town; ","")&amp;IF(LEN($J275)&gt;35,"Town; ","")&amp;IF(AND($N275="IE",$K275=""),"County; ","")&amp;IF(LEN($AB275)&gt;35,"County; ","")&amp;IF(AND($L275="",AND($N275&lt;&gt;"AE",$N275&lt;&gt;"QA")),"Postcode; ","")&amp;IF(LEN($L275)&gt;35,"Postcode; ","")&amp;IF($AE275&lt;&gt;"","Postcode; ","")&amp;IF(LEN($O275)&gt;40,"Gift Message 1; ","")&amp;IF(LEN($P275)&gt;40,"Gift Message 2; ","")&amp;IF(LEN($Q275)&gt;40,"Gift Message 3; ","")&amp;IF(LEN($R275)&gt;40,"Gift Message 4; ","")&amp;IF(LEN($S275)&gt;40,"Gift Message 5; ","")&amp;IF(LEN($T275)&gt;40,"Gift Message 6; ","")&amp;IF(LEN($U275)&gt;40,"Gift Message 7; ",""))</f>
        <v/>
      </c>
      <c r="X275" s="44" t="str">
        <f ca="1">IF(COUNTA($A275,$D275:$M275,$O275:$U275)=0,"",IF($A275="","Enter the Item Code (hamper) - type it, paste it, or choose it from the dropdown. ","")&amp;IF(AND($A275&lt;&gt;"",ISNA(MATCH($AC275,'PRODUCT DATA'!$D$2:$D$394,0))),"This Item Code is not recognised. Check the code (case does not matter, but spelling and digits must match exactly) or choose it from the dropdown. ","")&amp;IF($M275="","Enter the Country after the Item Code - type or paste the name or the 2-letter code, or choose it from the dropdown. ","")&amp;IF(AND($M275&lt;&gt;"",NOT(OR(NOT(ISNA(MATCH(IF(UPPER($M275)="UK","GB",$M275),'PRODUCT DATA'!$A$2:$A$58,0))),NOT(ISNA(MATCH(IF(UPPER($M275)="UK","GB",$M275),'PRODUCT DATA'!$B$2:$B$58,0)))))),"This Country is not recognised as either a full name or a 2-letter code. Check the spelling (case does not matter) or choose it from the dropdown. ","")&amp;IF(AND($A275&lt;&gt;"",$M275&lt;&gt;"",NOT(ISNA(MATCH($AC275,'PRODUCT DATA'!$D$2:$D$394,0))),OR(NOT(ISNA(MATCH(IF(UPPER($M275)="UK","GB",$M275),'PRODUCT DATA'!$A$2:$A$58,0))),NOT(ISNA(MATCH(IF(UPPER($M275)="UK","GB",$M275),'PRODUCT DATA'!$B$2:$B$58,0)))),NOT(IFERROR(COUNTIF(OFFSET('PRODUCT DATA'!$F$2,0,MATCH($AC275,'PRODUCT DATA'!$F$1:$NN$1,0)-1,114,1),$N275)&gt;0,FALSE()))),IF(UPPER(IFERROR(OFFSET('PRODUCT DATA'!$C$2,MATCH($N275,'PRODUCT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"),"")&amp;IF($C275="","Enter Quantity. ","")&amp;IF(AND($C275&lt;&gt;"",OR(NOT(ISNUMBER($C275)),$C275&lt;1,$C275&gt;999,MOD($C275,1)&lt;&gt;0)),"Quantity must be a whole number from 1 to 999 (use a quantity above 1 only for a genuine bulk order of identical items to ONE address — otherwise use a separate row per recipient). ","")&amp;IF($D275="","Enter Recipient Name. ","")&amp;IF(LEN($D275)&gt;35,"Recipient Name exceeds 35 characters. ","")&amp;IF($E275="","Enter Recipient Phone. ","")&amp;IF(AND($E275&lt;&gt;"",OR(LEN($E275)&lt;6,LEN($E275)&gt;20,NOT(IFERROR(ISNUMBER(1*$E275),FALSE())))),"Phone must be the LOCAL number for the destination country: digits only, no +, spaces, or country code, 6 to 20 digits. ","")&amp;IF(LEN($F275)&gt;35,"Recipient Company Name exceeds 35 characters. ","")&amp;IF($G275="","Enter Address Line 1. ","")&amp;IF(LEN($G275)&gt;35,"Address Line 1 exceeds the 35-character SAP limit. ","")&amp;IF(LEN($H275)&gt;35,"Address Line 2 exceeds the 35-character SAP limit. ","")&amp;IF(LEN($I275)&gt;35,"Address Line 3 exceeds the 35-character SAP limit. ","")&amp;IF($J275="","Enter Town. This must never be left blank, even if there is no conventional town name. ","")&amp;IF(LEN($J275)&gt;35,"Town exceeds 35 characters. ","")&amp;IF(AND($N275="IE",$K275=""),"County is required for deliveries within the Republic of Ireland. ","")&amp;IF(LEN($AB275)&gt;35,"County exceeds 35 characters. ","")&amp;IF(AND($L275="",AND($N275&lt;&gt;"AE",$N275&lt;&gt;"QA")),"Postcode is required for the selected country. If there is genuinely no postcode, enter the first 3 characters of the area (e.g. D15). ","")&amp;IF(LEN($L275)&gt;35,"Postcode exceeds 35 characters. ","")&amp;IF($AE275&lt;&gt;"",$AE275,"")&amp;IF(LEN($O275)&gt;40,"Gift Message Line 1 exceeds 40 characters. ","")&amp;IF(LEN($P275)&gt;40,"Gift Message Line 2 exceeds 40 characters. ","")&amp;IF(LEN($Q275)&gt;40,"Gift Message Line 3 exceeds 40 characters. ","")&amp;IF(LEN($R275)&gt;40,"Gift Message Line 4 exceeds 40 characters. ","")&amp;IF(LEN($S275)&gt;40,"Gift Message Line 5 exceeds 40 characters. ","")&amp;IF(LEN($T275)&gt;40,"Gift Message Line 6 exceeds 40 characters. ","")&amp;IF(LEN($U275)&gt;40,"Gift Message Line 7 exceeds 40 characters. ",""))</f>
        <v/>
      </c>
      <c r="Y275" s="44" t="str">
        <f t="shared" si="17"/>
        <v/>
      </c>
      <c r="Z275" s="44"/>
      <c r="AA275" s="44"/>
      <c r="AB275" s="32" t="str">
        <f t="shared" si="18"/>
        <v/>
      </c>
      <c r="AC275" s="32" t="str">
        <f>IF($A275="","",IFERROR(LEFT(INDEX('PRODUCT DATA'!$NO$2:$NO$25,MATCH($A275,'PRODUCT DATA'!$NP$2:$NP$25,0)),FIND("|",INDEX('PRODUCT DATA'!$NO$2:$NO$25,MATCH($A275,'PRODUCT DATA'!$NP$2:$NP$25,0)))-1),$A275))</f>
        <v/>
      </c>
      <c r="AD275" s="45"/>
      <c r="AE275" s="45" t="str">
        <f t="shared" si="19"/>
        <v/>
      </c>
    </row>
    <row r="276" spans="1:31" ht="15" customHeight="1" x14ac:dyDescent="0.25">
      <c r="A276" s="40"/>
      <c r="B276" s="43" t="str">
        <f>IF($A276="","",IFERROR(VLOOKUP($AC276,'PRODUCT DATA'!$NR$2:$NS$374,2,FALSE()),"UNKNOWN ITEM CODE - please check"))</f>
        <v/>
      </c>
      <c r="C276" s="39">
        <v>1</v>
      </c>
      <c r="D276" s="39"/>
      <c r="E276" s="40"/>
      <c r="F276" s="41"/>
      <c r="G276" s="39"/>
      <c r="H276" s="41"/>
      <c r="I276" s="41"/>
      <c r="J276" s="39"/>
      <c r="K276" s="41"/>
      <c r="L276" s="40"/>
      <c r="M276" s="40"/>
      <c r="N276" s="42" t="str">
        <f>IF($M276="","",IFERROR(INDEX('PRODUCT DATA'!$B$2:$B$58,MATCH(IF(UPPER($M276)="UK","GB",$M276),'PRODUCT DATA'!$B$2:$B$58,0)),IFERROR(INDEX('PRODUCT DATA'!$B$2:$B$58,MATCH(IF(UPPER($M276)="UK","GB",$M276),'PRODUCT DATA'!$A$2:$A$58,0)),"UNKNOWN COUNTRY - please check")))</f>
        <v/>
      </c>
      <c r="O276" s="41"/>
      <c r="P276" s="41"/>
      <c r="Q276" s="41"/>
      <c r="R276" s="41"/>
      <c r="S276" s="41"/>
      <c r="T276" s="41"/>
      <c r="U276" s="41"/>
      <c r="V276" s="43" t="str">
        <f t="shared" si="16"/>
        <v/>
      </c>
      <c r="W276" s="44" t="str">
        <f ca="1">IF(COUNTA($A276,$D276:$M276,$O276:$U276)=0,"",IF($A276="","Item Code; ","")&amp;IF(AND($A276&lt;&gt;"",ISNA(MATCH($AC276,'PRODUCT DATA'!$D$2:$D$394,0))),"Item Code; ","")&amp;IF($M276="","Country; ","")&amp;IF(AND($M276&lt;&gt;"",NOT(OR(NOT(ISNA(MATCH(IF(UPPER($M276)="UK","GB",$M276),'PRODUCT DATA'!$A$2:$A$58,0))),NOT(ISNA(MATCH(IF(UPPER($M276)="UK","GB",$M276),'PRODUCT DATA'!$B$2:$B$58,0)))))),"Country; ","")&amp;IF(AND($A276&lt;&gt;"",$M276&lt;&gt;"",NOT(ISNA(MATCH($AC276,'PRODUCT DATA'!$D$2:$D$394,0))),OR(NOT(ISNA(MATCH(IF(UPPER($M276)="UK","GB",$M276),'PRODUCT DATA'!$A$2:$A$58,0))),NOT(ISNA(MATCH(IF(UPPER($M276)="UK","GB",$M276),'PRODUCT DATA'!$B$2:$B$58,0)))),NOT(IFERROR(COUNTIF(OFFSET('PRODUCT DATA'!$F$2,0,MATCH($AC276,'PRODUCT DATA'!$F$1:$NN$1,0)-1,114,1),$N276)&gt;0,FALSE()))),IF(UPPER(IFERROR(OFFSET('PRODUCT DATA'!$C$2,MATCH($N276,'PRODUCT DATA'!$B$2:$B$58,0)-1,0),""))="NO","Alcohol Restriction; ","Item Code / Country combination; "),"")&amp;IF($C276="","Quantity; ","")&amp;IF(AND($C276&lt;&gt;"",OR(NOT(ISNUMBER($C276)),$C276&lt;1,$C276&gt;999,MOD($C276,1)&lt;&gt;0)),"Quantity; ","")&amp;IF($D276="","Recipient Name; ","")&amp;IF(LEN($D276)&gt;35,"Recipient Name; ","")&amp;IF($E276="","Recipient Phone; ","")&amp;IF(AND($E276&lt;&gt;"",OR(LEN($E276)&lt;6,LEN($E276)&gt;20,NOT(IFERROR(ISNUMBER(1*$E276),FALSE())))),"Recipient Phone; ","")&amp;IF(LEN($F276)&gt;35,"Recipient Company Name; ","")&amp;IF($G276="","Address Line 1; ","")&amp;IF(LEN($G276)&gt;35,"Address Line 1; ","")&amp;IF(LEN($H276)&gt;35,"Address Line 2; ","")&amp;IF(LEN($I276)&gt;35,"Address Line 3; ","")&amp;IF($J276="","Town; ","")&amp;IF(LEN($J276)&gt;35,"Town; ","")&amp;IF(AND($N276="IE",$K276=""),"County; ","")&amp;IF(LEN($AB276)&gt;35,"County; ","")&amp;IF(AND($L276="",AND($N276&lt;&gt;"AE",$N276&lt;&gt;"QA")),"Postcode; ","")&amp;IF(LEN($L276)&gt;35,"Postcode; ","")&amp;IF($AE276&lt;&gt;"","Postcode; ","")&amp;IF(LEN($O276)&gt;40,"Gift Message 1; ","")&amp;IF(LEN($P276)&gt;40,"Gift Message 2; ","")&amp;IF(LEN($Q276)&gt;40,"Gift Message 3; ","")&amp;IF(LEN($R276)&gt;40,"Gift Message 4; ","")&amp;IF(LEN($S276)&gt;40,"Gift Message 5; ","")&amp;IF(LEN($T276)&gt;40,"Gift Message 6; ","")&amp;IF(LEN($U276)&gt;40,"Gift Message 7; ",""))</f>
        <v/>
      </c>
      <c r="X276" s="44" t="str">
        <f ca="1">IF(COUNTA($A276,$D276:$M276,$O276:$U276)=0,"",IF($A276="","Enter the Item Code (hamper) - type it, paste it, or choose it from the dropdown. ","")&amp;IF(AND($A276&lt;&gt;"",ISNA(MATCH($AC276,'PRODUCT DATA'!$D$2:$D$394,0))),"This Item Code is not recognised. Check the code (case does not matter, but spelling and digits must match exactly) or choose it from the dropdown. ","")&amp;IF($M276="","Enter the Country after the Item Code - type or paste the name or the 2-letter code, or choose it from the dropdown. ","")&amp;IF(AND($M276&lt;&gt;"",NOT(OR(NOT(ISNA(MATCH(IF(UPPER($M276)="UK","GB",$M276),'PRODUCT DATA'!$A$2:$A$58,0))),NOT(ISNA(MATCH(IF(UPPER($M276)="UK","GB",$M276),'PRODUCT DATA'!$B$2:$B$58,0)))))),"This Country is not recognised as either a full name or a 2-letter code. Check the spelling (case does not matter) or choose it from the dropdown. ","")&amp;IF(AND($A276&lt;&gt;"",$M276&lt;&gt;"",NOT(ISNA(MATCH($AC276,'PRODUCT DATA'!$D$2:$D$394,0))),OR(NOT(ISNA(MATCH(IF(UPPER($M276)="UK","GB",$M276),'PRODUCT DATA'!$A$2:$A$58,0))),NOT(ISNA(MATCH(IF(UPPER($M276)="UK","GB",$M276),'PRODUCT DATA'!$B$2:$B$58,0)))),NOT(IFERROR(COUNTIF(OFFSET('PRODUCT DATA'!$F$2,0,MATCH($AC276,'PRODUCT DATA'!$F$1:$NN$1,0)-1,114,1),$N276)&gt;0,FALSE()))),IF(UPPER(IFERROR(OFFSET('PRODUCT DATA'!$C$2,MATCH($N276,'PRODUCT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"),"")&amp;IF($C276="","Enter Quantity. ","")&amp;IF(AND($C276&lt;&gt;"",OR(NOT(ISNUMBER($C276)),$C276&lt;1,$C276&gt;999,MOD($C276,1)&lt;&gt;0)),"Quantity must be a whole number from 1 to 999 (use a quantity above 1 only for a genuine bulk order of identical items to ONE address — otherwise use a separate row per recipient). ","")&amp;IF($D276="","Enter Recipient Name. ","")&amp;IF(LEN($D276)&gt;35,"Recipient Name exceeds 35 characters. ","")&amp;IF($E276="","Enter Recipient Phone. ","")&amp;IF(AND($E276&lt;&gt;"",OR(LEN($E276)&lt;6,LEN($E276)&gt;20,NOT(IFERROR(ISNUMBER(1*$E276),FALSE())))),"Phone must be the LOCAL number for the destination country: digits only, no +, spaces, or country code, 6 to 20 digits. ","")&amp;IF(LEN($F276)&gt;35,"Recipient Company Name exceeds 35 characters. ","")&amp;IF($G276="","Enter Address Line 1. ","")&amp;IF(LEN($G276)&gt;35,"Address Line 1 exceeds the 35-character SAP limit. ","")&amp;IF(LEN($H276)&gt;35,"Address Line 2 exceeds the 35-character SAP limit. ","")&amp;IF(LEN($I276)&gt;35,"Address Line 3 exceeds the 35-character SAP limit. ","")&amp;IF($J276="","Enter Town. This must never be left blank, even if there is no conventional town name. ","")&amp;IF(LEN($J276)&gt;35,"Town exceeds 35 characters. ","")&amp;IF(AND($N276="IE",$K276=""),"County is required for deliveries within the Republic of Ireland. ","")&amp;IF(LEN($AB276)&gt;35,"County exceeds 35 characters. ","")&amp;IF(AND($L276="",AND($N276&lt;&gt;"AE",$N276&lt;&gt;"QA")),"Postcode is required for the selected country. If there is genuinely no postcode, enter the first 3 characters of the area (e.g. D15). ","")&amp;IF(LEN($L276)&gt;35,"Postcode exceeds 35 characters. ","")&amp;IF($AE276&lt;&gt;"",$AE276,"")&amp;IF(LEN($O276)&gt;40,"Gift Message Line 1 exceeds 40 characters. ","")&amp;IF(LEN($P276)&gt;40,"Gift Message Line 2 exceeds 40 characters. ","")&amp;IF(LEN($Q276)&gt;40,"Gift Message Line 3 exceeds 40 characters. ","")&amp;IF(LEN($R276)&gt;40,"Gift Message Line 4 exceeds 40 characters. ","")&amp;IF(LEN($S276)&gt;40,"Gift Message Line 5 exceeds 40 characters. ","")&amp;IF(LEN($T276)&gt;40,"Gift Message Line 6 exceeds 40 characters. ","")&amp;IF(LEN($U276)&gt;40,"Gift Message Line 7 exceeds 40 characters. ",""))</f>
        <v/>
      </c>
      <c r="Y276" s="44" t="str">
        <f t="shared" si="17"/>
        <v/>
      </c>
      <c r="Z276" s="44"/>
      <c r="AA276" s="44"/>
      <c r="AB276" s="32" t="str">
        <f t="shared" si="18"/>
        <v/>
      </c>
      <c r="AC276" s="32" t="str">
        <f>IF($A276="","",IFERROR(LEFT(INDEX('PRODUCT DATA'!$NO$2:$NO$25,MATCH($A276,'PRODUCT DATA'!$NP$2:$NP$25,0)),FIND("|",INDEX('PRODUCT DATA'!$NO$2:$NO$25,MATCH($A276,'PRODUCT DATA'!$NP$2:$NP$25,0)))-1),$A276))</f>
        <v/>
      </c>
      <c r="AD276" s="45"/>
      <c r="AE276" s="45" t="str">
        <f t="shared" si="19"/>
        <v/>
      </c>
    </row>
    <row r="277" spans="1:31" ht="15" customHeight="1" x14ac:dyDescent="0.25">
      <c r="A277" s="40"/>
      <c r="B277" s="43" t="str">
        <f>IF($A277="","",IFERROR(VLOOKUP($AC277,'PRODUCT DATA'!$NR$2:$NS$374,2,FALSE()),"UNKNOWN ITEM CODE - please check"))</f>
        <v/>
      </c>
      <c r="C277" s="39">
        <v>1</v>
      </c>
      <c r="D277" s="39"/>
      <c r="E277" s="40"/>
      <c r="F277" s="41"/>
      <c r="G277" s="39"/>
      <c r="H277" s="41"/>
      <c r="I277" s="41"/>
      <c r="J277" s="39"/>
      <c r="K277" s="41"/>
      <c r="L277" s="40"/>
      <c r="M277" s="40"/>
      <c r="N277" s="42" t="str">
        <f>IF($M277="","",IFERROR(INDEX('PRODUCT DATA'!$B$2:$B$58,MATCH(IF(UPPER($M277)="UK","GB",$M277),'PRODUCT DATA'!$B$2:$B$58,0)),IFERROR(INDEX('PRODUCT DATA'!$B$2:$B$58,MATCH(IF(UPPER($M277)="UK","GB",$M277),'PRODUCT DATA'!$A$2:$A$58,0)),"UNKNOWN COUNTRY - please check")))</f>
        <v/>
      </c>
      <c r="O277" s="41"/>
      <c r="P277" s="41"/>
      <c r="Q277" s="41"/>
      <c r="R277" s="41"/>
      <c r="S277" s="41"/>
      <c r="T277" s="41"/>
      <c r="U277" s="41"/>
      <c r="V277" s="43" t="str">
        <f t="shared" si="16"/>
        <v/>
      </c>
      <c r="W277" s="44" t="str">
        <f ca="1">IF(COUNTA($A277,$D277:$M277,$O277:$U277)=0,"",IF($A277="","Item Code; ","")&amp;IF(AND($A277&lt;&gt;"",ISNA(MATCH($AC277,'PRODUCT DATA'!$D$2:$D$394,0))),"Item Code; ","")&amp;IF($M277="","Country; ","")&amp;IF(AND($M277&lt;&gt;"",NOT(OR(NOT(ISNA(MATCH(IF(UPPER($M277)="UK","GB",$M277),'PRODUCT DATA'!$A$2:$A$58,0))),NOT(ISNA(MATCH(IF(UPPER($M277)="UK","GB",$M277),'PRODUCT DATA'!$B$2:$B$58,0)))))),"Country; ","")&amp;IF(AND($A277&lt;&gt;"",$M277&lt;&gt;"",NOT(ISNA(MATCH($AC277,'PRODUCT DATA'!$D$2:$D$394,0))),OR(NOT(ISNA(MATCH(IF(UPPER($M277)="UK","GB",$M277),'PRODUCT DATA'!$A$2:$A$58,0))),NOT(ISNA(MATCH(IF(UPPER($M277)="UK","GB",$M277),'PRODUCT DATA'!$B$2:$B$58,0)))),NOT(IFERROR(COUNTIF(OFFSET('PRODUCT DATA'!$F$2,0,MATCH($AC277,'PRODUCT DATA'!$F$1:$NN$1,0)-1,114,1),$N277)&gt;0,FALSE()))),IF(UPPER(IFERROR(OFFSET('PRODUCT DATA'!$C$2,MATCH($N277,'PRODUCT DATA'!$B$2:$B$58,0)-1,0),""))="NO","Alcohol Restriction; ","Item Code / Country combination; "),"")&amp;IF($C277="","Quantity; ","")&amp;IF(AND($C277&lt;&gt;"",OR(NOT(ISNUMBER($C277)),$C277&lt;1,$C277&gt;999,MOD($C277,1)&lt;&gt;0)),"Quantity; ","")&amp;IF($D277="","Recipient Name; ","")&amp;IF(LEN($D277)&gt;35,"Recipient Name; ","")&amp;IF($E277="","Recipient Phone; ","")&amp;IF(AND($E277&lt;&gt;"",OR(LEN($E277)&lt;6,LEN($E277)&gt;20,NOT(IFERROR(ISNUMBER(1*$E277),FALSE())))),"Recipient Phone; ","")&amp;IF(LEN($F277)&gt;35,"Recipient Company Name; ","")&amp;IF($G277="","Address Line 1; ","")&amp;IF(LEN($G277)&gt;35,"Address Line 1; ","")&amp;IF(LEN($H277)&gt;35,"Address Line 2; ","")&amp;IF(LEN($I277)&gt;35,"Address Line 3; ","")&amp;IF($J277="","Town; ","")&amp;IF(LEN($J277)&gt;35,"Town; ","")&amp;IF(AND($N277="IE",$K277=""),"County; ","")&amp;IF(LEN($AB277)&gt;35,"County; ","")&amp;IF(AND($L277="",AND($N277&lt;&gt;"AE",$N277&lt;&gt;"QA")),"Postcode; ","")&amp;IF(LEN($L277)&gt;35,"Postcode; ","")&amp;IF($AE277&lt;&gt;"","Postcode; ","")&amp;IF(LEN($O277)&gt;40,"Gift Message 1; ","")&amp;IF(LEN($P277)&gt;40,"Gift Message 2; ","")&amp;IF(LEN($Q277)&gt;40,"Gift Message 3; ","")&amp;IF(LEN($R277)&gt;40,"Gift Message 4; ","")&amp;IF(LEN($S277)&gt;40,"Gift Message 5; ","")&amp;IF(LEN($T277)&gt;40,"Gift Message 6; ","")&amp;IF(LEN($U277)&gt;40,"Gift Message 7; ",""))</f>
        <v/>
      </c>
      <c r="X277" s="44" t="str">
        <f ca="1">IF(COUNTA($A277,$D277:$M277,$O277:$U277)=0,"",IF($A277="","Enter the Item Code (hamper) - type it, paste it, or choose it from the dropdown. ","")&amp;IF(AND($A277&lt;&gt;"",ISNA(MATCH($AC277,'PRODUCT DATA'!$D$2:$D$394,0))),"This Item Code is not recognised. Check the code (case does not matter, but spelling and digits must match exactly) or choose it from the dropdown. ","")&amp;IF($M277="","Enter the Country after the Item Code - type or paste the name or the 2-letter code, or choose it from the dropdown. ","")&amp;IF(AND($M277&lt;&gt;"",NOT(OR(NOT(ISNA(MATCH(IF(UPPER($M277)="UK","GB",$M277),'PRODUCT DATA'!$A$2:$A$58,0))),NOT(ISNA(MATCH(IF(UPPER($M277)="UK","GB",$M277),'PRODUCT DATA'!$B$2:$B$58,0)))))),"This Country is not recognised as either a full name or a 2-letter code. Check the spelling (case does not matter) or choose it from the dropdown. ","")&amp;IF(AND($A277&lt;&gt;"",$M277&lt;&gt;"",NOT(ISNA(MATCH($AC277,'PRODUCT DATA'!$D$2:$D$394,0))),OR(NOT(ISNA(MATCH(IF(UPPER($M277)="UK","GB",$M277),'PRODUCT DATA'!$A$2:$A$58,0))),NOT(ISNA(MATCH(IF(UPPER($M277)="UK","GB",$M277),'PRODUCT DATA'!$B$2:$B$58,0)))),NOT(IFERROR(COUNTIF(OFFSET('PRODUCT DATA'!$F$2,0,MATCH($AC277,'PRODUCT DATA'!$F$1:$NN$1,0)-1,114,1),$N277)&gt;0,FALSE()))),IF(UPPER(IFERROR(OFFSET('PRODUCT DATA'!$C$2,MATCH($N277,'PRODUCT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"),"")&amp;IF($C277="","Enter Quantity. ","")&amp;IF(AND($C277&lt;&gt;"",OR(NOT(ISNUMBER($C277)),$C277&lt;1,$C277&gt;999,MOD($C277,1)&lt;&gt;0)),"Quantity must be a whole number from 1 to 999 (use a quantity above 1 only for a genuine bulk order of identical items to ONE address — otherwise use a separate row per recipient). ","")&amp;IF($D277="","Enter Recipient Name. ","")&amp;IF(LEN($D277)&gt;35,"Recipient Name exceeds 35 characters. ","")&amp;IF($E277="","Enter Recipient Phone. ","")&amp;IF(AND($E277&lt;&gt;"",OR(LEN($E277)&lt;6,LEN($E277)&gt;20,NOT(IFERROR(ISNUMBER(1*$E277),FALSE())))),"Phone must be the LOCAL number for the destination country: digits only, no +, spaces, or country code, 6 to 20 digits. ","")&amp;IF(LEN($F277)&gt;35,"Recipient Company Name exceeds 35 characters. ","")&amp;IF($G277="","Enter Address Line 1. ","")&amp;IF(LEN($G277)&gt;35,"Address Line 1 exceeds the 35-character SAP limit. ","")&amp;IF(LEN($H277)&gt;35,"Address Line 2 exceeds the 35-character SAP limit. ","")&amp;IF(LEN($I277)&gt;35,"Address Line 3 exceeds the 35-character SAP limit. ","")&amp;IF($J277="","Enter Town. This must never be left blank, even if there is no conventional town name. ","")&amp;IF(LEN($J277)&gt;35,"Town exceeds 35 characters. ","")&amp;IF(AND($N277="IE",$K277=""),"County is required for deliveries within the Republic of Ireland. ","")&amp;IF(LEN($AB277)&gt;35,"County exceeds 35 characters. ","")&amp;IF(AND($L277="",AND($N277&lt;&gt;"AE",$N277&lt;&gt;"QA")),"Postcode is required for the selected country. If there is genuinely no postcode, enter the first 3 characters of the area (e.g. D15). ","")&amp;IF(LEN($L277)&gt;35,"Postcode exceeds 35 characters. ","")&amp;IF($AE277&lt;&gt;"",$AE277,"")&amp;IF(LEN($O277)&gt;40,"Gift Message Line 1 exceeds 40 characters. ","")&amp;IF(LEN($P277)&gt;40,"Gift Message Line 2 exceeds 40 characters. ","")&amp;IF(LEN($Q277)&gt;40,"Gift Message Line 3 exceeds 40 characters. ","")&amp;IF(LEN($R277)&gt;40,"Gift Message Line 4 exceeds 40 characters. ","")&amp;IF(LEN($S277)&gt;40,"Gift Message Line 5 exceeds 40 characters. ","")&amp;IF(LEN($T277)&gt;40,"Gift Message Line 6 exceeds 40 characters. ","")&amp;IF(LEN($U277)&gt;40,"Gift Message Line 7 exceeds 40 characters. ",""))</f>
        <v/>
      </c>
      <c r="Y277" s="44" t="str">
        <f t="shared" si="17"/>
        <v/>
      </c>
      <c r="Z277" s="44"/>
      <c r="AA277" s="44"/>
      <c r="AB277" s="32" t="str">
        <f t="shared" si="18"/>
        <v/>
      </c>
      <c r="AC277" s="32" t="str">
        <f>IF($A277="","",IFERROR(LEFT(INDEX('PRODUCT DATA'!$NO$2:$NO$25,MATCH($A277,'PRODUCT DATA'!$NP$2:$NP$25,0)),FIND("|",INDEX('PRODUCT DATA'!$NO$2:$NO$25,MATCH($A277,'PRODUCT DATA'!$NP$2:$NP$25,0)))-1),$A277))</f>
        <v/>
      </c>
      <c r="AD277" s="45"/>
      <c r="AE277" s="45" t="str">
        <f t="shared" si="19"/>
        <v/>
      </c>
    </row>
    <row r="278" spans="1:31" ht="15" customHeight="1" x14ac:dyDescent="0.25">
      <c r="A278" s="40"/>
      <c r="B278" s="43" t="str">
        <f>IF($A278="","",IFERROR(VLOOKUP($AC278,'PRODUCT DATA'!$NR$2:$NS$374,2,FALSE()),"UNKNOWN ITEM CODE - please check"))</f>
        <v/>
      </c>
      <c r="C278" s="39">
        <v>1</v>
      </c>
      <c r="D278" s="39"/>
      <c r="E278" s="40"/>
      <c r="F278" s="41"/>
      <c r="G278" s="39"/>
      <c r="H278" s="41"/>
      <c r="I278" s="41"/>
      <c r="J278" s="39"/>
      <c r="K278" s="41"/>
      <c r="L278" s="40"/>
      <c r="M278" s="40"/>
      <c r="N278" s="42" t="str">
        <f>IF($M278="","",IFERROR(INDEX('PRODUCT DATA'!$B$2:$B$58,MATCH(IF(UPPER($M278)="UK","GB",$M278),'PRODUCT DATA'!$B$2:$B$58,0)),IFERROR(INDEX('PRODUCT DATA'!$B$2:$B$58,MATCH(IF(UPPER($M278)="UK","GB",$M278),'PRODUCT DATA'!$A$2:$A$58,0)),"UNKNOWN COUNTRY - please check")))</f>
        <v/>
      </c>
      <c r="O278" s="41"/>
      <c r="P278" s="41"/>
      <c r="Q278" s="41"/>
      <c r="R278" s="41"/>
      <c r="S278" s="41"/>
      <c r="T278" s="41"/>
      <c r="U278" s="41"/>
      <c r="V278" s="43" t="str">
        <f t="shared" si="16"/>
        <v/>
      </c>
      <c r="W278" s="44" t="str">
        <f ca="1">IF(COUNTA($A278,$D278:$M278,$O278:$U278)=0,"",IF($A278="","Item Code; ","")&amp;IF(AND($A278&lt;&gt;"",ISNA(MATCH($AC278,'PRODUCT DATA'!$D$2:$D$394,0))),"Item Code; ","")&amp;IF($M278="","Country; ","")&amp;IF(AND($M278&lt;&gt;"",NOT(OR(NOT(ISNA(MATCH(IF(UPPER($M278)="UK","GB",$M278),'PRODUCT DATA'!$A$2:$A$58,0))),NOT(ISNA(MATCH(IF(UPPER($M278)="UK","GB",$M278),'PRODUCT DATA'!$B$2:$B$58,0)))))),"Country; ","")&amp;IF(AND($A278&lt;&gt;"",$M278&lt;&gt;"",NOT(ISNA(MATCH($AC278,'PRODUCT DATA'!$D$2:$D$394,0))),OR(NOT(ISNA(MATCH(IF(UPPER($M278)="UK","GB",$M278),'PRODUCT DATA'!$A$2:$A$58,0))),NOT(ISNA(MATCH(IF(UPPER($M278)="UK","GB",$M278),'PRODUCT DATA'!$B$2:$B$58,0)))),NOT(IFERROR(COUNTIF(OFFSET('PRODUCT DATA'!$F$2,0,MATCH($AC278,'PRODUCT DATA'!$F$1:$NN$1,0)-1,114,1),$N278)&gt;0,FALSE()))),IF(UPPER(IFERROR(OFFSET('PRODUCT DATA'!$C$2,MATCH($N278,'PRODUCT DATA'!$B$2:$B$58,0)-1,0),""))="NO","Alcohol Restriction; ","Item Code / Country combination; "),"")&amp;IF($C278="","Quantity; ","")&amp;IF(AND($C278&lt;&gt;"",OR(NOT(ISNUMBER($C278)),$C278&lt;1,$C278&gt;999,MOD($C278,1)&lt;&gt;0)),"Quantity; ","")&amp;IF($D278="","Recipient Name; ","")&amp;IF(LEN($D278)&gt;35,"Recipient Name; ","")&amp;IF($E278="","Recipient Phone; ","")&amp;IF(AND($E278&lt;&gt;"",OR(LEN($E278)&lt;6,LEN($E278)&gt;20,NOT(IFERROR(ISNUMBER(1*$E278),FALSE())))),"Recipient Phone; ","")&amp;IF(LEN($F278)&gt;35,"Recipient Company Name; ","")&amp;IF($G278="","Address Line 1; ","")&amp;IF(LEN($G278)&gt;35,"Address Line 1; ","")&amp;IF(LEN($H278)&gt;35,"Address Line 2; ","")&amp;IF(LEN($I278)&gt;35,"Address Line 3; ","")&amp;IF($J278="","Town; ","")&amp;IF(LEN($J278)&gt;35,"Town; ","")&amp;IF(AND($N278="IE",$K278=""),"County; ","")&amp;IF(LEN($AB278)&gt;35,"County; ","")&amp;IF(AND($L278="",AND($N278&lt;&gt;"AE",$N278&lt;&gt;"QA")),"Postcode; ","")&amp;IF(LEN($L278)&gt;35,"Postcode; ","")&amp;IF($AE278&lt;&gt;"","Postcode; ","")&amp;IF(LEN($O278)&gt;40,"Gift Message 1; ","")&amp;IF(LEN($P278)&gt;40,"Gift Message 2; ","")&amp;IF(LEN($Q278)&gt;40,"Gift Message 3; ","")&amp;IF(LEN($R278)&gt;40,"Gift Message 4; ","")&amp;IF(LEN($S278)&gt;40,"Gift Message 5; ","")&amp;IF(LEN($T278)&gt;40,"Gift Message 6; ","")&amp;IF(LEN($U278)&gt;40,"Gift Message 7; ",""))</f>
        <v/>
      </c>
      <c r="X278" s="44" t="str">
        <f ca="1">IF(COUNTA($A278,$D278:$M278,$O278:$U278)=0,"",IF($A278="","Enter the Item Code (hamper) - type it, paste it, or choose it from the dropdown. ","")&amp;IF(AND($A278&lt;&gt;"",ISNA(MATCH($AC278,'PRODUCT DATA'!$D$2:$D$394,0))),"This Item Code is not recognised. Check the code (case does not matter, but spelling and digits must match exactly) or choose it from the dropdown. ","")&amp;IF($M278="","Enter the Country after the Item Code - type or paste the name or the 2-letter code, or choose it from the dropdown. ","")&amp;IF(AND($M278&lt;&gt;"",NOT(OR(NOT(ISNA(MATCH(IF(UPPER($M278)="UK","GB",$M278),'PRODUCT DATA'!$A$2:$A$58,0))),NOT(ISNA(MATCH(IF(UPPER($M278)="UK","GB",$M278),'PRODUCT DATA'!$B$2:$B$58,0)))))),"This Country is not recognised as either a full name or a 2-letter code. Check the spelling (case does not matter) or choose it from the dropdown. ","")&amp;IF(AND($A278&lt;&gt;"",$M278&lt;&gt;"",NOT(ISNA(MATCH($AC278,'PRODUCT DATA'!$D$2:$D$394,0))),OR(NOT(ISNA(MATCH(IF(UPPER($M278)="UK","GB",$M278),'PRODUCT DATA'!$A$2:$A$58,0))),NOT(ISNA(MATCH(IF(UPPER($M278)="UK","GB",$M278),'PRODUCT DATA'!$B$2:$B$58,0)))),NOT(IFERROR(COUNTIF(OFFSET('PRODUCT DATA'!$F$2,0,MATCH($AC278,'PRODUCT DATA'!$F$1:$NN$1,0)-1,114,1),$N278)&gt;0,FALSE()))),IF(UPPER(IFERROR(OFFSET('PRODUCT DATA'!$C$2,MATCH($N278,'PRODUCT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"),"")&amp;IF($C278="","Enter Quantity. ","")&amp;IF(AND($C278&lt;&gt;"",OR(NOT(ISNUMBER($C278)),$C278&lt;1,$C278&gt;999,MOD($C278,1)&lt;&gt;0)),"Quantity must be a whole number from 1 to 999 (use a quantity above 1 only for a genuine bulk order of identical items to ONE address — otherwise use a separate row per recipient). ","")&amp;IF($D278="","Enter Recipient Name. ","")&amp;IF(LEN($D278)&gt;35,"Recipient Name exceeds 35 characters. ","")&amp;IF($E278="","Enter Recipient Phone. ","")&amp;IF(AND($E278&lt;&gt;"",OR(LEN($E278)&lt;6,LEN($E278)&gt;20,NOT(IFERROR(ISNUMBER(1*$E278),FALSE())))),"Phone must be the LOCAL number for the destination country: digits only, no +, spaces, or country code, 6 to 20 digits. ","")&amp;IF(LEN($F278)&gt;35,"Recipient Company Name exceeds 35 characters. ","")&amp;IF($G278="","Enter Address Line 1. ","")&amp;IF(LEN($G278)&gt;35,"Address Line 1 exceeds the 35-character SAP limit. ","")&amp;IF(LEN($H278)&gt;35,"Address Line 2 exceeds the 35-character SAP limit. ","")&amp;IF(LEN($I278)&gt;35,"Address Line 3 exceeds the 35-character SAP limit. ","")&amp;IF($J278="","Enter Town. This must never be left blank, even if there is no conventional town name. ","")&amp;IF(LEN($J278)&gt;35,"Town exceeds 35 characters. ","")&amp;IF(AND($N278="IE",$K278=""),"County is required for deliveries within the Republic of Ireland. ","")&amp;IF(LEN($AB278)&gt;35,"County exceeds 35 characters. ","")&amp;IF(AND($L278="",AND($N278&lt;&gt;"AE",$N278&lt;&gt;"QA")),"Postcode is required for the selected country. If there is genuinely no postcode, enter the first 3 characters of the area (e.g. D15). ","")&amp;IF(LEN($L278)&gt;35,"Postcode exceeds 35 characters. ","")&amp;IF($AE278&lt;&gt;"",$AE278,"")&amp;IF(LEN($O278)&gt;40,"Gift Message Line 1 exceeds 40 characters. ","")&amp;IF(LEN($P278)&gt;40,"Gift Message Line 2 exceeds 40 characters. ","")&amp;IF(LEN($Q278)&gt;40,"Gift Message Line 3 exceeds 40 characters. ","")&amp;IF(LEN($R278)&gt;40,"Gift Message Line 4 exceeds 40 characters. ","")&amp;IF(LEN($S278)&gt;40,"Gift Message Line 5 exceeds 40 characters. ","")&amp;IF(LEN($T278)&gt;40,"Gift Message Line 6 exceeds 40 characters. ","")&amp;IF(LEN($U278)&gt;40,"Gift Message Line 7 exceeds 40 characters. ",""))</f>
        <v/>
      </c>
      <c r="Y278" s="44" t="str">
        <f t="shared" si="17"/>
        <v/>
      </c>
      <c r="Z278" s="44"/>
      <c r="AA278" s="44"/>
      <c r="AB278" s="32" t="str">
        <f t="shared" si="18"/>
        <v/>
      </c>
      <c r="AC278" s="32" t="str">
        <f>IF($A278="","",IFERROR(LEFT(INDEX('PRODUCT DATA'!$NO$2:$NO$25,MATCH($A278,'PRODUCT DATA'!$NP$2:$NP$25,0)),FIND("|",INDEX('PRODUCT DATA'!$NO$2:$NO$25,MATCH($A278,'PRODUCT DATA'!$NP$2:$NP$25,0)))-1),$A278))</f>
        <v/>
      </c>
      <c r="AD278" s="45"/>
      <c r="AE278" s="45" t="str">
        <f t="shared" si="19"/>
        <v/>
      </c>
    </row>
    <row r="279" spans="1:31" ht="15" customHeight="1" x14ac:dyDescent="0.25">
      <c r="A279" s="40"/>
      <c r="B279" s="43" t="str">
        <f>IF($A279="","",IFERROR(VLOOKUP($AC279,'PRODUCT DATA'!$NR$2:$NS$374,2,FALSE()),"UNKNOWN ITEM CODE - please check"))</f>
        <v/>
      </c>
      <c r="C279" s="39">
        <v>1</v>
      </c>
      <c r="D279" s="39"/>
      <c r="E279" s="40"/>
      <c r="F279" s="41"/>
      <c r="G279" s="39"/>
      <c r="H279" s="41"/>
      <c r="I279" s="41"/>
      <c r="J279" s="39"/>
      <c r="K279" s="41"/>
      <c r="L279" s="40"/>
      <c r="M279" s="40"/>
      <c r="N279" s="42" t="str">
        <f>IF($M279="","",IFERROR(INDEX('PRODUCT DATA'!$B$2:$B$58,MATCH(IF(UPPER($M279)="UK","GB",$M279),'PRODUCT DATA'!$B$2:$B$58,0)),IFERROR(INDEX('PRODUCT DATA'!$B$2:$B$58,MATCH(IF(UPPER($M279)="UK","GB",$M279),'PRODUCT DATA'!$A$2:$A$58,0)),"UNKNOWN COUNTRY - please check")))</f>
        <v/>
      </c>
      <c r="O279" s="41"/>
      <c r="P279" s="41"/>
      <c r="Q279" s="41"/>
      <c r="R279" s="41"/>
      <c r="S279" s="41"/>
      <c r="T279" s="41"/>
      <c r="U279" s="41"/>
      <c r="V279" s="43" t="str">
        <f t="shared" si="16"/>
        <v/>
      </c>
      <c r="W279" s="44" t="str">
        <f ca="1">IF(COUNTA($A279,$D279:$M279,$O279:$U279)=0,"",IF($A279="","Item Code; ","")&amp;IF(AND($A279&lt;&gt;"",ISNA(MATCH($AC279,'PRODUCT DATA'!$D$2:$D$394,0))),"Item Code; ","")&amp;IF($M279="","Country; ","")&amp;IF(AND($M279&lt;&gt;"",NOT(OR(NOT(ISNA(MATCH(IF(UPPER($M279)="UK","GB",$M279),'PRODUCT DATA'!$A$2:$A$58,0))),NOT(ISNA(MATCH(IF(UPPER($M279)="UK","GB",$M279),'PRODUCT DATA'!$B$2:$B$58,0)))))),"Country; ","")&amp;IF(AND($A279&lt;&gt;"",$M279&lt;&gt;"",NOT(ISNA(MATCH($AC279,'PRODUCT DATA'!$D$2:$D$394,0))),OR(NOT(ISNA(MATCH(IF(UPPER($M279)="UK","GB",$M279),'PRODUCT DATA'!$A$2:$A$58,0))),NOT(ISNA(MATCH(IF(UPPER($M279)="UK","GB",$M279),'PRODUCT DATA'!$B$2:$B$58,0)))),NOT(IFERROR(COUNTIF(OFFSET('PRODUCT DATA'!$F$2,0,MATCH($AC279,'PRODUCT DATA'!$F$1:$NN$1,0)-1,114,1),$N279)&gt;0,FALSE()))),IF(UPPER(IFERROR(OFFSET('PRODUCT DATA'!$C$2,MATCH($N279,'PRODUCT DATA'!$B$2:$B$58,0)-1,0),""))="NO","Alcohol Restriction; ","Item Code / Country combination; "),"")&amp;IF($C279="","Quantity; ","")&amp;IF(AND($C279&lt;&gt;"",OR(NOT(ISNUMBER($C279)),$C279&lt;1,$C279&gt;999,MOD($C279,1)&lt;&gt;0)),"Quantity; ","")&amp;IF($D279="","Recipient Name; ","")&amp;IF(LEN($D279)&gt;35,"Recipient Name; ","")&amp;IF($E279="","Recipient Phone; ","")&amp;IF(AND($E279&lt;&gt;"",OR(LEN($E279)&lt;6,LEN($E279)&gt;20,NOT(IFERROR(ISNUMBER(1*$E279),FALSE())))),"Recipient Phone; ","")&amp;IF(LEN($F279)&gt;35,"Recipient Company Name; ","")&amp;IF($G279="","Address Line 1; ","")&amp;IF(LEN($G279)&gt;35,"Address Line 1; ","")&amp;IF(LEN($H279)&gt;35,"Address Line 2; ","")&amp;IF(LEN($I279)&gt;35,"Address Line 3; ","")&amp;IF($J279="","Town; ","")&amp;IF(LEN($J279)&gt;35,"Town; ","")&amp;IF(AND($N279="IE",$K279=""),"County; ","")&amp;IF(LEN($AB279)&gt;35,"County; ","")&amp;IF(AND($L279="",AND($N279&lt;&gt;"AE",$N279&lt;&gt;"QA")),"Postcode; ","")&amp;IF(LEN($L279)&gt;35,"Postcode; ","")&amp;IF($AE279&lt;&gt;"","Postcode; ","")&amp;IF(LEN($O279)&gt;40,"Gift Message 1; ","")&amp;IF(LEN($P279)&gt;40,"Gift Message 2; ","")&amp;IF(LEN($Q279)&gt;40,"Gift Message 3; ","")&amp;IF(LEN($R279)&gt;40,"Gift Message 4; ","")&amp;IF(LEN($S279)&gt;40,"Gift Message 5; ","")&amp;IF(LEN($T279)&gt;40,"Gift Message 6; ","")&amp;IF(LEN($U279)&gt;40,"Gift Message 7; ",""))</f>
        <v/>
      </c>
      <c r="X279" s="44" t="str">
        <f ca="1">IF(COUNTA($A279,$D279:$M279,$O279:$U279)=0,"",IF($A279="","Enter the Item Code (hamper) - type it, paste it, or choose it from the dropdown. ","")&amp;IF(AND($A279&lt;&gt;"",ISNA(MATCH($AC279,'PRODUCT DATA'!$D$2:$D$394,0))),"This Item Code is not recognised. Check the code (case does not matter, but spelling and digits must match exactly) or choose it from the dropdown. ","")&amp;IF($M279="","Enter the Country after the Item Code - type or paste the name or the 2-letter code, or choose it from the dropdown. ","")&amp;IF(AND($M279&lt;&gt;"",NOT(OR(NOT(ISNA(MATCH(IF(UPPER($M279)="UK","GB",$M279),'PRODUCT DATA'!$A$2:$A$58,0))),NOT(ISNA(MATCH(IF(UPPER($M279)="UK","GB",$M279),'PRODUCT DATA'!$B$2:$B$58,0)))))),"This Country is not recognised as either a full name or a 2-letter code. Check the spelling (case does not matter) or choose it from the dropdown. ","")&amp;IF(AND($A279&lt;&gt;"",$M279&lt;&gt;"",NOT(ISNA(MATCH($AC279,'PRODUCT DATA'!$D$2:$D$394,0))),OR(NOT(ISNA(MATCH(IF(UPPER($M279)="UK","GB",$M279),'PRODUCT DATA'!$A$2:$A$58,0))),NOT(ISNA(MATCH(IF(UPPER($M279)="UK","GB",$M279),'PRODUCT DATA'!$B$2:$B$58,0)))),NOT(IFERROR(COUNTIF(OFFSET('PRODUCT DATA'!$F$2,0,MATCH($AC279,'PRODUCT DATA'!$F$1:$NN$1,0)-1,114,1),$N279)&gt;0,FALSE()))),IF(UPPER(IFERROR(OFFSET('PRODUCT DATA'!$C$2,MATCH($N279,'PRODUCT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"),"")&amp;IF($C279="","Enter Quantity. ","")&amp;IF(AND($C279&lt;&gt;"",OR(NOT(ISNUMBER($C279)),$C279&lt;1,$C279&gt;999,MOD($C279,1)&lt;&gt;0)),"Quantity must be a whole number from 1 to 999 (use a quantity above 1 only for a genuine bulk order of identical items to ONE address — otherwise use a separate row per recipient). ","")&amp;IF($D279="","Enter Recipient Name. ","")&amp;IF(LEN($D279)&gt;35,"Recipient Name exceeds 35 characters. ","")&amp;IF($E279="","Enter Recipient Phone. ","")&amp;IF(AND($E279&lt;&gt;"",OR(LEN($E279)&lt;6,LEN($E279)&gt;20,NOT(IFERROR(ISNUMBER(1*$E279),FALSE())))),"Phone must be the LOCAL number for the destination country: digits only, no +, spaces, or country code, 6 to 20 digits. ","")&amp;IF(LEN($F279)&gt;35,"Recipient Company Name exceeds 35 characters. ","")&amp;IF($G279="","Enter Address Line 1. ","")&amp;IF(LEN($G279)&gt;35,"Address Line 1 exceeds the 35-character SAP limit. ","")&amp;IF(LEN($H279)&gt;35,"Address Line 2 exceeds the 35-character SAP limit. ","")&amp;IF(LEN($I279)&gt;35,"Address Line 3 exceeds the 35-character SAP limit. ","")&amp;IF($J279="","Enter Town. This must never be left blank, even if there is no conventional town name. ","")&amp;IF(LEN($J279)&gt;35,"Town exceeds 35 characters. ","")&amp;IF(AND($N279="IE",$K279=""),"County is required for deliveries within the Republic of Ireland. ","")&amp;IF(LEN($AB279)&gt;35,"County exceeds 35 characters. ","")&amp;IF(AND($L279="",AND($N279&lt;&gt;"AE",$N279&lt;&gt;"QA")),"Postcode is required for the selected country. If there is genuinely no postcode, enter the first 3 characters of the area (e.g. D15). ","")&amp;IF(LEN($L279)&gt;35,"Postcode exceeds 35 characters. ","")&amp;IF($AE279&lt;&gt;"",$AE279,"")&amp;IF(LEN($O279)&gt;40,"Gift Message Line 1 exceeds 40 characters. ","")&amp;IF(LEN($P279)&gt;40,"Gift Message Line 2 exceeds 40 characters. ","")&amp;IF(LEN($Q279)&gt;40,"Gift Message Line 3 exceeds 40 characters. ","")&amp;IF(LEN($R279)&gt;40,"Gift Message Line 4 exceeds 40 characters. ","")&amp;IF(LEN($S279)&gt;40,"Gift Message Line 5 exceeds 40 characters. ","")&amp;IF(LEN($T279)&gt;40,"Gift Message Line 6 exceeds 40 characters. ","")&amp;IF(LEN($U279)&gt;40,"Gift Message Line 7 exceeds 40 characters. ",""))</f>
        <v/>
      </c>
      <c r="Y279" s="44" t="str">
        <f t="shared" si="17"/>
        <v/>
      </c>
      <c r="Z279" s="44"/>
      <c r="AA279" s="44"/>
      <c r="AB279" s="32" t="str">
        <f t="shared" si="18"/>
        <v/>
      </c>
      <c r="AC279" s="32" t="str">
        <f>IF($A279="","",IFERROR(LEFT(INDEX('PRODUCT DATA'!$NO$2:$NO$25,MATCH($A279,'PRODUCT DATA'!$NP$2:$NP$25,0)),FIND("|",INDEX('PRODUCT DATA'!$NO$2:$NO$25,MATCH($A279,'PRODUCT DATA'!$NP$2:$NP$25,0)))-1),$A279))</f>
        <v/>
      </c>
      <c r="AD279" s="45"/>
      <c r="AE279" s="45" t="str">
        <f t="shared" si="19"/>
        <v/>
      </c>
    </row>
    <row r="280" spans="1:31" ht="15" customHeight="1" x14ac:dyDescent="0.25">
      <c r="A280" s="40"/>
      <c r="B280" s="43" t="str">
        <f>IF($A280="","",IFERROR(VLOOKUP($AC280,'PRODUCT DATA'!$NR$2:$NS$374,2,FALSE()),"UNKNOWN ITEM CODE - please check"))</f>
        <v/>
      </c>
      <c r="C280" s="39">
        <v>1</v>
      </c>
      <c r="D280" s="39"/>
      <c r="E280" s="40"/>
      <c r="F280" s="41"/>
      <c r="G280" s="39"/>
      <c r="H280" s="41"/>
      <c r="I280" s="41"/>
      <c r="J280" s="39"/>
      <c r="K280" s="41"/>
      <c r="L280" s="40"/>
      <c r="M280" s="40"/>
      <c r="N280" s="42" t="str">
        <f>IF($M280="","",IFERROR(INDEX('PRODUCT DATA'!$B$2:$B$58,MATCH(IF(UPPER($M280)="UK","GB",$M280),'PRODUCT DATA'!$B$2:$B$58,0)),IFERROR(INDEX('PRODUCT DATA'!$B$2:$B$58,MATCH(IF(UPPER($M280)="UK","GB",$M280),'PRODUCT DATA'!$A$2:$A$58,0)),"UNKNOWN COUNTRY - please check")))</f>
        <v/>
      </c>
      <c r="O280" s="41"/>
      <c r="P280" s="41"/>
      <c r="Q280" s="41"/>
      <c r="R280" s="41"/>
      <c r="S280" s="41"/>
      <c r="T280" s="41"/>
      <c r="U280" s="41"/>
      <c r="V280" s="43" t="str">
        <f t="shared" si="16"/>
        <v/>
      </c>
      <c r="W280" s="44" t="str">
        <f ca="1">IF(COUNTA($A280,$D280:$M280,$O280:$U280)=0,"",IF($A280="","Item Code; ","")&amp;IF(AND($A280&lt;&gt;"",ISNA(MATCH($AC280,'PRODUCT DATA'!$D$2:$D$394,0))),"Item Code; ","")&amp;IF($M280="","Country; ","")&amp;IF(AND($M280&lt;&gt;"",NOT(OR(NOT(ISNA(MATCH(IF(UPPER($M280)="UK","GB",$M280),'PRODUCT DATA'!$A$2:$A$58,0))),NOT(ISNA(MATCH(IF(UPPER($M280)="UK","GB",$M280),'PRODUCT DATA'!$B$2:$B$58,0)))))),"Country; ","")&amp;IF(AND($A280&lt;&gt;"",$M280&lt;&gt;"",NOT(ISNA(MATCH($AC280,'PRODUCT DATA'!$D$2:$D$394,0))),OR(NOT(ISNA(MATCH(IF(UPPER($M280)="UK","GB",$M280),'PRODUCT DATA'!$A$2:$A$58,0))),NOT(ISNA(MATCH(IF(UPPER($M280)="UK","GB",$M280),'PRODUCT DATA'!$B$2:$B$58,0)))),NOT(IFERROR(COUNTIF(OFFSET('PRODUCT DATA'!$F$2,0,MATCH($AC280,'PRODUCT DATA'!$F$1:$NN$1,0)-1,114,1),$N280)&gt;0,FALSE()))),IF(UPPER(IFERROR(OFFSET('PRODUCT DATA'!$C$2,MATCH($N280,'PRODUCT DATA'!$B$2:$B$58,0)-1,0),""))="NO","Alcohol Restriction; ","Item Code / Country combination; "),"")&amp;IF($C280="","Quantity; ","")&amp;IF(AND($C280&lt;&gt;"",OR(NOT(ISNUMBER($C280)),$C280&lt;1,$C280&gt;999,MOD($C280,1)&lt;&gt;0)),"Quantity; ","")&amp;IF($D280="","Recipient Name; ","")&amp;IF(LEN($D280)&gt;35,"Recipient Name; ","")&amp;IF($E280="","Recipient Phone; ","")&amp;IF(AND($E280&lt;&gt;"",OR(LEN($E280)&lt;6,LEN($E280)&gt;20,NOT(IFERROR(ISNUMBER(1*$E280),FALSE())))),"Recipient Phone; ","")&amp;IF(LEN($F280)&gt;35,"Recipient Company Name; ","")&amp;IF($G280="","Address Line 1; ","")&amp;IF(LEN($G280)&gt;35,"Address Line 1; ","")&amp;IF(LEN($H280)&gt;35,"Address Line 2; ","")&amp;IF(LEN($I280)&gt;35,"Address Line 3; ","")&amp;IF($J280="","Town; ","")&amp;IF(LEN($J280)&gt;35,"Town; ","")&amp;IF(AND($N280="IE",$K280=""),"County; ","")&amp;IF(LEN($AB280)&gt;35,"County; ","")&amp;IF(AND($L280="",AND($N280&lt;&gt;"AE",$N280&lt;&gt;"QA")),"Postcode; ","")&amp;IF(LEN($L280)&gt;35,"Postcode; ","")&amp;IF($AE280&lt;&gt;"","Postcode; ","")&amp;IF(LEN($O280)&gt;40,"Gift Message 1; ","")&amp;IF(LEN($P280)&gt;40,"Gift Message 2; ","")&amp;IF(LEN($Q280)&gt;40,"Gift Message 3; ","")&amp;IF(LEN($R280)&gt;40,"Gift Message 4; ","")&amp;IF(LEN($S280)&gt;40,"Gift Message 5; ","")&amp;IF(LEN($T280)&gt;40,"Gift Message 6; ","")&amp;IF(LEN($U280)&gt;40,"Gift Message 7; ",""))</f>
        <v/>
      </c>
      <c r="X280" s="44" t="str">
        <f ca="1">IF(COUNTA($A280,$D280:$M280,$O280:$U280)=0,"",IF($A280="","Enter the Item Code (hamper) - type it, paste it, or choose it from the dropdown. ","")&amp;IF(AND($A280&lt;&gt;"",ISNA(MATCH($AC280,'PRODUCT DATA'!$D$2:$D$394,0))),"This Item Code is not recognised. Check the code (case does not matter, but spelling and digits must match exactly) or choose it from the dropdown. ","")&amp;IF($M280="","Enter the Country after the Item Code - type or paste the name or the 2-letter code, or choose it from the dropdown. ","")&amp;IF(AND($M280&lt;&gt;"",NOT(OR(NOT(ISNA(MATCH(IF(UPPER($M280)="UK","GB",$M280),'PRODUCT DATA'!$A$2:$A$58,0))),NOT(ISNA(MATCH(IF(UPPER($M280)="UK","GB",$M280),'PRODUCT DATA'!$B$2:$B$58,0)))))),"This Country is not recognised as either a full name or a 2-letter code. Check the spelling (case does not matter) or choose it from the dropdown. ","")&amp;IF(AND($A280&lt;&gt;"",$M280&lt;&gt;"",NOT(ISNA(MATCH($AC280,'PRODUCT DATA'!$D$2:$D$394,0))),OR(NOT(ISNA(MATCH(IF(UPPER($M280)="UK","GB",$M280),'PRODUCT DATA'!$A$2:$A$58,0))),NOT(ISNA(MATCH(IF(UPPER($M280)="UK","GB",$M280),'PRODUCT DATA'!$B$2:$B$58,0)))),NOT(IFERROR(COUNTIF(OFFSET('PRODUCT DATA'!$F$2,0,MATCH($AC280,'PRODUCT DATA'!$F$1:$NN$1,0)-1,114,1),$N280)&gt;0,FALSE()))),IF(UPPER(IFERROR(OFFSET('PRODUCT DATA'!$C$2,MATCH($N280,'PRODUCT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"),"")&amp;IF($C280="","Enter Quantity. ","")&amp;IF(AND($C280&lt;&gt;"",OR(NOT(ISNUMBER($C280)),$C280&lt;1,$C280&gt;999,MOD($C280,1)&lt;&gt;0)),"Quantity must be a whole number from 1 to 999 (use a quantity above 1 only for a genuine bulk order of identical items to ONE address — otherwise use a separate row per recipient). ","")&amp;IF($D280="","Enter Recipient Name. ","")&amp;IF(LEN($D280)&gt;35,"Recipient Name exceeds 35 characters. ","")&amp;IF($E280="","Enter Recipient Phone. ","")&amp;IF(AND($E280&lt;&gt;"",OR(LEN($E280)&lt;6,LEN($E280)&gt;20,NOT(IFERROR(ISNUMBER(1*$E280),FALSE())))),"Phone must be the LOCAL number for the destination country: digits only, no +, spaces, or country code, 6 to 20 digits. ","")&amp;IF(LEN($F280)&gt;35,"Recipient Company Name exceeds 35 characters. ","")&amp;IF($G280="","Enter Address Line 1. ","")&amp;IF(LEN($G280)&gt;35,"Address Line 1 exceeds the 35-character SAP limit. ","")&amp;IF(LEN($H280)&gt;35,"Address Line 2 exceeds the 35-character SAP limit. ","")&amp;IF(LEN($I280)&gt;35,"Address Line 3 exceeds the 35-character SAP limit. ","")&amp;IF($J280="","Enter Town. This must never be left blank, even if there is no conventional town name. ","")&amp;IF(LEN($J280)&gt;35,"Town exceeds 35 characters. ","")&amp;IF(AND($N280="IE",$K280=""),"County is required for deliveries within the Republic of Ireland. ","")&amp;IF(LEN($AB280)&gt;35,"County exceeds 35 characters. ","")&amp;IF(AND($L280="",AND($N280&lt;&gt;"AE",$N280&lt;&gt;"QA")),"Postcode is required for the selected country. If there is genuinely no postcode, enter the first 3 characters of the area (e.g. D15). ","")&amp;IF(LEN($L280)&gt;35,"Postcode exceeds 35 characters. ","")&amp;IF($AE280&lt;&gt;"",$AE280,"")&amp;IF(LEN($O280)&gt;40,"Gift Message Line 1 exceeds 40 characters. ","")&amp;IF(LEN($P280)&gt;40,"Gift Message Line 2 exceeds 40 characters. ","")&amp;IF(LEN($Q280)&gt;40,"Gift Message Line 3 exceeds 40 characters. ","")&amp;IF(LEN($R280)&gt;40,"Gift Message Line 4 exceeds 40 characters. ","")&amp;IF(LEN($S280)&gt;40,"Gift Message Line 5 exceeds 40 characters. ","")&amp;IF(LEN($T280)&gt;40,"Gift Message Line 6 exceeds 40 characters. ","")&amp;IF(LEN($U280)&gt;40,"Gift Message Line 7 exceeds 40 characters. ",""))</f>
        <v/>
      </c>
      <c r="Y280" s="44" t="str">
        <f t="shared" si="17"/>
        <v/>
      </c>
      <c r="Z280" s="44"/>
      <c r="AA280" s="44"/>
      <c r="AB280" s="32" t="str">
        <f t="shared" si="18"/>
        <v/>
      </c>
      <c r="AC280" s="32" t="str">
        <f>IF($A280="","",IFERROR(LEFT(INDEX('PRODUCT DATA'!$NO$2:$NO$25,MATCH($A280,'PRODUCT DATA'!$NP$2:$NP$25,0)),FIND("|",INDEX('PRODUCT DATA'!$NO$2:$NO$25,MATCH($A280,'PRODUCT DATA'!$NP$2:$NP$25,0)))-1),$A280))</f>
        <v/>
      </c>
      <c r="AD280" s="45"/>
      <c r="AE280" s="45" t="str">
        <f t="shared" si="19"/>
        <v/>
      </c>
    </row>
    <row r="281" spans="1:31" ht="15" customHeight="1" x14ac:dyDescent="0.25">
      <c r="A281" s="40"/>
      <c r="B281" s="43" t="str">
        <f>IF($A281="","",IFERROR(VLOOKUP($AC281,'PRODUCT DATA'!$NR$2:$NS$374,2,FALSE()),"UNKNOWN ITEM CODE - please check"))</f>
        <v/>
      </c>
      <c r="C281" s="39">
        <v>1</v>
      </c>
      <c r="D281" s="39"/>
      <c r="E281" s="40"/>
      <c r="F281" s="41"/>
      <c r="G281" s="39"/>
      <c r="H281" s="41"/>
      <c r="I281" s="41"/>
      <c r="J281" s="39"/>
      <c r="K281" s="41"/>
      <c r="L281" s="40"/>
      <c r="M281" s="40"/>
      <c r="N281" s="42" t="str">
        <f>IF($M281="","",IFERROR(INDEX('PRODUCT DATA'!$B$2:$B$58,MATCH(IF(UPPER($M281)="UK","GB",$M281),'PRODUCT DATA'!$B$2:$B$58,0)),IFERROR(INDEX('PRODUCT DATA'!$B$2:$B$58,MATCH(IF(UPPER($M281)="UK","GB",$M281),'PRODUCT DATA'!$A$2:$A$58,0)),"UNKNOWN COUNTRY - please check")))</f>
        <v/>
      </c>
      <c r="O281" s="41"/>
      <c r="P281" s="41"/>
      <c r="Q281" s="41"/>
      <c r="R281" s="41"/>
      <c r="S281" s="41"/>
      <c r="T281" s="41"/>
      <c r="U281" s="41"/>
      <c r="V281" s="43" t="str">
        <f t="shared" si="16"/>
        <v/>
      </c>
      <c r="W281" s="44" t="str">
        <f ca="1">IF(COUNTA($A281,$D281:$M281,$O281:$U281)=0,"",IF($A281="","Item Code; ","")&amp;IF(AND($A281&lt;&gt;"",ISNA(MATCH($AC281,'PRODUCT DATA'!$D$2:$D$394,0))),"Item Code; ","")&amp;IF($M281="","Country; ","")&amp;IF(AND($M281&lt;&gt;"",NOT(OR(NOT(ISNA(MATCH(IF(UPPER($M281)="UK","GB",$M281),'PRODUCT DATA'!$A$2:$A$58,0))),NOT(ISNA(MATCH(IF(UPPER($M281)="UK","GB",$M281),'PRODUCT DATA'!$B$2:$B$58,0)))))),"Country; ","")&amp;IF(AND($A281&lt;&gt;"",$M281&lt;&gt;"",NOT(ISNA(MATCH($AC281,'PRODUCT DATA'!$D$2:$D$394,0))),OR(NOT(ISNA(MATCH(IF(UPPER($M281)="UK","GB",$M281),'PRODUCT DATA'!$A$2:$A$58,0))),NOT(ISNA(MATCH(IF(UPPER($M281)="UK","GB",$M281),'PRODUCT DATA'!$B$2:$B$58,0)))),NOT(IFERROR(COUNTIF(OFFSET('PRODUCT DATA'!$F$2,0,MATCH($AC281,'PRODUCT DATA'!$F$1:$NN$1,0)-1,114,1),$N281)&gt;0,FALSE()))),IF(UPPER(IFERROR(OFFSET('PRODUCT DATA'!$C$2,MATCH($N281,'PRODUCT DATA'!$B$2:$B$58,0)-1,0),""))="NO","Alcohol Restriction; ","Item Code / Country combination; "),"")&amp;IF($C281="","Quantity; ","")&amp;IF(AND($C281&lt;&gt;"",OR(NOT(ISNUMBER($C281)),$C281&lt;1,$C281&gt;999,MOD($C281,1)&lt;&gt;0)),"Quantity; ","")&amp;IF($D281="","Recipient Name; ","")&amp;IF(LEN($D281)&gt;35,"Recipient Name; ","")&amp;IF($E281="","Recipient Phone; ","")&amp;IF(AND($E281&lt;&gt;"",OR(LEN($E281)&lt;6,LEN($E281)&gt;20,NOT(IFERROR(ISNUMBER(1*$E281),FALSE())))),"Recipient Phone; ","")&amp;IF(LEN($F281)&gt;35,"Recipient Company Name; ","")&amp;IF($G281="","Address Line 1; ","")&amp;IF(LEN($G281)&gt;35,"Address Line 1; ","")&amp;IF(LEN($H281)&gt;35,"Address Line 2; ","")&amp;IF(LEN($I281)&gt;35,"Address Line 3; ","")&amp;IF($J281="","Town; ","")&amp;IF(LEN($J281)&gt;35,"Town; ","")&amp;IF(AND($N281="IE",$K281=""),"County; ","")&amp;IF(LEN($AB281)&gt;35,"County; ","")&amp;IF(AND($L281="",AND($N281&lt;&gt;"AE",$N281&lt;&gt;"QA")),"Postcode; ","")&amp;IF(LEN($L281)&gt;35,"Postcode; ","")&amp;IF($AE281&lt;&gt;"","Postcode; ","")&amp;IF(LEN($O281)&gt;40,"Gift Message 1; ","")&amp;IF(LEN($P281)&gt;40,"Gift Message 2; ","")&amp;IF(LEN($Q281)&gt;40,"Gift Message 3; ","")&amp;IF(LEN($R281)&gt;40,"Gift Message 4; ","")&amp;IF(LEN($S281)&gt;40,"Gift Message 5; ","")&amp;IF(LEN($T281)&gt;40,"Gift Message 6; ","")&amp;IF(LEN($U281)&gt;40,"Gift Message 7; ",""))</f>
        <v/>
      </c>
      <c r="X281" s="44" t="str">
        <f ca="1">IF(COUNTA($A281,$D281:$M281,$O281:$U281)=0,"",IF($A281="","Enter the Item Code (hamper) - type it, paste it, or choose it from the dropdown. ","")&amp;IF(AND($A281&lt;&gt;"",ISNA(MATCH($AC281,'PRODUCT DATA'!$D$2:$D$394,0))),"This Item Code is not recognised. Check the code (case does not matter, but spelling and digits must match exactly) or choose it from the dropdown. ","")&amp;IF($M281="","Enter the Country after the Item Code - type or paste the name or the 2-letter code, or choose it from the dropdown. ","")&amp;IF(AND($M281&lt;&gt;"",NOT(OR(NOT(ISNA(MATCH(IF(UPPER($M281)="UK","GB",$M281),'PRODUCT DATA'!$A$2:$A$58,0))),NOT(ISNA(MATCH(IF(UPPER($M281)="UK","GB",$M281),'PRODUCT DATA'!$B$2:$B$58,0)))))),"This Country is not recognised as either a full name or a 2-letter code. Check the spelling (case does not matter) or choose it from the dropdown. ","")&amp;IF(AND($A281&lt;&gt;"",$M281&lt;&gt;"",NOT(ISNA(MATCH($AC281,'PRODUCT DATA'!$D$2:$D$394,0))),OR(NOT(ISNA(MATCH(IF(UPPER($M281)="UK","GB",$M281),'PRODUCT DATA'!$A$2:$A$58,0))),NOT(ISNA(MATCH(IF(UPPER($M281)="UK","GB",$M281),'PRODUCT DATA'!$B$2:$B$58,0)))),NOT(IFERROR(COUNTIF(OFFSET('PRODUCT DATA'!$F$2,0,MATCH($AC281,'PRODUCT DATA'!$F$1:$NN$1,0)-1,114,1),$N281)&gt;0,FALSE()))),IF(UPPER(IFERROR(OFFSET('PRODUCT DATA'!$C$2,MATCH($N281,'PRODUCT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"),"")&amp;IF($C281="","Enter Quantity. ","")&amp;IF(AND($C281&lt;&gt;"",OR(NOT(ISNUMBER($C281)),$C281&lt;1,$C281&gt;999,MOD($C281,1)&lt;&gt;0)),"Quantity must be a whole number from 1 to 999 (use a quantity above 1 only for a genuine bulk order of identical items to ONE address — otherwise use a separate row per recipient). ","")&amp;IF($D281="","Enter Recipient Name. ","")&amp;IF(LEN($D281)&gt;35,"Recipient Name exceeds 35 characters. ","")&amp;IF($E281="","Enter Recipient Phone. ","")&amp;IF(AND($E281&lt;&gt;"",OR(LEN($E281)&lt;6,LEN($E281)&gt;20,NOT(IFERROR(ISNUMBER(1*$E281),FALSE())))),"Phone must be the LOCAL number for the destination country: digits only, no +, spaces, or country code, 6 to 20 digits. ","")&amp;IF(LEN($F281)&gt;35,"Recipient Company Name exceeds 35 characters. ","")&amp;IF($G281="","Enter Address Line 1. ","")&amp;IF(LEN($G281)&gt;35,"Address Line 1 exceeds the 35-character SAP limit. ","")&amp;IF(LEN($H281)&gt;35,"Address Line 2 exceeds the 35-character SAP limit. ","")&amp;IF(LEN($I281)&gt;35,"Address Line 3 exceeds the 35-character SAP limit. ","")&amp;IF($J281="","Enter Town. This must never be left blank, even if there is no conventional town name. ","")&amp;IF(LEN($J281)&gt;35,"Town exceeds 35 characters. ","")&amp;IF(AND($N281="IE",$K281=""),"County is required for deliveries within the Republic of Ireland. ","")&amp;IF(LEN($AB281)&gt;35,"County exceeds 35 characters. ","")&amp;IF(AND($L281="",AND($N281&lt;&gt;"AE",$N281&lt;&gt;"QA")),"Postcode is required for the selected country. If there is genuinely no postcode, enter the first 3 characters of the area (e.g. D15). ","")&amp;IF(LEN($L281)&gt;35,"Postcode exceeds 35 characters. ","")&amp;IF($AE281&lt;&gt;"",$AE281,"")&amp;IF(LEN($O281)&gt;40,"Gift Message Line 1 exceeds 40 characters. ","")&amp;IF(LEN($P281)&gt;40,"Gift Message Line 2 exceeds 40 characters. ","")&amp;IF(LEN($Q281)&gt;40,"Gift Message Line 3 exceeds 40 characters. ","")&amp;IF(LEN($R281)&gt;40,"Gift Message Line 4 exceeds 40 characters. ","")&amp;IF(LEN($S281)&gt;40,"Gift Message Line 5 exceeds 40 characters. ","")&amp;IF(LEN($T281)&gt;40,"Gift Message Line 6 exceeds 40 characters. ","")&amp;IF(LEN($U281)&gt;40,"Gift Message Line 7 exceeds 40 characters. ",""))</f>
        <v/>
      </c>
      <c r="Y281" s="44" t="str">
        <f t="shared" si="17"/>
        <v/>
      </c>
      <c r="Z281" s="44"/>
      <c r="AA281" s="44"/>
      <c r="AB281" s="32" t="str">
        <f t="shared" si="18"/>
        <v/>
      </c>
      <c r="AC281" s="32" t="str">
        <f>IF($A281="","",IFERROR(LEFT(INDEX('PRODUCT DATA'!$NO$2:$NO$25,MATCH($A281,'PRODUCT DATA'!$NP$2:$NP$25,0)),FIND("|",INDEX('PRODUCT DATA'!$NO$2:$NO$25,MATCH($A281,'PRODUCT DATA'!$NP$2:$NP$25,0)))-1),$A281))</f>
        <v/>
      </c>
      <c r="AD281" s="45"/>
      <c r="AE281" s="45" t="str">
        <f t="shared" si="19"/>
        <v/>
      </c>
    </row>
    <row r="282" spans="1:31" ht="15" customHeight="1" x14ac:dyDescent="0.25">
      <c r="A282" s="40"/>
      <c r="B282" s="43" t="str">
        <f>IF($A282="","",IFERROR(VLOOKUP($AC282,'PRODUCT DATA'!$NR$2:$NS$374,2,FALSE()),"UNKNOWN ITEM CODE - please check"))</f>
        <v/>
      </c>
      <c r="C282" s="39">
        <v>1</v>
      </c>
      <c r="D282" s="39"/>
      <c r="E282" s="40"/>
      <c r="F282" s="41"/>
      <c r="G282" s="39"/>
      <c r="H282" s="41"/>
      <c r="I282" s="41"/>
      <c r="J282" s="39"/>
      <c r="K282" s="41"/>
      <c r="L282" s="40"/>
      <c r="M282" s="40"/>
      <c r="N282" s="42" t="str">
        <f>IF($M282="","",IFERROR(INDEX('PRODUCT DATA'!$B$2:$B$58,MATCH(IF(UPPER($M282)="UK","GB",$M282),'PRODUCT DATA'!$B$2:$B$58,0)),IFERROR(INDEX('PRODUCT DATA'!$B$2:$B$58,MATCH(IF(UPPER($M282)="UK","GB",$M282),'PRODUCT DATA'!$A$2:$A$58,0)),"UNKNOWN COUNTRY - please check")))</f>
        <v/>
      </c>
      <c r="O282" s="41"/>
      <c r="P282" s="41"/>
      <c r="Q282" s="41"/>
      <c r="R282" s="41"/>
      <c r="S282" s="41"/>
      <c r="T282" s="41"/>
      <c r="U282" s="41"/>
      <c r="V282" s="43" t="str">
        <f t="shared" si="16"/>
        <v/>
      </c>
      <c r="W282" s="44" t="str">
        <f ca="1">IF(COUNTA($A282,$D282:$M282,$O282:$U282)=0,"",IF($A282="","Item Code; ","")&amp;IF(AND($A282&lt;&gt;"",ISNA(MATCH($AC282,'PRODUCT DATA'!$D$2:$D$394,0))),"Item Code; ","")&amp;IF($M282="","Country; ","")&amp;IF(AND($M282&lt;&gt;"",NOT(OR(NOT(ISNA(MATCH(IF(UPPER($M282)="UK","GB",$M282),'PRODUCT DATA'!$A$2:$A$58,0))),NOT(ISNA(MATCH(IF(UPPER($M282)="UK","GB",$M282),'PRODUCT DATA'!$B$2:$B$58,0)))))),"Country; ","")&amp;IF(AND($A282&lt;&gt;"",$M282&lt;&gt;"",NOT(ISNA(MATCH($AC282,'PRODUCT DATA'!$D$2:$D$394,0))),OR(NOT(ISNA(MATCH(IF(UPPER($M282)="UK","GB",$M282),'PRODUCT DATA'!$A$2:$A$58,0))),NOT(ISNA(MATCH(IF(UPPER($M282)="UK","GB",$M282),'PRODUCT DATA'!$B$2:$B$58,0)))),NOT(IFERROR(COUNTIF(OFFSET('PRODUCT DATA'!$F$2,0,MATCH($AC282,'PRODUCT DATA'!$F$1:$NN$1,0)-1,114,1),$N282)&gt;0,FALSE()))),IF(UPPER(IFERROR(OFFSET('PRODUCT DATA'!$C$2,MATCH($N282,'PRODUCT DATA'!$B$2:$B$58,0)-1,0),""))="NO","Alcohol Restriction; ","Item Code / Country combination; "),"")&amp;IF($C282="","Quantity; ","")&amp;IF(AND($C282&lt;&gt;"",OR(NOT(ISNUMBER($C282)),$C282&lt;1,$C282&gt;999,MOD($C282,1)&lt;&gt;0)),"Quantity; ","")&amp;IF($D282="","Recipient Name; ","")&amp;IF(LEN($D282)&gt;35,"Recipient Name; ","")&amp;IF($E282="","Recipient Phone; ","")&amp;IF(AND($E282&lt;&gt;"",OR(LEN($E282)&lt;6,LEN($E282)&gt;20,NOT(IFERROR(ISNUMBER(1*$E282),FALSE())))),"Recipient Phone; ","")&amp;IF(LEN($F282)&gt;35,"Recipient Company Name; ","")&amp;IF($G282="","Address Line 1; ","")&amp;IF(LEN($G282)&gt;35,"Address Line 1; ","")&amp;IF(LEN($H282)&gt;35,"Address Line 2; ","")&amp;IF(LEN($I282)&gt;35,"Address Line 3; ","")&amp;IF($J282="","Town; ","")&amp;IF(LEN($J282)&gt;35,"Town; ","")&amp;IF(AND($N282="IE",$K282=""),"County; ","")&amp;IF(LEN($AB282)&gt;35,"County; ","")&amp;IF(AND($L282="",AND($N282&lt;&gt;"AE",$N282&lt;&gt;"QA")),"Postcode; ","")&amp;IF(LEN($L282)&gt;35,"Postcode; ","")&amp;IF($AE282&lt;&gt;"","Postcode; ","")&amp;IF(LEN($O282)&gt;40,"Gift Message 1; ","")&amp;IF(LEN($P282)&gt;40,"Gift Message 2; ","")&amp;IF(LEN($Q282)&gt;40,"Gift Message 3; ","")&amp;IF(LEN($R282)&gt;40,"Gift Message 4; ","")&amp;IF(LEN($S282)&gt;40,"Gift Message 5; ","")&amp;IF(LEN($T282)&gt;40,"Gift Message 6; ","")&amp;IF(LEN($U282)&gt;40,"Gift Message 7; ",""))</f>
        <v/>
      </c>
      <c r="X282" s="44" t="str">
        <f ca="1">IF(COUNTA($A282,$D282:$M282,$O282:$U282)=0,"",IF($A282="","Enter the Item Code (hamper) - type it, paste it, or choose it from the dropdown. ","")&amp;IF(AND($A282&lt;&gt;"",ISNA(MATCH($AC282,'PRODUCT DATA'!$D$2:$D$394,0))),"This Item Code is not recognised. Check the code (case does not matter, but spelling and digits must match exactly) or choose it from the dropdown. ","")&amp;IF($M282="","Enter the Country after the Item Code - type or paste the name or the 2-letter code, or choose it from the dropdown. ","")&amp;IF(AND($M282&lt;&gt;"",NOT(OR(NOT(ISNA(MATCH(IF(UPPER($M282)="UK","GB",$M282),'PRODUCT DATA'!$A$2:$A$58,0))),NOT(ISNA(MATCH(IF(UPPER($M282)="UK","GB",$M282),'PRODUCT DATA'!$B$2:$B$58,0)))))),"This Country is not recognised as either a full name or a 2-letter code. Check the spelling (case does not matter) or choose it from the dropdown. ","")&amp;IF(AND($A282&lt;&gt;"",$M282&lt;&gt;"",NOT(ISNA(MATCH($AC282,'PRODUCT DATA'!$D$2:$D$394,0))),OR(NOT(ISNA(MATCH(IF(UPPER($M282)="UK","GB",$M282),'PRODUCT DATA'!$A$2:$A$58,0))),NOT(ISNA(MATCH(IF(UPPER($M282)="UK","GB",$M282),'PRODUCT DATA'!$B$2:$B$58,0)))),NOT(IFERROR(COUNTIF(OFFSET('PRODUCT DATA'!$F$2,0,MATCH($AC282,'PRODUCT DATA'!$F$1:$NN$1,0)-1,114,1),$N282)&gt;0,FALSE()))),IF(UPPER(IFERROR(OFFSET('PRODUCT DATA'!$C$2,MATCH($N282,'PRODUCT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"),"")&amp;IF($C282="","Enter Quantity. ","")&amp;IF(AND($C282&lt;&gt;"",OR(NOT(ISNUMBER($C282)),$C282&lt;1,$C282&gt;999,MOD($C282,1)&lt;&gt;0)),"Quantity must be a whole number from 1 to 999 (use a quantity above 1 only for a genuine bulk order of identical items to ONE address — otherwise use a separate row per recipient). ","")&amp;IF($D282="","Enter Recipient Name. ","")&amp;IF(LEN($D282)&gt;35,"Recipient Name exceeds 35 characters. ","")&amp;IF($E282="","Enter Recipient Phone. ","")&amp;IF(AND($E282&lt;&gt;"",OR(LEN($E282)&lt;6,LEN($E282)&gt;20,NOT(IFERROR(ISNUMBER(1*$E282),FALSE())))),"Phone must be the LOCAL number for the destination country: digits only, no +, spaces, or country code, 6 to 20 digits. ","")&amp;IF(LEN($F282)&gt;35,"Recipient Company Name exceeds 35 characters. ","")&amp;IF($G282="","Enter Address Line 1. ","")&amp;IF(LEN($G282)&gt;35,"Address Line 1 exceeds the 35-character SAP limit. ","")&amp;IF(LEN($H282)&gt;35,"Address Line 2 exceeds the 35-character SAP limit. ","")&amp;IF(LEN($I282)&gt;35,"Address Line 3 exceeds the 35-character SAP limit. ","")&amp;IF($J282="","Enter Town. This must never be left blank, even if there is no conventional town name. ","")&amp;IF(LEN($J282)&gt;35,"Town exceeds 35 characters. ","")&amp;IF(AND($N282="IE",$K282=""),"County is required for deliveries within the Republic of Ireland. ","")&amp;IF(LEN($AB282)&gt;35,"County exceeds 35 characters. ","")&amp;IF(AND($L282="",AND($N282&lt;&gt;"AE",$N282&lt;&gt;"QA")),"Postcode is required for the selected country. If there is genuinely no postcode, enter the first 3 characters of the area (e.g. D15). ","")&amp;IF(LEN($L282)&gt;35,"Postcode exceeds 35 characters. ","")&amp;IF($AE282&lt;&gt;"",$AE282,"")&amp;IF(LEN($O282)&gt;40,"Gift Message Line 1 exceeds 40 characters. ","")&amp;IF(LEN($P282)&gt;40,"Gift Message Line 2 exceeds 40 characters. ","")&amp;IF(LEN($Q282)&gt;40,"Gift Message Line 3 exceeds 40 characters. ","")&amp;IF(LEN($R282)&gt;40,"Gift Message Line 4 exceeds 40 characters. ","")&amp;IF(LEN($S282)&gt;40,"Gift Message Line 5 exceeds 40 characters. ","")&amp;IF(LEN($T282)&gt;40,"Gift Message Line 6 exceeds 40 characters. ","")&amp;IF(LEN($U282)&gt;40,"Gift Message Line 7 exceeds 40 characters. ",""))</f>
        <v/>
      </c>
      <c r="Y282" s="44" t="str">
        <f t="shared" si="17"/>
        <v/>
      </c>
      <c r="Z282" s="44"/>
      <c r="AA282" s="44"/>
      <c r="AB282" s="32" t="str">
        <f t="shared" si="18"/>
        <v/>
      </c>
      <c r="AC282" s="32" t="str">
        <f>IF($A282="","",IFERROR(LEFT(INDEX('PRODUCT DATA'!$NO$2:$NO$25,MATCH($A282,'PRODUCT DATA'!$NP$2:$NP$25,0)),FIND("|",INDEX('PRODUCT DATA'!$NO$2:$NO$25,MATCH($A282,'PRODUCT DATA'!$NP$2:$NP$25,0)))-1),$A282))</f>
        <v/>
      </c>
      <c r="AD282" s="45"/>
      <c r="AE282" s="45" t="str">
        <f t="shared" si="19"/>
        <v/>
      </c>
    </row>
    <row r="283" spans="1:31" ht="15" customHeight="1" x14ac:dyDescent="0.25">
      <c r="A283" s="40"/>
      <c r="B283" s="43" t="str">
        <f>IF($A283="","",IFERROR(VLOOKUP($AC283,'PRODUCT DATA'!$NR$2:$NS$374,2,FALSE()),"UNKNOWN ITEM CODE - please check"))</f>
        <v/>
      </c>
      <c r="C283" s="39">
        <v>1</v>
      </c>
      <c r="D283" s="39"/>
      <c r="E283" s="40"/>
      <c r="F283" s="41"/>
      <c r="G283" s="39"/>
      <c r="H283" s="41"/>
      <c r="I283" s="41"/>
      <c r="J283" s="39"/>
      <c r="K283" s="41"/>
      <c r="L283" s="40"/>
      <c r="M283" s="40"/>
      <c r="N283" s="42" t="str">
        <f>IF($M283="","",IFERROR(INDEX('PRODUCT DATA'!$B$2:$B$58,MATCH(IF(UPPER($M283)="UK","GB",$M283),'PRODUCT DATA'!$B$2:$B$58,0)),IFERROR(INDEX('PRODUCT DATA'!$B$2:$B$58,MATCH(IF(UPPER($M283)="UK","GB",$M283),'PRODUCT DATA'!$A$2:$A$58,0)),"UNKNOWN COUNTRY - please check")))</f>
        <v/>
      </c>
      <c r="O283" s="41"/>
      <c r="P283" s="41"/>
      <c r="Q283" s="41"/>
      <c r="R283" s="41"/>
      <c r="S283" s="41"/>
      <c r="T283" s="41"/>
      <c r="U283" s="41"/>
      <c r="V283" s="43" t="str">
        <f t="shared" si="16"/>
        <v/>
      </c>
      <c r="W283" s="44" t="str">
        <f ca="1">IF(COUNTA($A283,$D283:$M283,$O283:$U283)=0,"",IF($A283="","Item Code; ","")&amp;IF(AND($A283&lt;&gt;"",ISNA(MATCH($AC283,'PRODUCT DATA'!$D$2:$D$394,0))),"Item Code; ","")&amp;IF($M283="","Country; ","")&amp;IF(AND($M283&lt;&gt;"",NOT(OR(NOT(ISNA(MATCH(IF(UPPER($M283)="UK","GB",$M283),'PRODUCT DATA'!$A$2:$A$58,0))),NOT(ISNA(MATCH(IF(UPPER($M283)="UK","GB",$M283),'PRODUCT DATA'!$B$2:$B$58,0)))))),"Country; ","")&amp;IF(AND($A283&lt;&gt;"",$M283&lt;&gt;"",NOT(ISNA(MATCH($AC283,'PRODUCT DATA'!$D$2:$D$394,0))),OR(NOT(ISNA(MATCH(IF(UPPER($M283)="UK","GB",$M283),'PRODUCT DATA'!$A$2:$A$58,0))),NOT(ISNA(MATCH(IF(UPPER($M283)="UK","GB",$M283),'PRODUCT DATA'!$B$2:$B$58,0)))),NOT(IFERROR(COUNTIF(OFFSET('PRODUCT DATA'!$F$2,0,MATCH($AC283,'PRODUCT DATA'!$F$1:$NN$1,0)-1,114,1),$N283)&gt;0,FALSE()))),IF(UPPER(IFERROR(OFFSET('PRODUCT DATA'!$C$2,MATCH($N283,'PRODUCT DATA'!$B$2:$B$58,0)-1,0),""))="NO","Alcohol Restriction; ","Item Code / Country combination; "),"")&amp;IF($C283="","Quantity; ","")&amp;IF(AND($C283&lt;&gt;"",OR(NOT(ISNUMBER($C283)),$C283&lt;1,$C283&gt;999,MOD($C283,1)&lt;&gt;0)),"Quantity; ","")&amp;IF($D283="","Recipient Name; ","")&amp;IF(LEN($D283)&gt;35,"Recipient Name; ","")&amp;IF($E283="","Recipient Phone; ","")&amp;IF(AND($E283&lt;&gt;"",OR(LEN($E283)&lt;6,LEN($E283)&gt;20,NOT(IFERROR(ISNUMBER(1*$E283),FALSE())))),"Recipient Phone; ","")&amp;IF(LEN($F283)&gt;35,"Recipient Company Name; ","")&amp;IF($G283="","Address Line 1; ","")&amp;IF(LEN($G283)&gt;35,"Address Line 1; ","")&amp;IF(LEN($H283)&gt;35,"Address Line 2; ","")&amp;IF(LEN($I283)&gt;35,"Address Line 3; ","")&amp;IF($J283="","Town; ","")&amp;IF(LEN($J283)&gt;35,"Town; ","")&amp;IF(AND($N283="IE",$K283=""),"County; ","")&amp;IF(LEN($AB283)&gt;35,"County; ","")&amp;IF(AND($L283="",AND($N283&lt;&gt;"AE",$N283&lt;&gt;"QA")),"Postcode; ","")&amp;IF(LEN($L283)&gt;35,"Postcode; ","")&amp;IF($AE283&lt;&gt;"","Postcode; ","")&amp;IF(LEN($O283)&gt;40,"Gift Message 1; ","")&amp;IF(LEN($P283)&gt;40,"Gift Message 2; ","")&amp;IF(LEN($Q283)&gt;40,"Gift Message 3; ","")&amp;IF(LEN($R283)&gt;40,"Gift Message 4; ","")&amp;IF(LEN($S283)&gt;40,"Gift Message 5; ","")&amp;IF(LEN($T283)&gt;40,"Gift Message 6; ","")&amp;IF(LEN($U283)&gt;40,"Gift Message 7; ",""))</f>
        <v/>
      </c>
      <c r="X283" s="44" t="str">
        <f ca="1">IF(COUNTA($A283,$D283:$M283,$O283:$U283)=0,"",IF($A283="","Enter the Item Code (hamper) - type it, paste it, or choose it from the dropdown. ","")&amp;IF(AND($A283&lt;&gt;"",ISNA(MATCH($AC283,'PRODUCT DATA'!$D$2:$D$394,0))),"This Item Code is not recognised. Check the code (case does not matter, but spelling and digits must match exactly) or choose it from the dropdown. ","")&amp;IF($M283="","Enter the Country after the Item Code - type or paste the name or the 2-letter code, or choose it from the dropdown. ","")&amp;IF(AND($M283&lt;&gt;"",NOT(OR(NOT(ISNA(MATCH(IF(UPPER($M283)="UK","GB",$M283),'PRODUCT DATA'!$A$2:$A$58,0))),NOT(ISNA(MATCH(IF(UPPER($M283)="UK","GB",$M283),'PRODUCT DATA'!$B$2:$B$58,0)))))),"This Country is not recognised as either a full name or a 2-letter code. Check the spelling (case does not matter) or choose it from the dropdown. ","")&amp;IF(AND($A283&lt;&gt;"",$M283&lt;&gt;"",NOT(ISNA(MATCH($AC283,'PRODUCT DATA'!$D$2:$D$394,0))),OR(NOT(ISNA(MATCH(IF(UPPER($M283)="UK","GB",$M283),'PRODUCT DATA'!$A$2:$A$58,0))),NOT(ISNA(MATCH(IF(UPPER($M283)="UK","GB",$M283),'PRODUCT DATA'!$B$2:$B$58,0)))),NOT(IFERROR(COUNTIF(OFFSET('PRODUCT DATA'!$F$2,0,MATCH($AC283,'PRODUCT DATA'!$F$1:$NN$1,0)-1,114,1),$N283)&gt;0,FALSE()))),IF(UPPER(IFERROR(OFFSET('PRODUCT DATA'!$C$2,MATCH($N283,'PRODUCT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"),"")&amp;IF($C283="","Enter Quantity. ","")&amp;IF(AND($C283&lt;&gt;"",OR(NOT(ISNUMBER($C283)),$C283&lt;1,$C283&gt;999,MOD($C283,1)&lt;&gt;0)),"Quantity must be a whole number from 1 to 999 (use a quantity above 1 only for a genuine bulk order of identical items to ONE address — otherwise use a separate row per recipient). ","")&amp;IF($D283="","Enter Recipient Name. ","")&amp;IF(LEN($D283)&gt;35,"Recipient Name exceeds 35 characters. ","")&amp;IF($E283="","Enter Recipient Phone. ","")&amp;IF(AND($E283&lt;&gt;"",OR(LEN($E283)&lt;6,LEN($E283)&gt;20,NOT(IFERROR(ISNUMBER(1*$E283),FALSE())))),"Phone must be the LOCAL number for the destination country: digits only, no +, spaces, or country code, 6 to 20 digits. ","")&amp;IF(LEN($F283)&gt;35,"Recipient Company Name exceeds 35 characters. ","")&amp;IF($G283="","Enter Address Line 1. ","")&amp;IF(LEN($G283)&gt;35,"Address Line 1 exceeds the 35-character SAP limit. ","")&amp;IF(LEN($H283)&gt;35,"Address Line 2 exceeds the 35-character SAP limit. ","")&amp;IF(LEN($I283)&gt;35,"Address Line 3 exceeds the 35-character SAP limit. ","")&amp;IF($J283="","Enter Town. This must never be left blank, even if there is no conventional town name. ","")&amp;IF(LEN($J283)&gt;35,"Town exceeds 35 characters. ","")&amp;IF(AND($N283="IE",$K283=""),"County is required for deliveries within the Republic of Ireland. ","")&amp;IF(LEN($AB283)&gt;35,"County exceeds 35 characters. ","")&amp;IF(AND($L283="",AND($N283&lt;&gt;"AE",$N283&lt;&gt;"QA")),"Postcode is required for the selected country. If there is genuinely no postcode, enter the first 3 characters of the area (e.g. D15). ","")&amp;IF(LEN($L283)&gt;35,"Postcode exceeds 35 characters. ","")&amp;IF($AE283&lt;&gt;"",$AE283,"")&amp;IF(LEN($O283)&gt;40,"Gift Message Line 1 exceeds 40 characters. ","")&amp;IF(LEN($P283)&gt;40,"Gift Message Line 2 exceeds 40 characters. ","")&amp;IF(LEN($Q283)&gt;40,"Gift Message Line 3 exceeds 40 characters. ","")&amp;IF(LEN($R283)&gt;40,"Gift Message Line 4 exceeds 40 characters. ","")&amp;IF(LEN($S283)&gt;40,"Gift Message Line 5 exceeds 40 characters. ","")&amp;IF(LEN($T283)&gt;40,"Gift Message Line 6 exceeds 40 characters. ","")&amp;IF(LEN($U283)&gt;40,"Gift Message Line 7 exceeds 40 characters. ",""))</f>
        <v/>
      </c>
      <c r="Y283" s="44" t="str">
        <f t="shared" si="17"/>
        <v/>
      </c>
      <c r="Z283" s="44"/>
      <c r="AA283" s="44"/>
      <c r="AB283" s="32" t="str">
        <f t="shared" si="18"/>
        <v/>
      </c>
      <c r="AC283" s="32" t="str">
        <f>IF($A283="","",IFERROR(LEFT(INDEX('PRODUCT DATA'!$NO$2:$NO$25,MATCH($A283,'PRODUCT DATA'!$NP$2:$NP$25,0)),FIND("|",INDEX('PRODUCT DATA'!$NO$2:$NO$25,MATCH($A283,'PRODUCT DATA'!$NP$2:$NP$25,0)))-1),$A283))</f>
        <v/>
      </c>
      <c r="AD283" s="45"/>
      <c r="AE283" s="45" t="str">
        <f t="shared" si="19"/>
        <v/>
      </c>
    </row>
    <row r="284" spans="1:31" ht="15" customHeight="1" x14ac:dyDescent="0.25">
      <c r="A284" s="40"/>
      <c r="B284" s="43" t="str">
        <f>IF($A284="","",IFERROR(VLOOKUP($AC284,'PRODUCT DATA'!$NR$2:$NS$374,2,FALSE()),"UNKNOWN ITEM CODE - please check"))</f>
        <v/>
      </c>
      <c r="C284" s="39">
        <v>1</v>
      </c>
      <c r="D284" s="39"/>
      <c r="E284" s="40"/>
      <c r="F284" s="41"/>
      <c r="G284" s="39"/>
      <c r="H284" s="41"/>
      <c r="I284" s="41"/>
      <c r="J284" s="39"/>
      <c r="K284" s="41"/>
      <c r="L284" s="40"/>
      <c r="M284" s="40"/>
      <c r="N284" s="42" t="str">
        <f>IF($M284="","",IFERROR(INDEX('PRODUCT DATA'!$B$2:$B$58,MATCH(IF(UPPER($M284)="UK","GB",$M284),'PRODUCT DATA'!$B$2:$B$58,0)),IFERROR(INDEX('PRODUCT DATA'!$B$2:$B$58,MATCH(IF(UPPER($M284)="UK","GB",$M284),'PRODUCT DATA'!$A$2:$A$58,0)),"UNKNOWN COUNTRY - please check")))</f>
        <v/>
      </c>
      <c r="O284" s="41"/>
      <c r="P284" s="41"/>
      <c r="Q284" s="41"/>
      <c r="R284" s="41"/>
      <c r="S284" s="41"/>
      <c r="T284" s="41"/>
      <c r="U284" s="41"/>
      <c r="V284" s="43" t="str">
        <f t="shared" si="16"/>
        <v/>
      </c>
      <c r="W284" s="44" t="str">
        <f ca="1">IF(COUNTA($A284,$D284:$M284,$O284:$U284)=0,"",IF($A284="","Item Code; ","")&amp;IF(AND($A284&lt;&gt;"",ISNA(MATCH($AC284,'PRODUCT DATA'!$D$2:$D$394,0))),"Item Code; ","")&amp;IF($M284="","Country; ","")&amp;IF(AND($M284&lt;&gt;"",NOT(OR(NOT(ISNA(MATCH(IF(UPPER($M284)="UK","GB",$M284),'PRODUCT DATA'!$A$2:$A$58,0))),NOT(ISNA(MATCH(IF(UPPER($M284)="UK","GB",$M284),'PRODUCT DATA'!$B$2:$B$58,0)))))),"Country; ","")&amp;IF(AND($A284&lt;&gt;"",$M284&lt;&gt;"",NOT(ISNA(MATCH($AC284,'PRODUCT DATA'!$D$2:$D$394,0))),OR(NOT(ISNA(MATCH(IF(UPPER($M284)="UK","GB",$M284),'PRODUCT DATA'!$A$2:$A$58,0))),NOT(ISNA(MATCH(IF(UPPER($M284)="UK","GB",$M284),'PRODUCT DATA'!$B$2:$B$58,0)))),NOT(IFERROR(COUNTIF(OFFSET('PRODUCT DATA'!$F$2,0,MATCH($AC284,'PRODUCT DATA'!$F$1:$NN$1,0)-1,114,1),$N284)&gt;0,FALSE()))),IF(UPPER(IFERROR(OFFSET('PRODUCT DATA'!$C$2,MATCH($N284,'PRODUCT DATA'!$B$2:$B$58,0)-1,0),""))="NO","Alcohol Restriction; ","Item Code / Country combination; "),"")&amp;IF($C284="","Quantity; ","")&amp;IF(AND($C284&lt;&gt;"",OR(NOT(ISNUMBER($C284)),$C284&lt;1,$C284&gt;999,MOD($C284,1)&lt;&gt;0)),"Quantity; ","")&amp;IF($D284="","Recipient Name; ","")&amp;IF(LEN($D284)&gt;35,"Recipient Name; ","")&amp;IF($E284="","Recipient Phone; ","")&amp;IF(AND($E284&lt;&gt;"",OR(LEN($E284)&lt;6,LEN($E284)&gt;20,NOT(IFERROR(ISNUMBER(1*$E284),FALSE())))),"Recipient Phone; ","")&amp;IF(LEN($F284)&gt;35,"Recipient Company Name; ","")&amp;IF($G284="","Address Line 1; ","")&amp;IF(LEN($G284)&gt;35,"Address Line 1; ","")&amp;IF(LEN($H284)&gt;35,"Address Line 2; ","")&amp;IF(LEN($I284)&gt;35,"Address Line 3; ","")&amp;IF($J284="","Town; ","")&amp;IF(LEN($J284)&gt;35,"Town; ","")&amp;IF(AND($N284="IE",$K284=""),"County; ","")&amp;IF(LEN($AB284)&gt;35,"County; ","")&amp;IF(AND($L284="",AND($N284&lt;&gt;"AE",$N284&lt;&gt;"QA")),"Postcode; ","")&amp;IF(LEN($L284)&gt;35,"Postcode; ","")&amp;IF($AE284&lt;&gt;"","Postcode; ","")&amp;IF(LEN($O284)&gt;40,"Gift Message 1; ","")&amp;IF(LEN($P284)&gt;40,"Gift Message 2; ","")&amp;IF(LEN($Q284)&gt;40,"Gift Message 3; ","")&amp;IF(LEN($R284)&gt;40,"Gift Message 4; ","")&amp;IF(LEN($S284)&gt;40,"Gift Message 5; ","")&amp;IF(LEN($T284)&gt;40,"Gift Message 6; ","")&amp;IF(LEN($U284)&gt;40,"Gift Message 7; ",""))</f>
        <v/>
      </c>
      <c r="X284" s="44" t="str">
        <f ca="1">IF(COUNTA($A284,$D284:$M284,$O284:$U284)=0,"",IF($A284="","Enter the Item Code (hamper) - type it, paste it, or choose it from the dropdown. ","")&amp;IF(AND($A284&lt;&gt;"",ISNA(MATCH($AC284,'PRODUCT DATA'!$D$2:$D$394,0))),"This Item Code is not recognised. Check the code (case does not matter, but spelling and digits must match exactly) or choose it from the dropdown. ","")&amp;IF($M284="","Enter the Country after the Item Code - type or paste the name or the 2-letter code, or choose it from the dropdown. ","")&amp;IF(AND($M284&lt;&gt;"",NOT(OR(NOT(ISNA(MATCH(IF(UPPER($M284)="UK","GB",$M284),'PRODUCT DATA'!$A$2:$A$58,0))),NOT(ISNA(MATCH(IF(UPPER($M284)="UK","GB",$M284),'PRODUCT DATA'!$B$2:$B$58,0)))))),"This Country is not recognised as either a full name or a 2-letter code. Check the spelling (case does not matter) or choose it from the dropdown. ","")&amp;IF(AND($A284&lt;&gt;"",$M284&lt;&gt;"",NOT(ISNA(MATCH($AC284,'PRODUCT DATA'!$D$2:$D$394,0))),OR(NOT(ISNA(MATCH(IF(UPPER($M284)="UK","GB",$M284),'PRODUCT DATA'!$A$2:$A$58,0))),NOT(ISNA(MATCH(IF(UPPER($M284)="UK","GB",$M284),'PRODUCT DATA'!$B$2:$B$58,0)))),NOT(IFERROR(COUNTIF(OFFSET('PRODUCT DATA'!$F$2,0,MATCH($AC284,'PRODUCT DATA'!$F$1:$NN$1,0)-1,114,1),$N284)&gt;0,FALSE()))),IF(UPPER(IFERROR(OFFSET('PRODUCT DATA'!$C$2,MATCH($N284,'PRODUCT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"),"")&amp;IF($C284="","Enter Quantity. ","")&amp;IF(AND($C284&lt;&gt;"",OR(NOT(ISNUMBER($C284)),$C284&lt;1,$C284&gt;999,MOD($C284,1)&lt;&gt;0)),"Quantity must be a whole number from 1 to 999 (use a quantity above 1 only for a genuine bulk order of identical items to ONE address — otherwise use a separate row per recipient). ","")&amp;IF($D284="","Enter Recipient Name. ","")&amp;IF(LEN($D284)&gt;35,"Recipient Name exceeds 35 characters. ","")&amp;IF($E284="","Enter Recipient Phone. ","")&amp;IF(AND($E284&lt;&gt;"",OR(LEN($E284)&lt;6,LEN($E284)&gt;20,NOT(IFERROR(ISNUMBER(1*$E284),FALSE())))),"Phone must be the LOCAL number for the destination country: digits only, no +, spaces, or country code, 6 to 20 digits. ","")&amp;IF(LEN($F284)&gt;35,"Recipient Company Name exceeds 35 characters. ","")&amp;IF($G284="","Enter Address Line 1. ","")&amp;IF(LEN($G284)&gt;35,"Address Line 1 exceeds the 35-character SAP limit. ","")&amp;IF(LEN($H284)&gt;35,"Address Line 2 exceeds the 35-character SAP limit. ","")&amp;IF(LEN($I284)&gt;35,"Address Line 3 exceeds the 35-character SAP limit. ","")&amp;IF($J284="","Enter Town. This must never be left blank, even if there is no conventional town name. ","")&amp;IF(LEN($J284)&gt;35,"Town exceeds 35 characters. ","")&amp;IF(AND($N284="IE",$K284=""),"County is required for deliveries within the Republic of Ireland. ","")&amp;IF(LEN($AB284)&gt;35,"County exceeds 35 characters. ","")&amp;IF(AND($L284="",AND($N284&lt;&gt;"AE",$N284&lt;&gt;"QA")),"Postcode is required for the selected country. If there is genuinely no postcode, enter the first 3 characters of the area (e.g. D15). ","")&amp;IF(LEN($L284)&gt;35,"Postcode exceeds 35 characters. ","")&amp;IF($AE284&lt;&gt;"",$AE284,"")&amp;IF(LEN($O284)&gt;40,"Gift Message Line 1 exceeds 40 characters. ","")&amp;IF(LEN($P284)&gt;40,"Gift Message Line 2 exceeds 40 characters. ","")&amp;IF(LEN($Q284)&gt;40,"Gift Message Line 3 exceeds 40 characters. ","")&amp;IF(LEN($R284)&gt;40,"Gift Message Line 4 exceeds 40 characters. ","")&amp;IF(LEN($S284)&gt;40,"Gift Message Line 5 exceeds 40 characters. ","")&amp;IF(LEN($T284)&gt;40,"Gift Message Line 6 exceeds 40 characters. ","")&amp;IF(LEN($U284)&gt;40,"Gift Message Line 7 exceeds 40 characters. ",""))</f>
        <v/>
      </c>
      <c r="Y284" s="44" t="str">
        <f t="shared" si="17"/>
        <v/>
      </c>
      <c r="Z284" s="44"/>
      <c r="AA284" s="44"/>
      <c r="AB284" s="32" t="str">
        <f t="shared" si="18"/>
        <v/>
      </c>
      <c r="AC284" s="32" t="str">
        <f>IF($A284="","",IFERROR(LEFT(INDEX('PRODUCT DATA'!$NO$2:$NO$25,MATCH($A284,'PRODUCT DATA'!$NP$2:$NP$25,0)),FIND("|",INDEX('PRODUCT DATA'!$NO$2:$NO$25,MATCH($A284,'PRODUCT DATA'!$NP$2:$NP$25,0)))-1),$A284))</f>
        <v/>
      </c>
      <c r="AD284" s="45"/>
      <c r="AE284" s="45" t="str">
        <f t="shared" si="19"/>
        <v/>
      </c>
    </row>
    <row r="285" spans="1:31" ht="15" customHeight="1" x14ac:dyDescent="0.25">
      <c r="A285" s="40"/>
      <c r="B285" s="43" t="str">
        <f>IF($A285="","",IFERROR(VLOOKUP($AC285,'PRODUCT DATA'!$NR$2:$NS$374,2,FALSE()),"UNKNOWN ITEM CODE - please check"))</f>
        <v/>
      </c>
      <c r="C285" s="39">
        <v>1</v>
      </c>
      <c r="D285" s="39"/>
      <c r="E285" s="40"/>
      <c r="F285" s="41"/>
      <c r="G285" s="39"/>
      <c r="H285" s="41"/>
      <c r="I285" s="41"/>
      <c r="J285" s="39"/>
      <c r="K285" s="41"/>
      <c r="L285" s="40"/>
      <c r="M285" s="40"/>
      <c r="N285" s="42" t="str">
        <f>IF($M285="","",IFERROR(INDEX('PRODUCT DATA'!$B$2:$B$58,MATCH(IF(UPPER($M285)="UK","GB",$M285),'PRODUCT DATA'!$B$2:$B$58,0)),IFERROR(INDEX('PRODUCT DATA'!$B$2:$B$58,MATCH(IF(UPPER($M285)="UK","GB",$M285),'PRODUCT DATA'!$A$2:$A$58,0)),"UNKNOWN COUNTRY - please check")))</f>
        <v/>
      </c>
      <c r="O285" s="41"/>
      <c r="P285" s="41"/>
      <c r="Q285" s="41"/>
      <c r="R285" s="41"/>
      <c r="S285" s="41"/>
      <c r="T285" s="41"/>
      <c r="U285" s="41"/>
      <c r="V285" s="43" t="str">
        <f t="shared" si="16"/>
        <v/>
      </c>
      <c r="W285" s="44" t="str">
        <f ca="1">IF(COUNTA($A285,$D285:$M285,$O285:$U285)=0,"",IF($A285="","Item Code; ","")&amp;IF(AND($A285&lt;&gt;"",ISNA(MATCH($AC285,'PRODUCT DATA'!$D$2:$D$394,0))),"Item Code; ","")&amp;IF($M285="","Country; ","")&amp;IF(AND($M285&lt;&gt;"",NOT(OR(NOT(ISNA(MATCH(IF(UPPER($M285)="UK","GB",$M285),'PRODUCT DATA'!$A$2:$A$58,0))),NOT(ISNA(MATCH(IF(UPPER($M285)="UK","GB",$M285),'PRODUCT DATA'!$B$2:$B$58,0)))))),"Country; ","")&amp;IF(AND($A285&lt;&gt;"",$M285&lt;&gt;"",NOT(ISNA(MATCH($AC285,'PRODUCT DATA'!$D$2:$D$394,0))),OR(NOT(ISNA(MATCH(IF(UPPER($M285)="UK","GB",$M285),'PRODUCT DATA'!$A$2:$A$58,0))),NOT(ISNA(MATCH(IF(UPPER($M285)="UK","GB",$M285),'PRODUCT DATA'!$B$2:$B$58,0)))),NOT(IFERROR(COUNTIF(OFFSET('PRODUCT DATA'!$F$2,0,MATCH($AC285,'PRODUCT DATA'!$F$1:$NN$1,0)-1,114,1),$N285)&gt;0,FALSE()))),IF(UPPER(IFERROR(OFFSET('PRODUCT DATA'!$C$2,MATCH($N285,'PRODUCT DATA'!$B$2:$B$58,0)-1,0),""))="NO","Alcohol Restriction; ","Item Code / Country combination; "),"")&amp;IF($C285="","Quantity; ","")&amp;IF(AND($C285&lt;&gt;"",OR(NOT(ISNUMBER($C285)),$C285&lt;1,$C285&gt;999,MOD($C285,1)&lt;&gt;0)),"Quantity; ","")&amp;IF($D285="","Recipient Name; ","")&amp;IF(LEN($D285)&gt;35,"Recipient Name; ","")&amp;IF($E285="","Recipient Phone; ","")&amp;IF(AND($E285&lt;&gt;"",OR(LEN($E285)&lt;6,LEN($E285)&gt;20,NOT(IFERROR(ISNUMBER(1*$E285),FALSE())))),"Recipient Phone; ","")&amp;IF(LEN($F285)&gt;35,"Recipient Company Name; ","")&amp;IF($G285="","Address Line 1; ","")&amp;IF(LEN($G285)&gt;35,"Address Line 1; ","")&amp;IF(LEN($H285)&gt;35,"Address Line 2; ","")&amp;IF(LEN($I285)&gt;35,"Address Line 3; ","")&amp;IF($J285="","Town; ","")&amp;IF(LEN($J285)&gt;35,"Town; ","")&amp;IF(AND($N285="IE",$K285=""),"County; ","")&amp;IF(LEN($AB285)&gt;35,"County; ","")&amp;IF(AND($L285="",AND($N285&lt;&gt;"AE",$N285&lt;&gt;"QA")),"Postcode; ","")&amp;IF(LEN($L285)&gt;35,"Postcode; ","")&amp;IF($AE285&lt;&gt;"","Postcode; ","")&amp;IF(LEN($O285)&gt;40,"Gift Message 1; ","")&amp;IF(LEN($P285)&gt;40,"Gift Message 2; ","")&amp;IF(LEN($Q285)&gt;40,"Gift Message 3; ","")&amp;IF(LEN($R285)&gt;40,"Gift Message 4; ","")&amp;IF(LEN($S285)&gt;40,"Gift Message 5; ","")&amp;IF(LEN($T285)&gt;40,"Gift Message 6; ","")&amp;IF(LEN($U285)&gt;40,"Gift Message 7; ",""))</f>
        <v/>
      </c>
      <c r="X285" s="44" t="str">
        <f ca="1">IF(COUNTA($A285,$D285:$M285,$O285:$U285)=0,"",IF($A285="","Enter the Item Code (hamper) - type it, paste it, or choose it from the dropdown. ","")&amp;IF(AND($A285&lt;&gt;"",ISNA(MATCH($AC285,'PRODUCT DATA'!$D$2:$D$394,0))),"This Item Code is not recognised. Check the code (case does not matter, but spelling and digits must match exactly) or choose it from the dropdown. ","")&amp;IF($M285="","Enter the Country after the Item Code - type or paste the name or the 2-letter code, or choose it from the dropdown. ","")&amp;IF(AND($M285&lt;&gt;"",NOT(OR(NOT(ISNA(MATCH(IF(UPPER($M285)="UK","GB",$M285),'PRODUCT DATA'!$A$2:$A$58,0))),NOT(ISNA(MATCH(IF(UPPER($M285)="UK","GB",$M285),'PRODUCT DATA'!$B$2:$B$58,0)))))),"This Country is not recognised as either a full name or a 2-letter code. Check the spelling (case does not matter) or choose it from the dropdown. ","")&amp;IF(AND($A285&lt;&gt;"",$M285&lt;&gt;"",NOT(ISNA(MATCH($AC285,'PRODUCT DATA'!$D$2:$D$394,0))),OR(NOT(ISNA(MATCH(IF(UPPER($M285)="UK","GB",$M285),'PRODUCT DATA'!$A$2:$A$58,0))),NOT(ISNA(MATCH(IF(UPPER($M285)="UK","GB",$M285),'PRODUCT DATA'!$B$2:$B$58,0)))),NOT(IFERROR(COUNTIF(OFFSET('PRODUCT DATA'!$F$2,0,MATCH($AC285,'PRODUCT DATA'!$F$1:$NN$1,0)-1,114,1),$N285)&gt;0,FALSE()))),IF(UPPER(IFERROR(OFFSET('PRODUCT DATA'!$C$2,MATCH($N285,'PRODUCT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"),"")&amp;IF($C285="","Enter Quantity. ","")&amp;IF(AND($C285&lt;&gt;"",OR(NOT(ISNUMBER($C285)),$C285&lt;1,$C285&gt;999,MOD($C285,1)&lt;&gt;0)),"Quantity must be a whole number from 1 to 999 (use a quantity above 1 only for a genuine bulk order of identical items to ONE address — otherwise use a separate row per recipient). ","")&amp;IF($D285="","Enter Recipient Name. ","")&amp;IF(LEN($D285)&gt;35,"Recipient Name exceeds 35 characters. ","")&amp;IF($E285="","Enter Recipient Phone. ","")&amp;IF(AND($E285&lt;&gt;"",OR(LEN($E285)&lt;6,LEN($E285)&gt;20,NOT(IFERROR(ISNUMBER(1*$E285),FALSE())))),"Phone must be the LOCAL number for the destination country: digits only, no +, spaces, or country code, 6 to 20 digits. ","")&amp;IF(LEN($F285)&gt;35,"Recipient Company Name exceeds 35 characters. ","")&amp;IF($G285="","Enter Address Line 1. ","")&amp;IF(LEN($G285)&gt;35,"Address Line 1 exceeds the 35-character SAP limit. ","")&amp;IF(LEN($H285)&gt;35,"Address Line 2 exceeds the 35-character SAP limit. ","")&amp;IF(LEN($I285)&gt;35,"Address Line 3 exceeds the 35-character SAP limit. ","")&amp;IF($J285="","Enter Town. This must never be left blank, even if there is no conventional town name. ","")&amp;IF(LEN($J285)&gt;35,"Town exceeds 35 characters. ","")&amp;IF(AND($N285="IE",$K285=""),"County is required for deliveries within the Republic of Ireland. ","")&amp;IF(LEN($AB285)&gt;35,"County exceeds 35 characters. ","")&amp;IF(AND($L285="",AND($N285&lt;&gt;"AE",$N285&lt;&gt;"QA")),"Postcode is required for the selected country. If there is genuinely no postcode, enter the first 3 characters of the area (e.g. D15). ","")&amp;IF(LEN($L285)&gt;35,"Postcode exceeds 35 characters. ","")&amp;IF($AE285&lt;&gt;"",$AE285,"")&amp;IF(LEN($O285)&gt;40,"Gift Message Line 1 exceeds 40 characters. ","")&amp;IF(LEN($P285)&gt;40,"Gift Message Line 2 exceeds 40 characters. ","")&amp;IF(LEN($Q285)&gt;40,"Gift Message Line 3 exceeds 40 characters. ","")&amp;IF(LEN($R285)&gt;40,"Gift Message Line 4 exceeds 40 characters. ","")&amp;IF(LEN($S285)&gt;40,"Gift Message Line 5 exceeds 40 characters. ","")&amp;IF(LEN($T285)&gt;40,"Gift Message Line 6 exceeds 40 characters. ","")&amp;IF(LEN($U285)&gt;40,"Gift Message Line 7 exceeds 40 characters. ",""))</f>
        <v/>
      </c>
      <c r="Y285" s="44" t="str">
        <f t="shared" si="17"/>
        <v/>
      </c>
      <c r="Z285" s="44"/>
      <c r="AA285" s="44"/>
      <c r="AB285" s="32" t="str">
        <f t="shared" si="18"/>
        <v/>
      </c>
      <c r="AC285" s="32" t="str">
        <f>IF($A285="","",IFERROR(LEFT(INDEX('PRODUCT DATA'!$NO$2:$NO$25,MATCH($A285,'PRODUCT DATA'!$NP$2:$NP$25,0)),FIND("|",INDEX('PRODUCT DATA'!$NO$2:$NO$25,MATCH($A285,'PRODUCT DATA'!$NP$2:$NP$25,0)))-1),$A285))</f>
        <v/>
      </c>
      <c r="AD285" s="45"/>
      <c r="AE285" s="45" t="str">
        <f t="shared" si="19"/>
        <v/>
      </c>
    </row>
    <row r="286" spans="1:31" ht="15" customHeight="1" x14ac:dyDescent="0.25">
      <c r="A286" s="40"/>
      <c r="B286" s="43" t="str">
        <f>IF($A286="","",IFERROR(VLOOKUP($AC286,'PRODUCT DATA'!$NR$2:$NS$374,2,FALSE()),"UNKNOWN ITEM CODE - please check"))</f>
        <v/>
      </c>
      <c r="C286" s="39">
        <v>1</v>
      </c>
      <c r="D286" s="39"/>
      <c r="E286" s="40"/>
      <c r="F286" s="41"/>
      <c r="G286" s="39"/>
      <c r="H286" s="41"/>
      <c r="I286" s="41"/>
      <c r="J286" s="39"/>
      <c r="K286" s="41"/>
      <c r="L286" s="40"/>
      <c r="M286" s="40"/>
      <c r="N286" s="42" t="str">
        <f>IF($M286="","",IFERROR(INDEX('PRODUCT DATA'!$B$2:$B$58,MATCH(IF(UPPER($M286)="UK","GB",$M286),'PRODUCT DATA'!$B$2:$B$58,0)),IFERROR(INDEX('PRODUCT DATA'!$B$2:$B$58,MATCH(IF(UPPER($M286)="UK","GB",$M286),'PRODUCT DATA'!$A$2:$A$58,0)),"UNKNOWN COUNTRY - please check")))</f>
        <v/>
      </c>
      <c r="O286" s="41"/>
      <c r="P286" s="41"/>
      <c r="Q286" s="41"/>
      <c r="R286" s="41"/>
      <c r="S286" s="41"/>
      <c r="T286" s="41"/>
      <c r="U286" s="41"/>
      <c r="V286" s="43" t="str">
        <f t="shared" si="16"/>
        <v/>
      </c>
      <c r="W286" s="44" t="str">
        <f ca="1">IF(COUNTA($A286,$D286:$M286,$O286:$U286)=0,"",IF($A286="","Item Code; ","")&amp;IF(AND($A286&lt;&gt;"",ISNA(MATCH($AC286,'PRODUCT DATA'!$D$2:$D$394,0))),"Item Code; ","")&amp;IF($M286="","Country; ","")&amp;IF(AND($M286&lt;&gt;"",NOT(OR(NOT(ISNA(MATCH(IF(UPPER($M286)="UK","GB",$M286),'PRODUCT DATA'!$A$2:$A$58,0))),NOT(ISNA(MATCH(IF(UPPER($M286)="UK","GB",$M286),'PRODUCT DATA'!$B$2:$B$58,0)))))),"Country; ","")&amp;IF(AND($A286&lt;&gt;"",$M286&lt;&gt;"",NOT(ISNA(MATCH($AC286,'PRODUCT DATA'!$D$2:$D$394,0))),OR(NOT(ISNA(MATCH(IF(UPPER($M286)="UK","GB",$M286),'PRODUCT DATA'!$A$2:$A$58,0))),NOT(ISNA(MATCH(IF(UPPER($M286)="UK","GB",$M286),'PRODUCT DATA'!$B$2:$B$58,0)))),NOT(IFERROR(COUNTIF(OFFSET('PRODUCT DATA'!$F$2,0,MATCH($AC286,'PRODUCT DATA'!$F$1:$NN$1,0)-1,114,1),$N286)&gt;0,FALSE()))),IF(UPPER(IFERROR(OFFSET('PRODUCT DATA'!$C$2,MATCH($N286,'PRODUCT DATA'!$B$2:$B$58,0)-1,0),""))="NO","Alcohol Restriction; ","Item Code / Country combination; "),"")&amp;IF($C286="","Quantity; ","")&amp;IF(AND($C286&lt;&gt;"",OR(NOT(ISNUMBER($C286)),$C286&lt;1,$C286&gt;999,MOD($C286,1)&lt;&gt;0)),"Quantity; ","")&amp;IF($D286="","Recipient Name; ","")&amp;IF(LEN($D286)&gt;35,"Recipient Name; ","")&amp;IF($E286="","Recipient Phone; ","")&amp;IF(AND($E286&lt;&gt;"",OR(LEN($E286)&lt;6,LEN($E286)&gt;20,NOT(IFERROR(ISNUMBER(1*$E286),FALSE())))),"Recipient Phone; ","")&amp;IF(LEN($F286)&gt;35,"Recipient Company Name; ","")&amp;IF($G286="","Address Line 1; ","")&amp;IF(LEN($G286)&gt;35,"Address Line 1; ","")&amp;IF(LEN($H286)&gt;35,"Address Line 2; ","")&amp;IF(LEN($I286)&gt;35,"Address Line 3; ","")&amp;IF($J286="","Town; ","")&amp;IF(LEN($J286)&gt;35,"Town; ","")&amp;IF(AND($N286="IE",$K286=""),"County; ","")&amp;IF(LEN($AB286)&gt;35,"County; ","")&amp;IF(AND($L286="",AND($N286&lt;&gt;"AE",$N286&lt;&gt;"QA")),"Postcode; ","")&amp;IF(LEN($L286)&gt;35,"Postcode; ","")&amp;IF($AE286&lt;&gt;"","Postcode; ","")&amp;IF(LEN($O286)&gt;40,"Gift Message 1; ","")&amp;IF(LEN($P286)&gt;40,"Gift Message 2; ","")&amp;IF(LEN($Q286)&gt;40,"Gift Message 3; ","")&amp;IF(LEN($R286)&gt;40,"Gift Message 4; ","")&amp;IF(LEN($S286)&gt;40,"Gift Message 5; ","")&amp;IF(LEN($T286)&gt;40,"Gift Message 6; ","")&amp;IF(LEN($U286)&gt;40,"Gift Message 7; ",""))</f>
        <v/>
      </c>
      <c r="X286" s="44" t="str">
        <f ca="1">IF(COUNTA($A286,$D286:$M286,$O286:$U286)=0,"",IF($A286="","Enter the Item Code (hamper) - type it, paste it, or choose it from the dropdown. ","")&amp;IF(AND($A286&lt;&gt;"",ISNA(MATCH($AC286,'PRODUCT DATA'!$D$2:$D$394,0))),"This Item Code is not recognised. Check the code (case does not matter, but spelling and digits must match exactly) or choose it from the dropdown. ","")&amp;IF($M286="","Enter the Country after the Item Code - type or paste the name or the 2-letter code, or choose it from the dropdown. ","")&amp;IF(AND($M286&lt;&gt;"",NOT(OR(NOT(ISNA(MATCH(IF(UPPER($M286)="UK","GB",$M286),'PRODUCT DATA'!$A$2:$A$58,0))),NOT(ISNA(MATCH(IF(UPPER($M286)="UK","GB",$M286),'PRODUCT DATA'!$B$2:$B$58,0)))))),"This Country is not recognised as either a full name or a 2-letter code. Check the spelling (case does not matter) or choose it from the dropdown. ","")&amp;IF(AND($A286&lt;&gt;"",$M286&lt;&gt;"",NOT(ISNA(MATCH($AC286,'PRODUCT DATA'!$D$2:$D$394,0))),OR(NOT(ISNA(MATCH(IF(UPPER($M286)="UK","GB",$M286),'PRODUCT DATA'!$A$2:$A$58,0))),NOT(ISNA(MATCH(IF(UPPER($M286)="UK","GB",$M286),'PRODUCT DATA'!$B$2:$B$58,0)))),NOT(IFERROR(COUNTIF(OFFSET('PRODUCT DATA'!$F$2,0,MATCH($AC286,'PRODUCT DATA'!$F$1:$NN$1,0)-1,114,1),$N286)&gt;0,FALSE()))),IF(UPPER(IFERROR(OFFSET('PRODUCT DATA'!$C$2,MATCH($N286,'PRODUCT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"),"")&amp;IF($C286="","Enter Quantity. ","")&amp;IF(AND($C286&lt;&gt;"",OR(NOT(ISNUMBER($C286)),$C286&lt;1,$C286&gt;999,MOD($C286,1)&lt;&gt;0)),"Quantity must be a whole number from 1 to 999 (use a quantity above 1 only for a genuine bulk order of identical items to ONE address — otherwise use a separate row per recipient). ","")&amp;IF($D286="","Enter Recipient Name. ","")&amp;IF(LEN($D286)&gt;35,"Recipient Name exceeds 35 characters. ","")&amp;IF($E286="","Enter Recipient Phone. ","")&amp;IF(AND($E286&lt;&gt;"",OR(LEN($E286)&lt;6,LEN($E286)&gt;20,NOT(IFERROR(ISNUMBER(1*$E286),FALSE())))),"Phone must be the LOCAL number for the destination country: digits only, no +, spaces, or country code, 6 to 20 digits. ","")&amp;IF(LEN($F286)&gt;35,"Recipient Company Name exceeds 35 characters. ","")&amp;IF($G286="","Enter Address Line 1. ","")&amp;IF(LEN($G286)&gt;35,"Address Line 1 exceeds the 35-character SAP limit. ","")&amp;IF(LEN($H286)&gt;35,"Address Line 2 exceeds the 35-character SAP limit. ","")&amp;IF(LEN($I286)&gt;35,"Address Line 3 exceeds the 35-character SAP limit. ","")&amp;IF($J286="","Enter Town. This must never be left blank, even if there is no conventional town name. ","")&amp;IF(LEN($J286)&gt;35,"Town exceeds 35 characters. ","")&amp;IF(AND($N286="IE",$K286=""),"County is required for deliveries within the Republic of Ireland. ","")&amp;IF(LEN($AB286)&gt;35,"County exceeds 35 characters. ","")&amp;IF(AND($L286="",AND($N286&lt;&gt;"AE",$N286&lt;&gt;"QA")),"Postcode is required for the selected country. If there is genuinely no postcode, enter the first 3 characters of the area (e.g. D15). ","")&amp;IF(LEN($L286)&gt;35,"Postcode exceeds 35 characters. ","")&amp;IF($AE286&lt;&gt;"",$AE286,"")&amp;IF(LEN($O286)&gt;40,"Gift Message Line 1 exceeds 40 characters. ","")&amp;IF(LEN($P286)&gt;40,"Gift Message Line 2 exceeds 40 characters. ","")&amp;IF(LEN($Q286)&gt;40,"Gift Message Line 3 exceeds 40 characters. ","")&amp;IF(LEN($R286)&gt;40,"Gift Message Line 4 exceeds 40 characters. ","")&amp;IF(LEN($S286)&gt;40,"Gift Message Line 5 exceeds 40 characters. ","")&amp;IF(LEN($T286)&gt;40,"Gift Message Line 6 exceeds 40 characters. ","")&amp;IF(LEN($U286)&gt;40,"Gift Message Line 7 exceeds 40 characters. ",""))</f>
        <v/>
      </c>
      <c r="Y286" s="44" t="str">
        <f t="shared" si="17"/>
        <v/>
      </c>
      <c r="Z286" s="44"/>
      <c r="AA286" s="44"/>
      <c r="AB286" s="32" t="str">
        <f t="shared" si="18"/>
        <v/>
      </c>
      <c r="AC286" s="32" t="str">
        <f>IF($A286="","",IFERROR(LEFT(INDEX('PRODUCT DATA'!$NO$2:$NO$25,MATCH($A286,'PRODUCT DATA'!$NP$2:$NP$25,0)),FIND("|",INDEX('PRODUCT DATA'!$NO$2:$NO$25,MATCH($A286,'PRODUCT DATA'!$NP$2:$NP$25,0)))-1),$A286))</f>
        <v/>
      </c>
      <c r="AD286" s="45"/>
      <c r="AE286" s="45" t="str">
        <f t="shared" si="19"/>
        <v/>
      </c>
    </row>
    <row r="287" spans="1:31" ht="15" customHeight="1" x14ac:dyDescent="0.25">
      <c r="A287" s="40"/>
      <c r="B287" s="43" t="str">
        <f>IF($A287="","",IFERROR(VLOOKUP($AC287,'PRODUCT DATA'!$NR$2:$NS$374,2,FALSE()),"UNKNOWN ITEM CODE - please check"))</f>
        <v/>
      </c>
      <c r="C287" s="39">
        <v>1</v>
      </c>
      <c r="D287" s="39"/>
      <c r="E287" s="40"/>
      <c r="F287" s="41"/>
      <c r="G287" s="39"/>
      <c r="H287" s="41"/>
      <c r="I287" s="41"/>
      <c r="J287" s="39"/>
      <c r="K287" s="41"/>
      <c r="L287" s="40"/>
      <c r="M287" s="40"/>
      <c r="N287" s="42" t="str">
        <f>IF($M287="","",IFERROR(INDEX('PRODUCT DATA'!$B$2:$B$58,MATCH(IF(UPPER($M287)="UK","GB",$M287),'PRODUCT DATA'!$B$2:$B$58,0)),IFERROR(INDEX('PRODUCT DATA'!$B$2:$B$58,MATCH(IF(UPPER($M287)="UK","GB",$M287),'PRODUCT DATA'!$A$2:$A$58,0)),"UNKNOWN COUNTRY - please check")))</f>
        <v/>
      </c>
      <c r="O287" s="41"/>
      <c r="P287" s="41"/>
      <c r="Q287" s="41"/>
      <c r="R287" s="41"/>
      <c r="S287" s="41"/>
      <c r="T287" s="41"/>
      <c r="U287" s="41"/>
      <c r="V287" s="43" t="str">
        <f t="shared" si="16"/>
        <v/>
      </c>
      <c r="W287" s="44" t="str">
        <f ca="1">IF(COUNTA($A287,$D287:$M287,$O287:$U287)=0,"",IF($A287="","Item Code; ","")&amp;IF(AND($A287&lt;&gt;"",ISNA(MATCH($AC287,'PRODUCT DATA'!$D$2:$D$394,0))),"Item Code; ","")&amp;IF($M287="","Country; ","")&amp;IF(AND($M287&lt;&gt;"",NOT(OR(NOT(ISNA(MATCH(IF(UPPER($M287)="UK","GB",$M287),'PRODUCT DATA'!$A$2:$A$58,0))),NOT(ISNA(MATCH(IF(UPPER($M287)="UK","GB",$M287),'PRODUCT DATA'!$B$2:$B$58,0)))))),"Country; ","")&amp;IF(AND($A287&lt;&gt;"",$M287&lt;&gt;"",NOT(ISNA(MATCH($AC287,'PRODUCT DATA'!$D$2:$D$394,0))),OR(NOT(ISNA(MATCH(IF(UPPER($M287)="UK","GB",$M287),'PRODUCT DATA'!$A$2:$A$58,0))),NOT(ISNA(MATCH(IF(UPPER($M287)="UK","GB",$M287),'PRODUCT DATA'!$B$2:$B$58,0)))),NOT(IFERROR(COUNTIF(OFFSET('PRODUCT DATA'!$F$2,0,MATCH($AC287,'PRODUCT DATA'!$F$1:$NN$1,0)-1,114,1),$N287)&gt;0,FALSE()))),IF(UPPER(IFERROR(OFFSET('PRODUCT DATA'!$C$2,MATCH($N287,'PRODUCT DATA'!$B$2:$B$58,0)-1,0),""))="NO","Alcohol Restriction; ","Item Code / Country combination; "),"")&amp;IF($C287="","Quantity; ","")&amp;IF(AND($C287&lt;&gt;"",OR(NOT(ISNUMBER($C287)),$C287&lt;1,$C287&gt;999,MOD($C287,1)&lt;&gt;0)),"Quantity; ","")&amp;IF($D287="","Recipient Name; ","")&amp;IF(LEN($D287)&gt;35,"Recipient Name; ","")&amp;IF($E287="","Recipient Phone; ","")&amp;IF(AND($E287&lt;&gt;"",OR(LEN($E287)&lt;6,LEN($E287)&gt;20,NOT(IFERROR(ISNUMBER(1*$E287),FALSE())))),"Recipient Phone; ","")&amp;IF(LEN($F287)&gt;35,"Recipient Company Name; ","")&amp;IF($G287="","Address Line 1; ","")&amp;IF(LEN($G287)&gt;35,"Address Line 1; ","")&amp;IF(LEN($H287)&gt;35,"Address Line 2; ","")&amp;IF(LEN($I287)&gt;35,"Address Line 3; ","")&amp;IF($J287="","Town; ","")&amp;IF(LEN($J287)&gt;35,"Town; ","")&amp;IF(AND($N287="IE",$K287=""),"County; ","")&amp;IF(LEN($AB287)&gt;35,"County; ","")&amp;IF(AND($L287="",AND($N287&lt;&gt;"AE",$N287&lt;&gt;"QA")),"Postcode; ","")&amp;IF(LEN($L287)&gt;35,"Postcode; ","")&amp;IF($AE287&lt;&gt;"","Postcode; ","")&amp;IF(LEN($O287)&gt;40,"Gift Message 1; ","")&amp;IF(LEN($P287)&gt;40,"Gift Message 2; ","")&amp;IF(LEN($Q287)&gt;40,"Gift Message 3; ","")&amp;IF(LEN($R287)&gt;40,"Gift Message 4; ","")&amp;IF(LEN($S287)&gt;40,"Gift Message 5; ","")&amp;IF(LEN($T287)&gt;40,"Gift Message 6; ","")&amp;IF(LEN($U287)&gt;40,"Gift Message 7; ",""))</f>
        <v/>
      </c>
      <c r="X287" s="44" t="str">
        <f ca="1">IF(COUNTA($A287,$D287:$M287,$O287:$U287)=0,"",IF($A287="","Enter the Item Code (hamper) - type it, paste it, or choose it from the dropdown. ","")&amp;IF(AND($A287&lt;&gt;"",ISNA(MATCH($AC287,'PRODUCT DATA'!$D$2:$D$394,0))),"This Item Code is not recognised. Check the code (case does not matter, but spelling and digits must match exactly) or choose it from the dropdown. ","")&amp;IF($M287="","Enter the Country after the Item Code - type or paste the name or the 2-letter code, or choose it from the dropdown. ","")&amp;IF(AND($M287&lt;&gt;"",NOT(OR(NOT(ISNA(MATCH(IF(UPPER($M287)="UK","GB",$M287),'PRODUCT DATA'!$A$2:$A$58,0))),NOT(ISNA(MATCH(IF(UPPER($M287)="UK","GB",$M287),'PRODUCT DATA'!$B$2:$B$58,0)))))),"This Country is not recognised as either a full name or a 2-letter code. Check the spelling (case does not matter) or choose it from the dropdown. ","")&amp;IF(AND($A287&lt;&gt;"",$M287&lt;&gt;"",NOT(ISNA(MATCH($AC287,'PRODUCT DATA'!$D$2:$D$394,0))),OR(NOT(ISNA(MATCH(IF(UPPER($M287)="UK","GB",$M287),'PRODUCT DATA'!$A$2:$A$58,0))),NOT(ISNA(MATCH(IF(UPPER($M287)="UK","GB",$M287),'PRODUCT DATA'!$B$2:$B$58,0)))),NOT(IFERROR(COUNTIF(OFFSET('PRODUCT DATA'!$F$2,0,MATCH($AC287,'PRODUCT DATA'!$F$1:$NN$1,0)-1,114,1),$N287)&gt;0,FALSE()))),IF(UPPER(IFERROR(OFFSET('PRODUCT DATA'!$C$2,MATCH($N287,'PRODUCT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"),"")&amp;IF($C287="","Enter Quantity. ","")&amp;IF(AND($C287&lt;&gt;"",OR(NOT(ISNUMBER($C287)),$C287&lt;1,$C287&gt;999,MOD($C287,1)&lt;&gt;0)),"Quantity must be a whole number from 1 to 999 (use a quantity above 1 only for a genuine bulk order of identical items to ONE address — otherwise use a separate row per recipient). ","")&amp;IF($D287="","Enter Recipient Name. ","")&amp;IF(LEN($D287)&gt;35,"Recipient Name exceeds 35 characters. ","")&amp;IF($E287="","Enter Recipient Phone. ","")&amp;IF(AND($E287&lt;&gt;"",OR(LEN($E287)&lt;6,LEN($E287)&gt;20,NOT(IFERROR(ISNUMBER(1*$E287),FALSE())))),"Phone must be the LOCAL number for the destination country: digits only, no +, spaces, or country code, 6 to 20 digits. ","")&amp;IF(LEN($F287)&gt;35,"Recipient Company Name exceeds 35 characters. ","")&amp;IF($G287="","Enter Address Line 1. ","")&amp;IF(LEN($G287)&gt;35,"Address Line 1 exceeds the 35-character SAP limit. ","")&amp;IF(LEN($H287)&gt;35,"Address Line 2 exceeds the 35-character SAP limit. ","")&amp;IF(LEN($I287)&gt;35,"Address Line 3 exceeds the 35-character SAP limit. ","")&amp;IF($J287="","Enter Town. This must never be left blank, even if there is no conventional town name. ","")&amp;IF(LEN($J287)&gt;35,"Town exceeds 35 characters. ","")&amp;IF(AND($N287="IE",$K287=""),"County is required for deliveries within the Republic of Ireland. ","")&amp;IF(LEN($AB287)&gt;35,"County exceeds 35 characters. ","")&amp;IF(AND($L287="",AND($N287&lt;&gt;"AE",$N287&lt;&gt;"QA")),"Postcode is required for the selected country. If there is genuinely no postcode, enter the first 3 characters of the area (e.g. D15). ","")&amp;IF(LEN($L287)&gt;35,"Postcode exceeds 35 characters. ","")&amp;IF($AE287&lt;&gt;"",$AE287,"")&amp;IF(LEN($O287)&gt;40,"Gift Message Line 1 exceeds 40 characters. ","")&amp;IF(LEN($P287)&gt;40,"Gift Message Line 2 exceeds 40 characters. ","")&amp;IF(LEN($Q287)&gt;40,"Gift Message Line 3 exceeds 40 characters. ","")&amp;IF(LEN($R287)&gt;40,"Gift Message Line 4 exceeds 40 characters. ","")&amp;IF(LEN($S287)&gt;40,"Gift Message Line 5 exceeds 40 characters. ","")&amp;IF(LEN($T287)&gt;40,"Gift Message Line 6 exceeds 40 characters. ","")&amp;IF(LEN($U287)&gt;40,"Gift Message Line 7 exceeds 40 characters. ",""))</f>
        <v/>
      </c>
      <c r="Y287" s="44" t="str">
        <f t="shared" si="17"/>
        <v/>
      </c>
      <c r="Z287" s="44"/>
      <c r="AA287" s="44"/>
      <c r="AB287" s="32" t="str">
        <f t="shared" si="18"/>
        <v/>
      </c>
      <c r="AC287" s="32" t="str">
        <f>IF($A287="","",IFERROR(LEFT(INDEX('PRODUCT DATA'!$NO$2:$NO$25,MATCH($A287,'PRODUCT DATA'!$NP$2:$NP$25,0)),FIND("|",INDEX('PRODUCT DATA'!$NO$2:$NO$25,MATCH($A287,'PRODUCT DATA'!$NP$2:$NP$25,0)))-1),$A287))</f>
        <v/>
      </c>
      <c r="AD287" s="45"/>
      <c r="AE287" s="45" t="str">
        <f t="shared" si="19"/>
        <v/>
      </c>
    </row>
    <row r="288" spans="1:31" ht="15" customHeight="1" x14ac:dyDescent="0.25">
      <c r="A288" s="40"/>
      <c r="B288" s="43" t="str">
        <f>IF($A288="","",IFERROR(VLOOKUP($AC288,'PRODUCT DATA'!$NR$2:$NS$374,2,FALSE()),"UNKNOWN ITEM CODE - please check"))</f>
        <v/>
      </c>
      <c r="C288" s="39">
        <v>1</v>
      </c>
      <c r="D288" s="39"/>
      <c r="E288" s="40"/>
      <c r="F288" s="41"/>
      <c r="G288" s="39"/>
      <c r="H288" s="41"/>
      <c r="I288" s="41"/>
      <c r="J288" s="39"/>
      <c r="K288" s="41"/>
      <c r="L288" s="40"/>
      <c r="M288" s="40"/>
      <c r="N288" s="42" t="str">
        <f>IF($M288="","",IFERROR(INDEX('PRODUCT DATA'!$B$2:$B$58,MATCH(IF(UPPER($M288)="UK","GB",$M288),'PRODUCT DATA'!$B$2:$B$58,0)),IFERROR(INDEX('PRODUCT DATA'!$B$2:$B$58,MATCH(IF(UPPER($M288)="UK","GB",$M288),'PRODUCT DATA'!$A$2:$A$58,0)),"UNKNOWN COUNTRY - please check")))</f>
        <v/>
      </c>
      <c r="O288" s="41"/>
      <c r="P288" s="41"/>
      <c r="Q288" s="41"/>
      <c r="R288" s="41"/>
      <c r="S288" s="41"/>
      <c r="T288" s="41"/>
      <c r="U288" s="41"/>
      <c r="V288" s="43" t="str">
        <f t="shared" si="16"/>
        <v/>
      </c>
      <c r="W288" s="44" t="str">
        <f ca="1">IF(COUNTA($A288,$D288:$M288,$O288:$U288)=0,"",IF($A288="","Item Code; ","")&amp;IF(AND($A288&lt;&gt;"",ISNA(MATCH($AC288,'PRODUCT DATA'!$D$2:$D$394,0))),"Item Code; ","")&amp;IF($M288="","Country; ","")&amp;IF(AND($M288&lt;&gt;"",NOT(OR(NOT(ISNA(MATCH(IF(UPPER($M288)="UK","GB",$M288),'PRODUCT DATA'!$A$2:$A$58,0))),NOT(ISNA(MATCH(IF(UPPER($M288)="UK","GB",$M288),'PRODUCT DATA'!$B$2:$B$58,0)))))),"Country; ","")&amp;IF(AND($A288&lt;&gt;"",$M288&lt;&gt;"",NOT(ISNA(MATCH($AC288,'PRODUCT DATA'!$D$2:$D$394,0))),OR(NOT(ISNA(MATCH(IF(UPPER($M288)="UK","GB",$M288),'PRODUCT DATA'!$A$2:$A$58,0))),NOT(ISNA(MATCH(IF(UPPER($M288)="UK","GB",$M288),'PRODUCT DATA'!$B$2:$B$58,0)))),NOT(IFERROR(COUNTIF(OFFSET('PRODUCT DATA'!$F$2,0,MATCH($AC288,'PRODUCT DATA'!$F$1:$NN$1,0)-1,114,1),$N288)&gt;0,FALSE()))),IF(UPPER(IFERROR(OFFSET('PRODUCT DATA'!$C$2,MATCH($N288,'PRODUCT DATA'!$B$2:$B$58,0)-1,0),""))="NO","Alcohol Restriction; ","Item Code / Country combination; "),"")&amp;IF($C288="","Quantity; ","")&amp;IF(AND($C288&lt;&gt;"",OR(NOT(ISNUMBER($C288)),$C288&lt;1,$C288&gt;999,MOD($C288,1)&lt;&gt;0)),"Quantity; ","")&amp;IF($D288="","Recipient Name; ","")&amp;IF(LEN($D288)&gt;35,"Recipient Name; ","")&amp;IF($E288="","Recipient Phone; ","")&amp;IF(AND($E288&lt;&gt;"",OR(LEN($E288)&lt;6,LEN($E288)&gt;20,NOT(IFERROR(ISNUMBER(1*$E288),FALSE())))),"Recipient Phone; ","")&amp;IF(LEN($F288)&gt;35,"Recipient Company Name; ","")&amp;IF($G288="","Address Line 1; ","")&amp;IF(LEN($G288)&gt;35,"Address Line 1; ","")&amp;IF(LEN($H288)&gt;35,"Address Line 2; ","")&amp;IF(LEN($I288)&gt;35,"Address Line 3; ","")&amp;IF($J288="","Town; ","")&amp;IF(LEN($J288)&gt;35,"Town; ","")&amp;IF(AND($N288="IE",$K288=""),"County; ","")&amp;IF(LEN($AB288)&gt;35,"County; ","")&amp;IF(AND($L288="",AND($N288&lt;&gt;"AE",$N288&lt;&gt;"QA")),"Postcode; ","")&amp;IF(LEN($L288)&gt;35,"Postcode; ","")&amp;IF($AE288&lt;&gt;"","Postcode; ","")&amp;IF(LEN($O288)&gt;40,"Gift Message 1; ","")&amp;IF(LEN($P288)&gt;40,"Gift Message 2; ","")&amp;IF(LEN($Q288)&gt;40,"Gift Message 3; ","")&amp;IF(LEN($R288)&gt;40,"Gift Message 4; ","")&amp;IF(LEN($S288)&gt;40,"Gift Message 5; ","")&amp;IF(LEN($T288)&gt;40,"Gift Message 6; ","")&amp;IF(LEN($U288)&gt;40,"Gift Message 7; ",""))</f>
        <v/>
      </c>
      <c r="X288" s="44" t="str">
        <f ca="1">IF(COUNTA($A288,$D288:$M288,$O288:$U288)=0,"",IF($A288="","Enter the Item Code (hamper) - type it, paste it, or choose it from the dropdown. ","")&amp;IF(AND($A288&lt;&gt;"",ISNA(MATCH($AC288,'PRODUCT DATA'!$D$2:$D$394,0))),"This Item Code is not recognised. Check the code (case does not matter, but spelling and digits must match exactly) or choose it from the dropdown. ","")&amp;IF($M288="","Enter the Country after the Item Code - type or paste the name or the 2-letter code, or choose it from the dropdown. ","")&amp;IF(AND($M288&lt;&gt;"",NOT(OR(NOT(ISNA(MATCH(IF(UPPER($M288)="UK","GB",$M288),'PRODUCT DATA'!$A$2:$A$58,0))),NOT(ISNA(MATCH(IF(UPPER($M288)="UK","GB",$M288),'PRODUCT DATA'!$B$2:$B$58,0)))))),"This Country is not recognised as either a full name or a 2-letter code. Check the spelling (case does not matter) or choose it from the dropdown. ","")&amp;IF(AND($A288&lt;&gt;"",$M288&lt;&gt;"",NOT(ISNA(MATCH($AC288,'PRODUCT DATA'!$D$2:$D$394,0))),OR(NOT(ISNA(MATCH(IF(UPPER($M288)="UK","GB",$M288),'PRODUCT DATA'!$A$2:$A$58,0))),NOT(ISNA(MATCH(IF(UPPER($M288)="UK","GB",$M288),'PRODUCT DATA'!$B$2:$B$58,0)))),NOT(IFERROR(COUNTIF(OFFSET('PRODUCT DATA'!$F$2,0,MATCH($AC288,'PRODUCT DATA'!$F$1:$NN$1,0)-1,114,1),$N288)&gt;0,FALSE()))),IF(UPPER(IFERROR(OFFSET('PRODUCT DATA'!$C$2,MATCH($N288,'PRODUCT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"),"")&amp;IF($C288="","Enter Quantity. ","")&amp;IF(AND($C288&lt;&gt;"",OR(NOT(ISNUMBER($C288)),$C288&lt;1,$C288&gt;999,MOD($C288,1)&lt;&gt;0)),"Quantity must be a whole number from 1 to 999 (use a quantity above 1 only for a genuine bulk order of identical items to ONE address — otherwise use a separate row per recipient). ","")&amp;IF($D288="","Enter Recipient Name. ","")&amp;IF(LEN($D288)&gt;35,"Recipient Name exceeds 35 characters. ","")&amp;IF($E288="","Enter Recipient Phone. ","")&amp;IF(AND($E288&lt;&gt;"",OR(LEN($E288)&lt;6,LEN($E288)&gt;20,NOT(IFERROR(ISNUMBER(1*$E288),FALSE())))),"Phone must be the LOCAL number for the destination country: digits only, no +, spaces, or country code, 6 to 20 digits. ","")&amp;IF(LEN($F288)&gt;35,"Recipient Company Name exceeds 35 characters. ","")&amp;IF($G288="","Enter Address Line 1. ","")&amp;IF(LEN($G288)&gt;35,"Address Line 1 exceeds the 35-character SAP limit. ","")&amp;IF(LEN($H288)&gt;35,"Address Line 2 exceeds the 35-character SAP limit. ","")&amp;IF(LEN($I288)&gt;35,"Address Line 3 exceeds the 35-character SAP limit. ","")&amp;IF($J288="","Enter Town. This must never be left blank, even if there is no conventional town name. ","")&amp;IF(LEN($J288)&gt;35,"Town exceeds 35 characters. ","")&amp;IF(AND($N288="IE",$K288=""),"County is required for deliveries within the Republic of Ireland. ","")&amp;IF(LEN($AB288)&gt;35,"County exceeds 35 characters. ","")&amp;IF(AND($L288="",AND($N288&lt;&gt;"AE",$N288&lt;&gt;"QA")),"Postcode is required for the selected country. If there is genuinely no postcode, enter the first 3 characters of the area (e.g. D15). ","")&amp;IF(LEN($L288)&gt;35,"Postcode exceeds 35 characters. ","")&amp;IF($AE288&lt;&gt;"",$AE288,"")&amp;IF(LEN($O288)&gt;40,"Gift Message Line 1 exceeds 40 characters. ","")&amp;IF(LEN($P288)&gt;40,"Gift Message Line 2 exceeds 40 characters. ","")&amp;IF(LEN($Q288)&gt;40,"Gift Message Line 3 exceeds 40 characters. ","")&amp;IF(LEN($R288)&gt;40,"Gift Message Line 4 exceeds 40 characters. ","")&amp;IF(LEN($S288)&gt;40,"Gift Message Line 5 exceeds 40 characters. ","")&amp;IF(LEN($T288)&gt;40,"Gift Message Line 6 exceeds 40 characters. ","")&amp;IF(LEN($U288)&gt;40,"Gift Message Line 7 exceeds 40 characters. ",""))</f>
        <v/>
      </c>
      <c r="Y288" s="44" t="str">
        <f t="shared" si="17"/>
        <v/>
      </c>
      <c r="Z288" s="44"/>
      <c r="AA288" s="44"/>
      <c r="AB288" s="32" t="str">
        <f t="shared" si="18"/>
        <v/>
      </c>
      <c r="AC288" s="32" t="str">
        <f>IF($A288="","",IFERROR(LEFT(INDEX('PRODUCT DATA'!$NO$2:$NO$25,MATCH($A288,'PRODUCT DATA'!$NP$2:$NP$25,0)),FIND("|",INDEX('PRODUCT DATA'!$NO$2:$NO$25,MATCH($A288,'PRODUCT DATA'!$NP$2:$NP$25,0)))-1),$A288))</f>
        <v/>
      </c>
      <c r="AD288" s="45"/>
      <c r="AE288" s="45" t="str">
        <f t="shared" si="19"/>
        <v/>
      </c>
    </row>
    <row r="289" spans="1:31" ht="15" customHeight="1" x14ac:dyDescent="0.25">
      <c r="A289" s="40"/>
      <c r="B289" s="43" t="str">
        <f>IF($A289="","",IFERROR(VLOOKUP($AC289,'PRODUCT DATA'!$NR$2:$NS$374,2,FALSE()),"UNKNOWN ITEM CODE - please check"))</f>
        <v/>
      </c>
      <c r="C289" s="39">
        <v>1</v>
      </c>
      <c r="D289" s="39"/>
      <c r="E289" s="40"/>
      <c r="F289" s="41"/>
      <c r="G289" s="39"/>
      <c r="H289" s="41"/>
      <c r="I289" s="41"/>
      <c r="J289" s="39"/>
      <c r="K289" s="41"/>
      <c r="L289" s="40"/>
      <c r="M289" s="40"/>
      <c r="N289" s="42" t="str">
        <f>IF($M289="","",IFERROR(INDEX('PRODUCT DATA'!$B$2:$B$58,MATCH(IF(UPPER($M289)="UK","GB",$M289),'PRODUCT DATA'!$B$2:$B$58,0)),IFERROR(INDEX('PRODUCT DATA'!$B$2:$B$58,MATCH(IF(UPPER($M289)="UK","GB",$M289),'PRODUCT DATA'!$A$2:$A$58,0)),"UNKNOWN COUNTRY - please check")))</f>
        <v/>
      </c>
      <c r="O289" s="41"/>
      <c r="P289" s="41"/>
      <c r="Q289" s="41"/>
      <c r="R289" s="41"/>
      <c r="S289" s="41"/>
      <c r="T289" s="41"/>
      <c r="U289" s="41"/>
      <c r="V289" s="43" t="str">
        <f t="shared" si="16"/>
        <v/>
      </c>
      <c r="W289" s="44" t="str">
        <f ca="1">IF(COUNTA($A289,$D289:$M289,$O289:$U289)=0,"",IF($A289="","Item Code; ","")&amp;IF(AND($A289&lt;&gt;"",ISNA(MATCH($AC289,'PRODUCT DATA'!$D$2:$D$394,0))),"Item Code; ","")&amp;IF($M289="","Country; ","")&amp;IF(AND($M289&lt;&gt;"",NOT(OR(NOT(ISNA(MATCH(IF(UPPER($M289)="UK","GB",$M289),'PRODUCT DATA'!$A$2:$A$58,0))),NOT(ISNA(MATCH(IF(UPPER($M289)="UK","GB",$M289),'PRODUCT DATA'!$B$2:$B$58,0)))))),"Country; ","")&amp;IF(AND($A289&lt;&gt;"",$M289&lt;&gt;"",NOT(ISNA(MATCH($AC289,'PRODUCT DATA'!$D$2:$D$394,0))),OR(NOT(ISNA(MATCH(IF(UPPER($M289)="UK","GB",$M289),'PRODUCT DATA'!$A$2:$A$58,0))),NOT(ISNA(MATCH(IF(UPPER($M289)="UK","GB",$M289),'PRODUCT DATA'!$B$2:$B$58,0)))),NOT(IFERROR(COUNTIF(OFFSET('PRODUCT DATA'!$F$2,0,MATCH($AC289,'PRODUCT DATA'!$F$1:$NN$1,0)-1,114,1),$N289)&gt;0,FALSE()))),IF(UPPER(IFERROR(OFFSET('PRODUCT DATA'!$C$2,MATCH($N289,'PRODUCT DATA'!$B$2:$B$58,0)-1,0),""))="NO","Alcohol Restriction; ","Item Code / Country combination; "),"")&amp;IF($C289="","Quantity; ","")&amp;IF(AND($C289&lt;&gt;"",OR(NOT(ISNUMBER($C289)),$C289&lt;1,$C289&gt;999,MOD($C289,1)&lt;&gt;0)),"Quantity; ","")&amp;IF($D289="","Recipient Name; ","")&amp;IF(LEN($D289)&gt;35,"Recipient Name; ","")&amp;IF($E289="","Recipient Phone; ","")&amp;IF(AND($E289&lt;&gt;"",OR(LEN($E289)&lt;6,LEN($E289)&gt;20,NOT(IFERROR(ISNUMBER(1*$E289),FALSE())))),"Recipient Phone; ","")&amp;IF(LEN($F289)&gt;35,"Recipient Company Name; ","")&amp;IF($G289="","Address Line 1; ","")&amp;IF(LEN($G289)&gt;35,"Address Line 1; ","")&amp;IF(LEN($H289)&gt;35,"Address Line 2; ","")&amp;IF(LEN($I289)&gt;35,"Address Line 3; ","")&amp;IF($J289="","Town; ","")&amp;IF(LEN($J289)&gt;35,"Town; ","")&amp;IF(AND($N289="IE",$K289=""),"County; ","")&amp;IF(LEN($AB289)&gt;35,"County; ","")&amp;IF(AND($L289="",AND($N289&lt;&gt;"AE",$N289&lt;&gt;"QA")),"Postcode; ","")&amp;IF(LEN($L289)&gt;35,"Postcode; ","")&amp;IF($AE289&lt;&gt;"","Postcode; ","")&amp;IF(LEN($O289)&gt;40,"Gift Message 1; ","")&amp;IF(LEN($P289)&gt;40,"Gift Message 2; ","")&amp;IF(LEN($Q289)&gt;40,"Gift Message 3; ","")&amp;IF(LEN($R289)&gt;40,"Gift Message 4; ","")&amp;IF(LEN($S289)&gt;40,"Gift Message 5; ","")&amp;IF(LEN($T289)&gt;40,"Gift Message 6; ","")&amp;IF(LEN($U289)&gt;40,"Gift Message 7; ",""))</f>
        <v/>
      </c>
      <c r="X289" s="44" t="str">
        <f ca="1">IF(COUNTA($A289,$D289:$M289,$O289:$U289)=0,"",IF($A289="","Enter the Item Code (hamper) - type it, paste it, or choose it from the dropdown. ","")&amp;IF(AND($A289&lt;&gt;"",ISNA(MATCH($AC289,'PRODUCT DATA'!$D$2:$D$394,0))),"This Item Code is not recognised. Check the code (case does not matter, but spelling and digits must match exactly) or choose it from the dropdown. ","")&amp;IF($M289="","Enter the Country after the Item Code - type or paste the name or the 2-letter code, or choose it from the dropdown. ","")&amp;IF(AND($M289&lt;&gt;"",NOT(OR(NOT(ISNA(MATCH(IF(UPPER($M289)="UK","GB",$M289),'PRODUCT DATA'!$A$2:$A$58,0))),NOT(ISNA(MATCH(IF(UPPER($M289)="UK","GB",$M289),'PRODUCT DATA'!$B$2:$B$58,0)))))),"This Country is not recognised as either a full name or a 2-letter code. Check the spelling (case does not matter) or choose it from the dropdown. ","")&amp;IF(AND($A289&lt;&gt;"",$M289&lt;&gt;"",NOT(ISNA(MATCH($AC289,'PRODUCT DATA'!$D$2:$D$394,0))),OR(NOT(ISNA(MATCH(IF(UPPER($M289)="UK","GB",$M289),'PRODUCT DATA'!$A$2:$A$58,0))),NOT(ISNA(MATCH(IF(UPPER($M289)="UK","GB",$M289),'PRODUCT DATA'!$B$2:$B$58,0)))),NOT(IFERROR(COUNTIF(OFFSET('PRODUCT DATA'!$F$2,0,MATCH($AC289,'PRODUCT DATA'!$F$1:$NN$1,0)-1,114,1),$N289)&gt;0,FALSE()))),IF(UPPER(IFERROR(OFFSET('PRODUCT DATA'!$C$2,MATCH($N289,'PRODUCT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"),"")&amp;IF($C289="","Enter Quantity. ","")&amp;IF(AND($C289&lt;&gt;"",OR(NOT(ISNUMBER($C289)),$C289&lt;1,$C289&gt;999,MOD($C289,1)&lt;&gt;0)),"Quantity must be a whole number from 1 to 999 (use a quantity above 1 only for a genuine bulk order of identical items to ONE address — otherwise use a separate row per recipient). ","")&amp;IF($D289="","Enter Recipient Name. ","")&amp;IF(LEN($D289)&gt;35,"Recipient Name exceeds 35 characters. ","")&amp;IF($E289="","Enter Recipient Phone. ","")&amp;IF(AND($E289&lt;&gt;"",OR(LEN($E289)&lt;6,LEN($E289)&gt;20,NOT(IFERROR(ISNUMBER(1*$E289),FALSE())))),"Phone must be the LOCAL number for the destination country: digits only, no +, spaces, or country code, 6 to 20 digits. ","")&amp;IF(LEN($F289)&gt;35,"Recipient Company Name exceeds 35 characters. ","")&amp;IF($G289="","Enter Address Line 1. ","")&amp;IF(LEN($G289)&gt;35,"Address Line 1 exceeds the 35-character SAP limit. ","")&amp;IF(LEN($H289)&gt;35,"Address Line 2 exceeds the 35-character SAP limit. ","")&amp;IF(LEN($I289)&gt;35,"Address Line 3 exceeds the 35-character SAP limit. ","")&amp;IF($J289="","Enter Town. This must never be left blank, even if there is no conventional town name. ","")&amp;IF(LEN($J289)&gt;35,"Town exceeds 35 characters. ","")&amp;IF(AND($N289="IE",$K289=""),"County is required for deliveries within the Republic of Ireland. ","")&amp;IF(LEN($AB289)&gt;35,"County exceeds 35 characters. ","")&amp;IF(AND($L289="",AND($N289&lt;&gt;"AE",$N289&lt;&gt;"QA")),"Postcode is required for the selected country. If there is genuinely no postcode, enter the first 3 characters of the area (e.g. D15). ","")&amp;IF(LEN($L289)&gt;35,"Postcode exceeds 35 characters. ","")&amp;IF($AE289&lt;&gt;"",$AE289,"")&amp;IF(LEN($O289)&gt;40,"Gift Message Line 1 exceeds 40 characters. ","")&amp;IF(LEN($P289)&gt;40,"Gift Message Line 2 exceeds 40 characters. ","")&amp;IF(LEN($Q289)&gt;40,"Gift Message Line 3 exceeds 40 characters. ","")&amp;IF(LEN($R289)&gt;40,"Gift Message Line 4 exceeds 40 characters. ","")&amp;IF(LEN($S289)&gt;40,"Gift Message Line 5 exceeds 40 characters. ","")&amp;IF(LEN($T289)&gt;40,"Gift Message Line 6 exceeds 40 characters. ","")&amp;IF(LEN($U289)&gt;40,"Gift Message Line 7 exceeds 40 characters. ",""))</f>
        <v/>
      </c>
      <c r="Y289" s="44" t="str">
        <f t="shared" si="17"/>
        <v/>
      </c>
      <c r="Z289" s="44"/>
      <c r="AA289" s="44"/>
      <c r="AB289" s="32" t="str">
        <f t="shared" si="18"/>
        <v/>
      </c>
      <c r="AC289" s="32" t="str">
        <f>IF($A289="","",IFERROR(LEFT(INDEX('PRODUCT DATA'!$NO$2:$NO$25,MATCH($A289,'PRODUCT DATA'!$NP$2:$NP$25,0)),FIND("|",INDEX('PRODUCT DATA'!$NO$2:$NO$25,MATCH($A289,'PRODUCT DATA'!$NP$2:$NP$25,0)))-1),$A289))</f>
        <v/>
      </c>
      <c r="AD289" s="45"/>
      <c r="AE289" s="45" t="str">
        <f t="shared" si="19"/>
        <v/>
      </c>
    </row>
    <row r="290" spans="1:31" ht="15" customHeight="1" x14ac:dyDescent="0.25">
      <c r="A290" s="40"/>
      <c r="B290" s="43" t="str">
        <f>IF($A290="","",IFERROR(VLOOKUP($AC290,'PRODUCT DATA'!$NR$2:$NS$374,2,FALSE()),"UNKNOWN ITEM CODE - please check"))</f>
        <v/>
      </c>
      <c r="C290" s="39">
        <v>1</v>
      </c>
      <c r="D290" s="39"/>
      <c r="E290" s="40"/>
      <c r="F290" s="41"/>
      <c r="G290" s="39"/>
      <c r="H290" s="41"/>
      <c r="I290" s="41"/>
      <c r="J290" s="39"/>
      <c r="K290" s="41"/>
      <c r="L290" s="40"/>
      <c r="M290" s="40"/>
      <c r="N290" s="42" t="str">
        <f>IF($M290="","",IFERROR(INDEX('PRODUCT DATA'!$B$2:$B$58,MATCH(IF(UPPER($M290)="UK","GB",$M290),'PRODUCT DATA'!$B$2:$B$58,0)),IFERROR(INDEX('PRODUCT DATA'!$B$2:$B$58,MATCH(IF(UPPER($M290)="UK","GB",$M290),'PRODUCT DATA'!$A$2:$A$58,0)),"UNKNOWN COUNTRY - please check")))</f>
        <v/>
      </c>
      <c r="O290" s="41"/>
      <c r="P290" s="41"/>
      <c r="Q290" s="41"/>
      <c r="R290" s="41"/>
      <c r="S290" s="41"/>
      <c r="T290" s="41"/>
      <c r="U290" s="41"/>
      <c r="V290" s="43" t="str">
        <f t="shared" si="16"/>
        <v/>
      </c>
      <c r="W290" s="44" t="str">
        <f ca="1">IF(COUNTA($A290,$D290:$M290,$O290:$U290)=0,"",IF($A290="","Item Code; ","")&amp;IF(AND($A290&lt;&gt;"",ISNA(MATCH($AC290,'PRODUCT DATA'!$D$2:$D$394,0))),"Item Code; ","")&amp;IF($M290="","Country; ","")&amp;IF(AND($M290&lt;&gt;"",NOT(OR(NOT(ISNA(MATCH(IF(UPPER($M290)="UK","GB",$M290),'PRODUCT DATA'!$A$2:$A$58,0))),NOT(ISNA(MATCH(IF(UPPER($M290)="UK","GB",$M290),'PRODUCT DATA'!$B$2:$B$58,0)))))),"Country; ","")&amp;IF(AND($A290&lt;&gt;"",$M290&lt;&gt;"",NOT(ISNA(MATCH($AC290,'PRODUCT DATA'!$D$2:$D$394,0))),OR(NOT(ISNA(MATCH(IF(UPPER($M290)="UK","GB",$M290),'PRODUCT DATA'!$A$2:$A$58,0))),NOT(ISNA(MATCH(IF(UPPER($M290)="UK","GB",$M290),'PRODUCT DATA'!$B$2:$B$58,0)))),NOT(IFERROR(COUNTIF(OFFSET('PRODUCT DATA'!$F$2,0,MATCH($AC290,'PRODUCT DATA'!$F$1:$NN$1,0)-1,114,1),$N290)&gt;0,FALSE()))),IF(UPPER(IFERROR(OFFSET('PRODUCT DATA'!$C$2,MATCH($N290,'PRODUCT DATA'!$B$2:$B$58,0)-1,0),""))="NO","Alcohol Restriction; ","Item Code / Country combination; "),"")&amp;IF($C290="","Quantity; ","")&amp;IF(AND($C290&lt;&gt;"",OR(NOT(ISNUMBER($C290)),$C290&lt;1,$C290&gt;999,MOD($C290,1)&lt;&gt;0)),"Quantity; ","")&amp;IF($D290="","Recipient Name; ","")&amp;IF(LEN($D290)&gt;35,"Recipient Name; ","")&amp;IF($E290="","Recipient Phone; ","")&amp;IF(AND($E290&lt;&gt;"",OR(LEN($E290)&lt;6,LEN($E290)&gt;20,NOT(IFERROR(ISNUMBER(1*$E290),FALSE())))),"Recipient Phone; ","")&amp;IF(LEN($F290)&gt;35,"Recipient Company Name; ","")&amp;IF($G290="","Address Line 1; ","")&amp;IF(LEN($G290)&gt;35,"Address Line 1; ","")&amp;IF(LEN($H290)&gt;35,"Address Line 2; ","")&amp;IF(LEN($I290)&gt;35,"Address Line 3; ","")&amp;IF($J290="","Town; ","")&amp;IF(LEN($J290)&gt;35,"Town; ","")&amp;IF(AND($N290="IE",$K290=""),"County; ","")&amp;IF(LEN($AB290)&gt;35,"County; ","")&amp;IF(AND($L290="",AND($N290&lt;&gt;"AE",$N290&lt;&gt;"QA")),"Postcode; ","")&amp;IF(LEN($L290)&gt;35,"Postcode; ","")&amp;IF($AE290&lt;&gt;"","Postcode; ","")&amp;IF(LEN($O290)&gt;40,"Gift Message 1; ","")&amp;IF(LEN($P290)&gt;40,"Gift Message 2; ","")&amp;IF(LEN($Q290)&gt;40,"Gift Message 3; ","")&amp;IF(LEN($R290)&gt;40,"Gift Message 4; ","")&amp;IF(LEN($S290)&gt;40,"Gift Message 5; ","")&amp;IF(LEN($T290)&gt;40,"Gift Message 6; ","")&amp;IF(LEN($U290)&gt;40,"Gift Message 7; ",""))</f>
        <v/>
      </c>
      <c r="X290" s="44" t="str">
        <f ca="1">IF(COUNTA($A290,$D290:$M290,$O290:$U290)=0,"",IF($A290="","Enter the Item Code (hamper) - type it, paste it, or choose it from the dropdown. ","")&amp;IF(AND($A290&lt;&gt;"",ISNA(MATCH($AC290,'PRODUCT DATA'!$D$2:$D$394,0))),"This Item Code is not recognised. Check the code (case does not matter, but spelling and digits must match exactly) or choose it from the dropdown. ","")&amp;IF($M290="","Enter the Country after the Item Code - type or paste the name or the 2-letter code, or choose it from the dropdown. ","")&amp;IF(AND($M290&lt;&gt;"",NOT(OR(NOT(ISNA(MATCH(IF(UPPER($M290)="UK","GB",$M290),'PRODUCT DATA'!$A$2:$A$58,0))),NOT(ISNA(MATCH(IF(UPPER($M290)="UK","GB",$M290),'PRODUCT DATA'!$B$2:$B$58,0)))))),"This Country is not recognised as either a full name or a 2-letter code. Check the spelling (case does not matter) or choose it from the dropdown. ","")&amp;IF(AND($A290&lt;&gt;"",$M290&lt;&gt;"",NOT(ISNA(MATCH($AC290,'PRODUCT DATA'!$D$2:$D$394,0))),OR(NOT(ISNA(MATCH(IF(UPPER($M290)="UK","GB",$M290),'PRODUCT DATA'!$A$2:$A$58,0))),NOT(ISNA(MATCH(IF(UPPER($M290)="UK","GB",$M290),'PRODUCT DATA'!$B$2:$B$58,0)))),NOT(IFERROR(COUNTIF(OFFSET('PRODUCT DATA'!$F$2,0,MATCH($AC290,'PRODUCT DATA'!$F$1:$NN$1,0)-1,114,1),$N290)&gt;0,FALSE()))),IF(UPPER(IFERROR(OFFSET('PRODUCT DATA'!$C$2,MATCH($N290,'PRODUCT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"),"")&amp;IF($C290="","Enter Quantity. ","")&amp;IF(AND($C290&lt;&gt;"",OR(NOT(ISNUMBER($C290)),$C290&lt;1,$C290&gt;999,MOD($C290,1)&lt;&gt;0)),"Quantity must be a whole number from 1 to 999 (use a quantity above 1 only for a genuine bulk order of identical items to ONE address — otherwise use a separate row per recipient). ","")&amp;IF($D290="","Enter Recipient Name. ","")&amp;IF(LEN($D290)&gt;35,"Recipient Name exceeds 35 characters. ","")&amp;IF($E290="","Enter Recipient Phone. ","")&amp;IF(AND($E290&lt;&gt;"",OR(LEN($E290)&lt;6,LEN($E290)&gt;20,NOT(IFERROR(ISNUMBER(1*$E290),FALSE())))),"Phone must be the LOCAL number for the destination country: digits only, no +, spaces, or country code, 6 to 20 digits. ","")&amp;IF(LEN($F290)&gt;35,"Recipient Company Name exceeds 35 characters. ","")&amp;IF($G290="","Enter Address Line 1. ","")&amp;IF(LEN($G290)&gt;35,"Address Line 1 exceeds the 35-character SAP limit. ","")&amp;IF(LEN($H290)&gt;35,"Address Line 2 exceeds the 35-character SAP limit. ","")&amp;IF(LEN($I290)&gt;35,"Address Line 3 exceeds the 35-character SAP limit. ","")&amp;IF($J290="","Enter Town. This must never be left blank, even if there is no conventional town name. ","")&amp;IF(LEN($J290)&gt;35,"Town exceeds 35 characters. ","")&amp;IF(AND($N290="IE",$K290=""),"County is required for deliveries within the Republic of Ireland. ","")&amp;IF(LEN($AB290)&gt;35,"County exceeds 35 characters. ","")&amp;IF(AND($L290="",AND($N290&lt;&gt;"AE",$N290&lt;&gt;"QA")),"Postcode is required for the selected country. If there is genuinely no postcode, enter the first 3 characters of the area (e.g. D15). ","")&amp;IF(LEN($L290)&gt;35,"Postcode exceeds 35 characters. ","")&amp;IF($AE290&lt;&gt;"",$AE290,"")&amp;IF(LEN($O290)&gt;40,"Gift Message Line 1 exceeds 40 characters. ","")&amp;IF(LEN($P290)&gt;40,"Gift Message Line 2 exceeds 40 characters. ","")&amp;IF(LEN($Q290)&gt;40,"Gift Message Line 3 exceeds 40 characters. ","")&amp;IF(LEN($R290)&gt;40,"Gift Message Line 4 exceeds 40 characters. ","")&amp;IF(LEN($S290)&gt;40,"Gift Message Line 5 exceeds 40 characters. ","")&amp;IF(LEN($T290)&gt;40,"Gift Message Line 6 exceeds 40 characters. ","")&amp;IF(LEN($U290)&gt;40,"Gift Message Line 7 exceeds 40 characters. ",""))</f>
        <v/>
      </c>
      <c r="Y290" s="44" t="str">
        <f t="shared" si="17"/>
        <v/>
      </c>
      <c r="Z290" s="44"/>
      <c r="AA290" s="44"/>
      <c r="AB290" s="32" t="str">
        <f t="shared" si="18"/>
        <v/>
      </c>
      <c r="AC290" s="32" t="str">
        <f>IF($A290="","",IFERROR(LEFT(INDEX('PRODUCT DATA'!$NO$2:$NO$25,MATCH($A290,'PRODUCT DATA'!$NP$2:$NP$25,0)),FIND("|",INDEX('PRODUCT DATA'!$NO$2:$NO$25,MATCH($A290,'PRODUCT DATA'!$NP$2:$NP$25,0)))-1),$A290))</f>
        <v/>
      </c>
      <c r="AD290" s="45"/>
      <c r="AE290" s="45" t="str">
        <f t="shared" si="19"/>
        <v/>
      </c>
    </row>
    <row r="291" spans="1:31" ht="15" customHeight="1" x14ac:dyDescent="0.25">
      <c r="A291" s="40"/>
      <c r="B291" s="43" t="str">
        <f>IF($A291="","",IFERROR(VLOOKUP($AC291,'PRODUCT DATA'!$NR$2:$NS$374,2,FALSE()),"UNKNOWN ITEM CODE - please check"))</f>
        <v/>
      </c>
      <c r="C291" s="39">
        <v>1</v>
      </c>
      <c r="D291" s="39"/>
      <c r="E291" s="40"/>
      <c r="F291" s="41"/>
      <c r="G291" s="39"/>
      <c r="H291" s="41"/>
      <c r="I291" s="41"/>
      <c r="J291" s="39"/>
      <c r="K291" s="41"/>
      <c r="L291" s="40"/>
      <c r="M291" s="40"/>
      <c r="N291" s="42" t="str">
        <f>IF($M291="","",IFERROR(INDEX('PRODUCT DATA'!$B$2:$B$58,MATCH(IF(UPPER($M291)="UK","GB",$M291),'PRODUCT DATA'!$B$2:$B$58,0)),IFERROR(INDEX('PRODUCT DATA'!$B$2:$B$58,MATCH(IF(UPPER($M291)="UK","GB",$M291),'PRODUCT DATA'!$A$2:$A$58,0)),"UNKNOWN COUNTRY - please check")))</f>
        <v/>
      </c>
      <c r="O291" s="41"/>
      <c r="P291" s="41"/>
      <c r="Q291" s="41"/>
      <c r="R291" s="41"/>
      <c r="S291" s="41"/>
      <c r="T291" s="41"/>
      <c r="U291" s="41"/>
      <c r="V291" s="43" t="str">
        <f t="shared" si="16"/>
        <v/>
      </c>
      <c r="W291" s="44" t="str">
        <f ca="1">IF(COUNTA($A291,$D291:$M291,$O291:$U291)=0,"",IF($A291="","Item Code; ","")&amp;IF(AND($A291&lt;&gt;"",ISNA(MATCH($AC291,'PRODUCT DATA'!$D$2:$D$394,0))),"Item Code; ","")&amp;IF($M291="","Country; ","")&amp;IF(AND($M291&lt;&gt;"",NOT(OR(NOT(ISNA(MATCH(IF(UPPER($M291)="UK","GB",$M291),'PRODUCT DATA'!$A$2:$A$58,0))),NOT(ISNA(MATCH(IF(UPPER($M291)="UK","GB",$M291),'PRODUCT DATA'!$B$2:$B$58,0)))))),"Country; ","")&amp;IF(AND($A291&lt;&gt;"",$M291&lt;&gt;"",NOT(ISNA(MATCH($AC291,'PRODUCT DATA'!$D$2:$D$394,0))),OR(NOT(ISNA(MATCH(IF(UPPER($M291)="UK","GB",$M291),'PRODUCT DATA'!$A$2:$A$58,0))),NOT(ISNA(MATCH(IF(UPPER($M291)="UK","GB",$M291),'PRODUCT DATA'!$B$2:$B$58,0)))),NOT(IFERROR(COUNTIF(OFFSET('PRODUCT DATA'!$F$2,0,MATCH($AC291,'PRODUCT DATA'!$F$1:$NN$1,0)-1,114,1),$N291)&gt;0,FALSE()))),IF(UPPER(IFERROR(OFFSET('PRODUCT DATA'!$C$2,MATCH($N291,'PRODUCT DATA'!$B$2:$B$58,0)-1,0),""))="NO","Alcohol Restriction; ","Item Code / Country combination; "),"")&amp;IF($C291="","Quantity; ","")&amp;IF(AND($C291&lt;&gt;"",OR(NOT(ISNUMBER($C291)),$C291&lt;1,$C291&gt;999,MOD($C291,1)&lt;&gt;0)),"Quantity; ","")&amp;IF($D291="","Recipient Name; ","")&amp;IF(LEN($D291)&gt;35,"Recipient Name; ","")&amp;IF($E291="","Recipient Phone; ","")&amp;IF(AND($E291&lt;&gt;"",OR(LEN($E291)&lt;6,LEN($E291)&gt;20,NOT(IFERROR(ISNUMBER(1*$E291),FALSE())))),"Recipient Phone; ","")&amp;IF(LEN($F291)&gt;35,"Recipient Company Name; ","")&amp;IF($G291="","Address Line 1; ","")&amp;IF(LEN($G291)&gt;35,"Address Line 1; ","")&amp;IF(LEN($H291)&gt;35,"Address Line 2; ","")&amp;IF(LEN($I291)&gt;35,"Address Line 3; ","")&amp;IF($J291="","Town; ","")&amp;IF(LEN($J291)&gt;35,"Town; ","")&amp;IF(AND($N291="IE",$K291=""),"County; ","")&amp;IF(LEN($AB291)&gt;35,"County; ","")&amp;IF(AND($L291="",AND($N291&lt;&gt;"AE",$N291&lt;&gt;"QA")),"Postcode; ","")&amp;IF(LEN($L291)&gt;35,"Postcode; ","")&amp;IF($AE291&lt;&gt;"","Postcode; ","")&amp;IF(LEN($O291)&gt;40,"Gift Message 1; ","")&amp;IF(LEN($P291)&gt;40,"Gift Message 2; ","")&amp;IF(LEN($Q291)&gt;40,"Gift Message 3; ","")&amp;IF(LEN($R291)&gt;40,"Gift Message 4; ","")&amp;IF(LEN($S291)&gt;40,"Gift Message 5; ","")&amp;IF(LEN($T291)&gt;40,"Gift Message 6; ","")&amp;IF(LEN($U291)&gt;40,"Gift Message 7; ",""))</f>
        <v/>
      </c>
      <c r="X291" s="44" t="str">
        <f ca="1">IF(COUNTA($A291,$D291:$M291,$O291:$U291)=0,"",IF($A291="","Enter the Item Code (hamper) - type it, paste it, or choose it from the dropdown. ","")&amp;IF(AND($A291&lt;&gt;"",ISNA(MATCH($AC291,'PRODUCT DATA'!$D$2:$D$394,0))),"This Item Code is not recognised. Check the code (case does not matter, but spelling and digits must match exactly) or choose it from the dropdown. ","")&amp;IF($M291="","Enter the Country after the Item Code - type or paste the name or the 2-letter code, or choose it from the dropdown. ","")&amp;IF(AND($M291&lt;&gt;"",NOT(OR(NOT(ISNA(MATCH(IF(UPPER($M291)="UK","GB",$M291),'PRODUCT DATA'!$A$2:$A$58,0))),NOT(ISNA(MATCH(IF(UPPER($M291)="UK","GB",$M291),'PRODUCT DATA'!$B$2:$B$58,0)))))),"This Country is not recognised as either a full name or a 2-letter code. Check the spelling (case does not matter) or choose it from the dropdown. ","")&amp;IF(AND($A291&lt;&gt;"",$M291&lt;&gt;"",NOT(ISNA(MATCH($AC291,'PRODUCT DATA'!$D$2:$D$394,0))),OR(NOT(ISNA(MATCH(IF(UPPER($M291)="UK","GB",$M291),'PRODUCT DATA'!$A$2:$A$58,0))),NOT(ISNA(MATCH(IF(UPPER($M291)="UK","GB",$M291),'PRODUCT DATA'!$B$2:$B$58,0)))),NOT(IFERROR(COUNTIF(OFFSET('PRODUCT DATA'!$F$2,0,MATCH($AC291,'PRODUCT DATA'!$F$1:$NN$1,0)-1,114,1),$N291)&gt;0,FALSE()))),IF(UPPER(IFERROR(OFFSET('PRODUCT DATA'!$C$2,MATCH($N291,'PRODUCT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"),"")&amp;IF($C291="","Enter Quantity. ","")&amp;IF(AND($C291&lt;&gt;"",OR(NOT(ISNUMBER($C291)),$C291&lt;1,$C291&gt;999,MOD($C291,1)&lt;&gt;0)),"Quantity must be a whole number from 1 to 999 (use a quantity above 1 only for a genuine bulk order of identical items to ONE address — otherwise use a separate row per recipient). ","")&amp;IF($D291="","Enter Recipient Name. ","")&amp;IF(LEN($D291)&gt;35,"Recipient Name exceeds 35 characters. ","")&amp;IF($E291="","Enter Recipient Phone. ","")&amp;IF(AND($E291&lt;&gt;"",OR(LEN($E291)&lt;6,LEN($E291)&gt;20,NOT(IFERROR(ISNUMBER(1*$E291),FALSE())))),"Phone must be the LOCAL number for the destination country: digits only, no +, spaces, or country code, 6 to 20 digits. ","")&amp;IF(LEN($F291)&gt;35,"Recipient Company Name exceeds 35 characters. ","")&amp;IF($G291="","Enter Address Line 1. ","")&amp;IF(LEN($G291)&gt;35,"Address Line 1 exceeds the 35-character SAP limit. ","")&amp;IF(LEN($H291)&gt;35,"Address Line 2 exceeds the 35-character SAP limit. ","")&amp;IF(LEN($I291)&gt;35,"Address Line 3 exceeds the 35-character SAP limit. ","")&amp;IF($J291="","Enter Town. This must never be left blank, even if there is no conventional town name. ","")&amp;IF(LEN($J291)&gt;35,"Town exceeds 35 characters. ","")&amp;IF(AND($N291="IE",$K291=""),"County is required for deliveries within the Republic of Ireland. ","")&amp;IF(LEN($AB291)&gt;35,"County exceeds 35 characters. ","")&amp;IF(AND($L291="",AND($N291&lt;&gt;"AE",$N291&lt;&gt;"QA")),"Postcode is required for the selected country. If there is genuinely no postcode, enter the first 3 characters of the area (e.g. D15). ","")&amp;IF(LEN($L291)&gt;35,"Postcode exceeds 35 characters. ","")&amp;IF($AE291&lt;&gt;"",$AE291,"")&amp;IF(LEN($O291)&gt;40,"Gift Message Line 1 exceeds 40 characters. ","")&amp;IF(LEN($P291)&gt;40,"Gift Message Line 2 exceeds 40 characters. ","")&amp;IF(LEN($Q291)&gt;40,"Gift Message Line 3 exceeds 40 characters. ","")&amp;IF(LEN($R291)&gt;40,"Gift Message Line 4 exceeds 40 characters. ","")&amp;IF(LEN($S291)&gt;40,"Gift Message Line 5 exceeds 40 characters. ","")&amp;IF(LEN($T291)&gt;40,"Gift Message Line 6 exceeds 40 characters. ","")&amp;IF(LEN($U291)&gt;40,"Gift Message Line 7 exceeds 40 characters. ",""))</f>
        <v/>
      </c>
      <c r="Y291" s="44" t="str">
        <f t="shared" si="17"/>
        <v/>
      </c>
      <c r="Z291" s="44"/>
      <c r="AA291" s="44"/>
      <c r="AB291" s="32" t="str">
        <f t="shared" si="18"/>
        <v/>
      </c>
      <c r="AC291" s="32" t="str">
        <f>IF($A291="","",IFERROR(LEFT(INDEX('PRODUCT DATA'!$NO$2:$NO$25,MATCH($A291,'PRODUCT DATA'!$NP$2:$NP$25,0)),FIND("|",INDEX('PRODUCT DATA'!$NO$2:$NO$25,MATCH($A291,'PRODUCT DATA'!$NP$2:$NP$25,0)))-1),$A291))</f>
        <v/>
      </c>
      <c r="AD291" s="45"/>
      <c r="AE291" s="45" t="str">
        <f t="shared" si="19"/>
        <v/>
      </c>
    </row>
    <row r="292" spans="1:31" ht="15" customHeight="1" x14ac:dyDescent="0.25">
      <c r="A292" s="40"/>
      <c r="B292" s="43" t="str">
        <f>IF($A292="","",IFERROR(VLOOKUP($AC292,'PRODUCT DATA'!$NR$2:$NS$374,2,FALSE()),"UNKNOWN ITEM CODE - please check"))</f>
        <v/>
      </c>
      <c r="C292" s="39">
        <v>1</v>
      </c>
      <c r="D292" s="39"/>
      <c r="E292" s="40"/>
      <c r="F292" s="41"/>
      <c r="G292" s="39"/>
      <c r="H292" s="41"/>
      <c r="I292" s="41"/>
      <c r="J292" s="39"/>
      <c r="K292" s="41"/>
      <c r="L292" s="40"/>
      <c r="M292" s="40"/>
      <c r="N292" s="42" t="str">
        <f>IF($M292="","",IFERROR(INDEX('PRODUCT DATA'!$B$2:$B$58,MATCH(IF(UPPER($M292)="UK","GB",$M292),'PRODUCT DATA'!$B$2:$B$58,0)),IFERROR(INDEX('PRODUCT DATA'!$B$2:$B$58,MATCH(IF(UPPER($M292)="UK","GB",$M292),'PRODUCT DATA'!$A$2:$A$58,0)),"UNKNOWN COUNTRY - please check")))</f>
        <v/>
      </c>
      <c r="O292" s="41"/>
      <c r="P292" s="41"/>
      <c r="Q292" s="41"/>
      <c r="R292" s="41"/>
      <c r="S292" s="41"/>
      <c r="T292" s="41"/>
      <c r="U292" s="41"/>
      <c r="V292" s="43" t="str">
        <f t="shared" si="16"/>
        <v/>
      </c>
      <c r="W292" s="44" t="str">
        <f ca="1">IF(COUNTA($A292,$D292:$M292,$O292:$U292)=0,"",IF($A292="","Item Code; ","")&amp;IF(AND($A292&lt;&gt;"",ISNA(MATCH($AC292,'PRODUCT DATA'!$D$2:$D$394,0))),"Item Code; ","")&amp;IF($M292="","Country; ","")&amp;IF(AND($M292&lt;&gt;"",NOT(OR(NOT(ISNA(MATCH(IF(UPPER($M292)="UK","GB",$M292),'PRODUCT DATA'!$A$2:$A$58,0))),NOT(ISNA(MATCH(IF(UPPER($M292)="UK","GB",$M292),'PRODUCT DATA'!$B$2:$B$58,0)))))),"Country; ","")&amp;IF(AND($A292&lt;&gt;"",$M292&lt;&gt;"",NOT(ISNA(MATCH($AC292,'PRODUCT DATA'!$D$2:$D$394,0))),OR(NOT(ISNA(MATCH(IF(UPPER($M292)="UK","GB",$M292),'PRODUCT DATA'!$A$2:$A$58,0))),NOT(ISNA(MATCH(IF(UPPER($M292)="UK","GB",$M292),'PRODUCT DATA'!$B$2:$B$58,0)))),NOT(IFERROR(COUNTIF(OFFSET('PRODUCT DATA'!$F$2,0,MATCH($AC292,'PRODUCT DATA'!$F$1:$NN$1,0)-1,114,1),$N292)&gt;0,FALSE()))),IF(UPPER(IFERROR(OFFSET('PRODUCT DATA'!$C$2,MATCH($N292,'PRODUCT DATA'!$B$2:$B$58,0)-1,0),""))="NO","Alcohol Restriction; ","Item Code / Country combination; "),"")&amp;IF($C292="","Quantity; ","")&amp;IF(AND($C292&lt;&gt;"",OR(NOT(ISNUMBER($C292)),$C292&lt;1,$C292&gt;999,MOD($C292,1)&lt;&gt;0)),"Quantity; ","")&amp;IF($D292="","Recipient Name; ","")&amp;IF(LEN($D292)&gt;35,"Recipient Name; ","")&amp;IF($E292="","Recipient Phone; ","")&amp;IF(AND($E292&lt;&gt;"",OR(LEN($E292)&lt;6,LEN($E292)&gt;20,NOT(IFERROR(ISNUMBER(1*$E292),FALSE())))),"Recipient Phone; ","")&amp;IF(LEN($F292)&gt;35,"Recipient Company Name; ","")&amp;IF($G292="","Address Line 1; ","")&amp;IF(LEN($G292)&gt;35,"Address Line 1; ","")&amp;IF(LEN($H292)&gt;35,"Address Line 2; ","")&amp;IF(LEN($I292)&gt;35,"Address Line 3; ","")&amp;IF($J292="","Town; ","")&amp;IF(LEN($J292)&gt;35,"Town; ","")&amp;IF(AND($N292="IE",$K292=""),"County; ","")&amp;IF(LEN($AB292)&gt;35,"County; ","")&amp;IF(AND($L292="",AND($N292&lt;&gt;"AE",$N292&lt;&gt;"QA")),"Postcode; ","")&amp;IF(LEN($L292)&gt;35,"Postcode; ","")&amp;IF($AE292&lt;&gt;"","Postcode; ","")&amp;IF(LEN($O292)&gt;40,"Gift Message 1; ","")&amp;IF(LEN($P292)&gt;40,"Gift Message 2; ","")&amp;IF(LEN($Q292)&gt;40,"Gift Message 3; ","")&amp;IF(LEN($R292)&gt;40,"Gift Message 4; ","")&amp;IF(LEN($S292)&gt;40,"Gift Message 5; ","")&amp;IF(LEN($T292)&gt;40,"Gift Message 6; ","")&amp;IF(LEN($U292)&gt;40,"Gift Message 7; ",""))</f>
        <v/>
      </c>
      <c r="X292" s="44" t="str">
        <f ca="1">IF(COUNTA($A292,$D292:$M292,$O292:$U292)=0,"",IF($A292="","Enter the Item Code (hamper) - type it, paste it, or choose it from the dropdown. ","")&amp;IF(AND($A292&lt;&gt;"",ISNA(MATCH($AC292,'PRODUCT DATA'!$D$2:$D$394,0))),"This Item Code is not recognised. Check the code (case does not matter, but spelling and digits must match exactly) or choose it from the dropdown. ","")&amp;IF($M292="","Enter the Country after the Item Code - type or paste the name or the 2-letter code, or choose it from the dropdown. ","")&amp;IF(AND($M292&lt;&gt;"",NOT(OR(NOT(ISNA(MATCH(IF(UPPER($M292)="UK","GB",$M292),'PRODUCT DATA'!$A$2:$A$58,0))),NOT(ISNA(MATCH(IF(UPPER($M292)="UK","GB",$M292),'PRODUCT DATA'!$B$2:$B$58,0)))))),"This Country is not recognised as either a full name or a 2-letter code. Check the spelling (case does not matter) or choose it from the dropdown. ","")&amp;IF(AND($A292&lt;&gt;"",$M292&lt;&gt;"",NOT(ISNA(MATCH($AC292,'PRODUCT DATA'!$D$2:$D$394,0))),OR(NOT(ISNA(MATCH(IF(UPPER($M292)="UK","GB",$M292),'PRODUCT DATA'!$A$2:$A$58,0))),NOT(ISNA(MATCH(IF(UPPER($M292)="UK","GB",$M292),'PRODUCT DATA'!$B$2:$B$58,0)))),NOT(IFERROR(COUNTIF(OFFSET('PRODUCT DATA'!$F$2,0,MATCH($AC292,'PRODUCT DATA'!$F$1:$NN$1,0)-1,114,1),$N292)&gt;0,FALSE()))),IF(UPPER(IFERROR(OFFSET('PRODUCT DATA'!$C$2,MATCH($N292,'PRODUCT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"),"")&amp;IF($C292="","Enter Quantity. ","")&amp;IF(AND($C292&lt;&gt;"",OR(NOT(ISNUMBER($C292)),$C292&lt;1,$C292&gt;999,MOD($C292,1)&lt;&gt;0)),"Quantity must be a whole number from 1 to 999 (use a quantity above 1 only for a genuine bulk order of identical items to ONE address — otherwise use a separate row per recipient). ","")&amp;IF($D292="","Enter Recipient Name. ","")&amp;IF(LEN($D292)&gt;35,"Recipient Name exceeds 35 characters. ","")&amp;IF($E292="","Enter Recipient Phone. ","")&amp;IF(AND($E292&lt;&gt;"",OR(LEN($E292)&lt;6,LEN($E292)&gt;20,NOT(IFERROR(ISNUMBER(1*$E292),FALSE())))),"Phone must be the LOCAL number for the destination country: digits only, no +, spaces, or country code, 6 to 20 digits. ","")&amp;IF(LEN($F292)&gt;35,"Recipient Company Name exceeds 35 characters. ","")&amp;IF($G292="","Enter Address Line 1. ","")&amp;IF(LEN($G292)&gt;35,"Address Line 1 exceeds the 35-character SAP limit. ","")&amp;IF(LEN($H292)&gt;35,"Address Line 2 exceeds the 35-character SAP limit. ","")&amp;IF(LEN($I292)&gt;35,"Address Line 3 exceeds the 35-character SAP limit. ","")&amp;IF($J292="","Enter Town. This must never be left blank, even if there is no conventional town name. ","")&amp;IF(LEN($J292)&gt;35,"Town exceeds 35 characters. ","")&amp;IF(AND($N292="IE",$K292=""),"County is required for deliveries within the Republic of Ireland. ","")&amp;IF(LEN($AB292)&gt;35,"County exceeds 35 characters. ","")&amp;IF(AND($L292="",AND($N292&lt;&gt;"AE",$N292&lt;&gt;"QA")),"Postcode is required for the selected country. If there is genuinely no postcode, enter the first 3 characters of the area (e.g. D15). ","")&amp;IF(LEN($L292)&gt;35,"Postcode exceeds 35 characters. ","")&amp;IF($AE292&lt;&gt;"",$AE292,"")&amp;IF(LEN($O292)&gt;40,"Gift Message Line 1 exceeds 40 characters. ","")&amp;IF(LEN($P292)&gt;40,"Gift Message Line 2 exceeds 40 characters. ","")&amp;IF(LEN($Q292)&gt;40,"Gift Message Line 3 exceeds 40 characters. ","")&amp;IF(LEN($R292)&gt;40,"Gift Message Line 4 exceeds 40 characters. ","")&amp;IF(LEN($S292)&gt;40,"Gift Message Line 5 exceeds 40 characters. ","")&amp;IF(LEN($T292)&gt;40,"Gift Message Line 6 exceeds 40 characters. ","")&amp;IF(LEN($U292)&gt;40,"Gift Message Line 7 exceeds 40 characters. ",""))</f>
        <v/>
      </c>
      <c r="Y292" s="44" t="str">
        <f t="shared" si="17"/>
        <v/>
      </c>
      <c r="Z292" s="44"/>
      <c r="AA292" s="44"/>
      <c r="AB292" s="32" t="str">
        <f t="shared" si="18"/>
        <v/>
      </c>
      <c r="AC292" s="32" t="str">
        <f>IF($A292="","",IFERROR(LEFT(INDEX('PRODUCT DATA'!$NO$2:$NO$25,MATCH($A292,'PRODUCT DATA'!$NP$2:$NP$25,0)),FIND("|",INDEX('PRODUCT DATA'!$NO$2:$NO$25,MATCH($A292,'PRODUCT DATA'!$NP$2:$NP$25,0)))-1),$A292))</f>
        <v/>
      </c>
      <c r="AD292" s="45"/>
      <c r="AE292" s="45" t="str">
        <f t="shared" si="19"/>
        <v/>
      </c>
    </row>
    <row r="293" spans="1:31" ht="15" customHeight="1" x14ac:dyDescent="0.25">
      <c r="A293" s="40"/>
      <c r="B293" s="43" t="str">
        <f>IF($A293="","",IFERROR(VLOOKUP($AC293,'PRODUCT DATA'!$NR$2:$NS$374,2,FALSE()),"UNKNOWN ITEM CODE - please check"))</f>
        <v/>
      </c>
      <c r="C293" s="39">
        <v>1</v>
      </c>
      <c r="D293" s="39"/>
      <c r="E293" s="40"/>
      <c r="F293" s="41"/>
      <c r="G293" s="39"/>
      <c r="H293" s="41"/>
      <c r="I293" s="41"/>
      <c r="J293" s="39"/>
      <c r="K293" s="41"/>
      <c r="L293" s="40"/>
      <c r="M293" s="40"/>
      <c r="N293" s="42" t="str">
        <f>IF($M293="","",IFERROR(INDEX('PRODUCT DATA'!$B$2:$B$58,MATCH(IF(UPPER($M293)="UK","GB",$M293),'PRODUCT DATA'!$B$2:$B$58,0)),IFERROR(INDEX('PRODUCT DATA'!$B$2:$B$58,MATCH(IF(UPPER($M293)="UK","GB",$M293),'PRODUCT DATA'!$A$2:$A$58,0)),"UNKNOWN COUNTRY - please check")))</f>
        <v/>
      </c>
      <c r="O293" s="41"/>
      <c r="P293" s="41"/>
      <c r="Q293" s="41"/>
      <c r="R293" s="41"/>
      <c r="S293" s="41"/>
      <c r="T293" s="41"/>
      <c r="U293" s="41"/>
      <c r="V293" s="43" t="str">
        <f t="shared" si="16"/>
        <v/>
      </c>
      <c r="W293" s="44" t="str">
        <f ca="1">IF(COUNTA($A293,$D293:$M293,$O293:$U293)=0,"",IF($A293="","Item Code; ","")&amp;IF(AND($A293&lt;&gt;"",ISNA(MATCH($AC293,'PRODUCT DATA'!$D$2:$D$394,0))),"Item Code; ","")&amp;IF($M293="","Country; ","")&amp;IF(AND($M293&lt;&gt;"",NOT(OR(NOT(ISNA(MATCH(IF(UPPER($M293)="UK","GB",$M293),'PRODUCT DATA'!$A$2:$A$58,0))),NOT(ISNA(MATCH(IF(UPPER($M293)="UK","GB",$M293),'PRODUCT DATA'!$B$2:$B$58,0)))))),"Country; ","")&amp;IF(AND($A293&lt;&gt;"",$M293&lt;&gt;"",NOT(ISNA(MATCH($AC293,'PRODUCT DATA'!$D$2:$D$394,0))),OR(NOT(ISNA(MATCH(IF(UPPER($M293)="UK","GB",$M293),'PRODUCT DATA'!$A$2:$A$58,0))),NOT(ISNA(MATCH(IF(UPPER($M293)="UK","GB",$M293),'PRODUCT DATA'!$B$2:$B$58,0)))),NOT(IFERROR(COUNTIF(OFFSET('PRODUCT DATA'!$F$2,0,MATCH($AC293,'PRODUCT DATA'!$F$1:$NN$1,0)-1,114,1),$N293)&gt;0,FALSE()))),IF(UPPER(IFERROR(OFFSET('PRODUCT DATA'!$C$2,MATCH($N293,'PRODUCT DATA'!$B$2:$B$58,0)-1,0),""))="NO","Alcohol Restriction; ","Item Code / Country combination; "),"")&amp;IF($C293="","Quantity; ","")&amp;IF(AND($C293&lt;&gt;"",OR(NOT(ISNUMBER($C293)),$C293&lt;1,$C293&gt;999,MOD($C293,1)&lt;&gt;0)),"Quantity; ","")&amp;IF($D293="","Recipient Name; ","")&amp;IF(LEN($D293)&gt;35,"Recipient Name; ","")&amp;IF($E293="","Recipient Phone; ","")&amp;IF(AND($E293&lt;&gt;"",OR(LEN($E293)&lt;6,LEN($E293)&gt;20,NOT(IFERROR(ISNUMBER(1*$E293),FALSE())))),"Recipient Phone; ","")&amp;IF(LEN($F293)&gt;35,"Recipient Company Name; ","")&amp;IF($G293="","Address Line 1; ","")&amp;IF(LEN($G293)&gt;35,"Address Line 1; ","")&amp;IF(LEN($H293)&gt;35,"Address Line 2; ","")&amp;IF(LEN($I293)&gt;35,"Address Line 3; ","")&amp;IF($J293="","Town; ","")&amp;IF(LEN($J293)&gt;35,"Town; ","")&amp;IF(AND($N293="IE",$K293=""),"County; ","")&amp;IF(LEN($AB293)&gt;35,"County; ","")&amp;IF(AND($L293="",AND($N293&lt;&gt;"AE",$N293&lt;&gt;"QA")),"Postcode; ","")&amp;IF(LEN($L293)&gt;35,"Postcode; ","")&amp;IF($AE293&lt;&gt;"","Postcode; ","")&amp;IF(LEN($O293)&gt;40,"Gift Message 1; ","")&amp;IF(LEN($P293)&gt;40,"Gift Message 2; ","")&amp;IF(LEN($Q293)&gt;40,"Gift Message 3; ","")&amp;IF(LEN($R293)&gt;40,"Gift Message 4; ","")&amp;IF(LEN($S293)&gt;40,"Gift Message 5; ","")&amp;IF(LEN($T293)&gt;40,"Gift Message 6; ","")&amp;IF(LEN($U293)&gt;40,"Gift Message 7; ",""))</f>
        <v/>
      </c>
      <c r="X293" s="44" t="str">
        <f ca="1">IF(COUNTA($A293,$D293:$M293,$O293:$U293)=0,"",IF($A293="","Enter the Item Code (hamper) - type it, paste it, or choose it from the dropdown. ","")&amp;IF(AND($A293&lt;&gt;"",ISNA(MATCH($AC293,'PRODUCT DATA'!$D$2:$D$394,0))),"This Item Code is not recognised. Check the code (case does not matter, but spelling and digits must match exactly) or choose it from the dropdown. ","")&amp;IF($M293="","Enter the Country after the Item Code - type or paste the name or the 2-letter code, or choose it from the dropdown. ","")&amp;IF(AND($M293&lt;&gt;"",NOT(OR(NOT(ISNA(MATCH(IF(UPPER($M293)="UK","GB",$M293),'PRODUCT DATA'!$A$2:$A$58,0))),NOT(ISNA(MATCH(IF(UPPER($M293)="UK","GB",$M293),'PRODUCT DATA'!$B$2:$B$58,0)))))),"This Country is not recognised as either a full name or a 2-letter code. Check the spelling (case does not matter) or choose it from the dropdown. ","")&amp;IF(AND($A293&lt;&gt;"",$M293&lt;&gt;"",NOT(ISNA(MATCH($AC293,'PRODUCT DATA'!$D$2:$D$394,0))),OR(NOT(ISNA(MATCH(IF(UPPER($M293)="UK","GB",$M293),'PRODUCT DATA'!$A$2:$A$58,0))),NOT(ISNA(MATCH(IF(UPPER($M293)="UK","GB",$M293),'PRODUCT DATA'!$B$2:$B$58,0)))),NOT(IFERROR(COUNTIF(OFFSET('PRODUCT DATA'!$F$2,0,MATCH($AC293,'PRODUCT DATA'!$F$1:$NN$1,0)-1,114,1),$N293)&gt;0,FALSE()))),IF(UPPER(IFERROR(OFFSET('PRODUCT DATA'!$C$2,MATCH($N293,'PRODUCT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"),"")&amp;IF($C293="","Enter Quantity. ","")&amp;IF(AND($C293&lt;&gt;"",OR(NOT(ISNUMBER($C293)),$C293&lt;1,$C293&gt;999,MOD($C293,1)&lt;&gt;0)),"Quantity must be a whole number from 1 to 999 (use a quantity above 1 only for a genuine bulk order of identical items to ONE address — otherwise use a separate row per recipient). ","")&amp;IF($D293="","Enter Recipient Name. ","")&amp;IF(LEN($D293)&gt;35,"Recipient Name exceeds 35 characters. ","")&amp;IF($E293="","Enter Recipient Phone. ","")&amp;IF(AND($E293&lt;&gt;"",OR(LEN($E293)&lt;6,LEN($E293)&gt;20,NOT(IFERROR(ISNUMBER(1*$E293),FALSE())))),"Phone must be the LOCAL number for the destination country: digits only, no +, spaces, or country code, 6 to 20 digits. ","")&amp;IF(LEN($F293)&gt;35,"Recipient Company Name exceeds 35 characters. ","")&amp;IF($G293="","Enter Address Line 1. ","")&amp;IF(LEN($G293)&gt;35,"Address Line 1 exceeds the 35-character SAP limit. ","")&amp;IF(LEN($H293)&gt;35,"Address Line 2 exceeds the 35-character SAP limit. ","")&amp;IF(LEN($I293)&gt;35,"Address Line 3 exceeds the 35-character SAP limit. ","")&amp;IF($J293="","Enter Town. This must never be left blank, even if there is no conventional town name. ","")&amp;IF(LEN($J293)&gt;35,"Town exceeds 35 characters. ","")&amp;IF(AND($N293="IE",$K293=""),"County is required for deliveries within the Republic of Ireland. ","")&amp;IF(LEN($AB293)&gt;35,"County exceeds 35 characters. ","")&amp;IF(AND($L293="",AND($N293&lt;&gt;"AE",$N293&lt;&gt;"QA")),"Postcode is required for the selected country. If there is genuinely no postcode, enter the first 3 characters of the area (e.g. D15). ","")&amp;IF(LEN($L293)&gt;35,"Postcode exceeds 35 characters. ","")&amp;IF($AE293&lt;&gt;"",$AE293,"")&amp;IF(LEN($O293)&gt;40,"Gift Message Line 1 exceeds 40 characters. ","")&amp;IF(LEN($P293)&gt;40,"Gift Message Line 2 exceeds 40 characters. ","")&amp;IF(LEN($Q293)&gt;40,"Gift Message Line 3 exceeds 40 characters. ","")&amp;IF(LEN($R293)&gt;40,"Gift Message Line 4 exceeds 40 characters. ","")&amp;IF(LEN($S293)&gt;40,"Gift Message Line 5 exceeds 40 characters. ","")&amp;IF(LEN($T293)&gt;40,"Gift Message Line 6 exceeds 40 characters. ","")&amp;IF(LEN($U293)&gt;40,"Gift Message Line 7 exceeds 40 characters. ",""))</f>
        <v/>
      </c>
      <c r="Y293" s="44" t="str">
        <f t="shared" si="17"/>
        <v/>
      </c>
      <c r="Z293" s="44"/>
      <c r="AA293" s="44"/>
      <c r="AB293" s="32" t="str">
        <f t="shared" si="18"/>
        <v/>
      </c>
      <c r="AC293" s="32" t="str">
        <f>IF($A293="","",IFERROR(LEFT(INDEX('PRODUCT DATA'!$NO$2:$NO$25,MATCH($A293,'PRODUCT DATA'!$NP$2:$NP$25,0)),FIND("|",INDEX('PRODUCT DATA'!$NO$2:$NO$25,MATCH($A293,'PRODUCT DATA'!$NP$2:$NP$25,0)))-1),$A293))</f>
        <v/>
      </c>
      <c r="AD293" s="45"/>
      <c r="AE293" s="45" t="str">
        <f t="shared" si="19"/>
        <v/>
      </c>
    </row>
    <row r="294" spans="1:31" ht="15" customHeight="1" x14ac:dyDescent="0.25">
      <c r="A294" s="40"/>
      <c r="B294" s="43" t="str">
        <f>IF($A294="","",IFERROR(VLOOKUP($AC294,'PRODUCT DATA'!$NR$2:$NS$374,2,FALSE()),"UNKNOWN ITEM CODE - please check"))</f>
        <v/>
      </c>
      <c r="C294" s="39">
        <v>1</v>
      </c>
      <c r="D294" s="39"/>
      <c r="E294" s="40"/>
      <c r="F294" s="41"/>
      <c r="G294" s="39"/>
      <c r="H294" s="41"/>
      <c r="I294" s="41"/>
      <c r="J294" s="39"/>
      <c r="K294" s="41"/>
      <c r="L294" s="40"/>
      <c r="M294" s="40"/>
      <c r="N294" s="42" t="str">
        <f>IF($M294="","",IFERROR(INDEX('PRODUCT DATA'!$B$2:$B$58,MATCH(IF(UPPER($M294)="UK","GB",$M294),'PRODUCT DATA'!$B$2:$B$58,0)),IFERROR(INDEX('PRODUCT DATA'!$B$2:$B$58,MATCH(IF(UPPER($M294)="UK","GB",$M294),'PRODUCT DATA'!$A$2:$A$58,0)),"UNKNOWN COUNTRY - please check")))</f>
        <v/>
      </c>
      <c r="O294" s="41"/>
      <c r="P294" s="41"/>
      <c r="Q294" s="41"/>
      <c r="R294" s="41"/>
      <c r="S294" s="41"/>
      <c r="T294" s="41"/>
      <c r="U294" s="41"/>
      <c r="V294" s="43" t="str">
        <f t="shared" si="16"/>
        <v/>
      </c>
      <c r="W294" s="44" t="str">
        <f ca="1">IF(COUNTA($A294,$D294:$M294,$O294:$U294)=0,"",IF($A294="","Item Code; ","")&amp;IF(AND($A294&lt;&gt;"",ISNA(MATCH($AC294,'PRODUCT DATA'!$D$2:$D$394,0))),"Item Code; ","")&amp;IF($M294="","Country; ","")&amp;IF(AND($M294&lt;&gt;"",NOT(OR(NOT(ISNA(MATCH(IF(UPPER($M294)="UK","GB",$M294),'PRODUCT DATA'!$A$2:$A$58,0))),NOT(ISNA(MATCH(IF(UPPER($M294)="UK","GB",$M294),'PRODUCT DATA'!$B$2:$B$58,0)))))),"Country; ","")&amp;IF(AND($A294&lt;&gt;"",$M294&lt;&gt;"",NOT(ISNA(MATCH($AC294,'PRODUCT DATA'!$D$2:$D$394,0))),OR(NOT(ISNA(MATCH(IF(UPPER($M294)="UK","GB",$M294),'PRODUCT DATA'!$A$2:$A$58,0))),NOT(ISNA(MATCH(IF(UPPER($M294)="UK","GB",$M294),'PRODUCT DATA'!$B$2:$B$58,0)))),NOT(IFERROR(COUNTIF(OFFSET('PRODUCT DATA'!$F$2,0,MATCH($AC294,'PRODUCT DATA'!$F$1:$NN$1,0)-1,114,1),$N294)&gt;0,FALSE()))),IF(UPPER(IFERROR(OFFSET('PRODUCT DATA'!$C$2,MATCH($N294,'PRODUCT DATA'!$B$2:$B$58,0)-1,0),""))="NO","Alcohol Restriction; ","Item Code / Country combination; "),"")&amp;IF($C294="","Quantity; ","")&amp;IF(AND($C294&lt;&gt;"",OR(NOT(ISNUMBER($C294)),$C294&lt;1,$C294&gt;999,MOD($C294,1)&lt;&gt;0)),"Quantity; ","")&amp;IF($D294="","Recipient Name; ","")&amp;IF(LEN($D294)&gt;35,"Recipient Name; ","")&amp;IF($E294="","Recipient Phone; ","")&amp;IF(AND($E294&lt;&gt;"",OR(LEN($E294)&lt;6,LEN($E294)&gt;20,NOT(IFERROR(ISNUMBER(1*$E294),FALSE())))),"Recipient Phone; ","")&amp;IF(LEN($F294)&gt;35,"Recipient Company Name; ","")&amp;IF($G294="","Address Line 1; ","")&amp;IF(LEN($G294)&gt;35,"Address Line 1; ","")&amp;IF(LEN($H294)&gt;35,"Address Line 2; ","")&amp;IF(LEN($I294)&gt;35,"Address Line 3; ","")&amp;IF($J294="","Town; ","")&amp;IF(LEN($J294)&gt;35,"Town; ","")&amp;IF(AND($N294="IE",$K294=""),"County; ","")&amp;IF(LEN($AB294)&gt;35,"County; ","")&amp;IF(AND($L294="",AND($N294&lt;&gt;"AE",$N294&lt;&gt;"QA")),"Postcode; ","")&amp;IF(LEN($L294)&gt;35,"Postcode; ","")&amp;IF($AE294&lt;&gt;"","Postcode; ","")&amp;IF(LEN($O294)&gt;40,"Gift Message 1; ","")&amp;IF(LEN($P294)&gt;40,"Gift Message 2; ","")&amp;IF(LEN($Q294)&gt;40,"Gift Message 3; ","")&amp;IF(LEN($R294)&gt;40,"Gift Message 4; ","")&amp;IF(LEN($S294)&gt;40,"Gift Message 5; ","")&amp;IF(LEN($T294)&gt;40,"Gift Message 6; ","")&amp;IF(LEN($U294)&gt;40,"Gift Message 7; ",""))</f>
        <v/>
      </c>
      <c r="X294" s="44" t="str">
        <f ca="1">IF(COUNTA($A294,$D294:$M294,$O294:$U294)=0,"",IF($A294="","Enter the Item Code (hamper) - type it, paste it, or choose it from the dropdown. ","")&amp;IF(AND($A294&lt;&gt;"",ISNA(MATCH($AC294,'PRODUCT DATA'!$D$2:$D$394,0))),"This Item Code is not recognised. Check the code (case does not matter, but spelling and digits must match exactly) or choose it from the dropdown. ","")&amp;IF($M294="","Enter the Country after the Item Code - type or paste the name or the 2-letter code, or choose it from the dropdown. ","")&amp;IF(AND($M294&lt;&gt;"",NOT(OR(NOT(ISNA(MATCH(IF(UPPER($M294)="UK","GB",$M294),'PRODUCT DATA'!$A$2:$A$58,0))),NOT(ISNA(MATCH(IF(UPPER($M294)="UK","GB",$M294),'PRODUCT DATA'!$B$2:$B$58,0)))))),"This Country is not recognised as either a full name or a 2-letter code. Check the spelling (case does not matter) or choose it from the dropdown. ","")&amp;IF(AND($A294&lt;&gt;"",$M294&lt;&gt;"",NOT(ISNA(MATCH($AC294,'PRODUCT DATA'!$D$2:$D$394,0))),OR(NOT(ISNA(MATCH(IF(UPPER($M294)="UK","GB",$M294),'PRODUCT DATA'!$A$2:$A$58,0))),NOT(ISNA(MATCH(IF(UPPER($M294)="UK","GB",$M294),'PRODUCT DATA'!$B$2:$B$58,0)))),NOT(IFERROR(COUNTIF(OFFSET('PRODUCT DATA'!$F$2,0,MATCH($AC294,'PRODUCT DATA'!$F$1:$NN$1,0)-1,114,1),$N294)&gt;0,FALSE()))),IF(UPPER(IFERROR(OFFSET('PRODUCT DATA'!$C$2,MATCH($N294,'PRODUCT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"),"")&amp;IF($C294="","Enter Quantity. ","")&amp;IF(AND($C294&lt;&gt;"",OR(NOT(ISNUMBER($C294)),$C294&lt;1,$C294&gt;999,MOD($C294,1)&lt;&gt;0)),"Quantity must be a whole number from 1 to 999 (use a quantity above 1 only for a genuine bulk order of identical items to ONE address — otherwise use a separate row per recipient). ","")&amp;IF($D294="","Enter Recipient Name. ","")&amp;IF(LEN($D294)&gt;35,"Recipient Name exceeds 35 characters. ","")&amp;IF($E294="","Enter Recipient Phone. ","")&amp;IF(AND($E294&lt;&gt;"",OR(LEN($E294)&lt;6,LEN($E294)&gt;20,NOT(IFERROR(ISNUMBER(1*$E294),FALSE())))),"Phone must be the LOCAL number for the destination country: digits only, no +, spaces, or country code, 6 to 20 digits. ","")&amp;IF(LEN($F294)&gt;35,"Recipient Company Name exceeds 35 characters. ","")&amp;IF($G294="","Enter Address Line 1. ","")&amp;IF(LEN($G294)&gt;35,"Address Line 1 exceeds the 35-character SAP limit. ","")&amp;IF(LEN($H294)&gt;35,"Address Line 2 exceeds the 35-character SAP limit. ","")&amp;IF(LEN($I294)&gt;35,"Address Line 3 exceeds the 35-character SAP limit. ","")&amp;IF($J294="","Enter Town. This must never be left blank, even if there is no conventional town name. ","")&amp;IF(LEN($J294)&gt;35,"Town exceeds 35 characters. ","")&amp;IF(AND($N294="IE",$K294=""),"County is required for deliveries within the Republic of Ireland. ","")&amp;IF(LEN($AB294)&gt;35,"County exceeds 35 characters. ","")&amp;IF(AND($L294="",AND($N294&lt;&gt;"AE",$N294&lt;&gt;"QA")),"Postcode is required for the selected country. If there is genuinely no postcode, enter the first 3 characters of the area (e.g. D15). ","")&amp;IF(LEN($L294)&gt;35,"Postcode exceeds 35 characters. ","")&amp;IF($AE294&lt;&gt;"",$AE294,"")&amp;IF(LEN($O294)&gt;40,"Gift Message Line 1 exceeds 40 characters. ","")&amp;IF(LEN($P294)&gt;40,"Gift Message Line 2 exceeds 40 characters. ","")&amp;IF(LEN($Q294)&gt;40,"Gift Message Line 3 exceeds 40 characters. ","")&amp;IF(LEN($R294)&gt;40,"Gift Message Line 4 exceeds 40 characters. ","")&amp;IF(LEN($S294)&gt;40,"Gift Message Line 5 exceeds 40 characters. ","")&amp;IF(LEN($T294)&gt;40,"Gift Message Line 6 exceeds 40 characters. ","")&amp;IF(LEN($U294)&gt;40,"Gift Message Line 7 exceeds 40 characters. ",""))</f>
        <v/>
      </c>
      <c r="Y294" s="44" t="str">
        <f t="shared" si="17"/>
        <v/>
      </c>
      <c r="Z294" s="44"/>
      <c r="AA294" s="44"/>
      <c r="AB294" s="32" t="str">
        <f t="shared" si="18"/>
        <v/>
      </c>
      <c r="AC294" s="32" t="str">
        <f>IF($A294="","",IFERROR(LEFT(INDEX('PRODUCT DATA'!$NO$2:$NO$25,MATCH($A294,'PRODUCT DATA'!$NP$2:$NP$25,0)),FIND("|",INDEX('PRODUCT DATA'!$NO$2:$NO$25,MATCH($A294,'PRODUCT DATA'!$NP$2:$NP$25,0)))-1),$A294))</f>
        <v/>
      </c>
      <c r="AD294" s="45"/>
      <c r="AE294" s="45" t="str">
        <f t="shared" si="19"/>
        <v/>
      </c>
    </row>
    <row r="295" spans="1:31" ht="15" customHeight="1" x14ac:dyDescent="0.25">
      <c r="A295" s="40"/>
      <c r="B295" s="43" t="str">
        <f>IF($A295="","",IFERROR(VLOOKUP($AC295,'PRODUCT DATA'!$NR$2:$NS$374,2,FALSE()),"UNKNOWN ITEM CODE - please check"))</f>
        <v/>
      </c>
      <c r="C295" s="39">
        <v>1</v>
      </c>
      <c r="D295" s="39"/>
      <c r="E295" s="40"/>
      <c r="F295" s="41"/>
      <c r="G295" s="39"/>
      <c r="H295" s="41"/>
      <c r="I295" s="41"/>
      <c r="J295" s="39"/>
      <c r="K295" s="41"/>
      <c r="L295" s="40"/>
      <c r="M295" s="40"/>
      <c r="N295" s="42" t="str">
        <f>IF($M295="","",IFERROR(INDEX('PRODUCT DATA'!$B$2:$B$58,MATCH(IF(UPPER($M295)="UK","GB",$M295),'PRODUCT DATA'!$B$2:$B$58,0)),IFERROR(INDEX('PRODUCT DATA'!$B$2:$B$58,MATCH(IF(UPPER($M295)="UK","GB",$M295),'PRODUCT DATA'!$A$2:$A$58,0)),"UNKNOWN COUNTRY - please check")))</f>
        <v/>
      </c>
      <c r="O295" s="41"/>
      <c r="P295" s="41"/>
      <c r="Q295" s="41"/>
      <c r="R295" s="41"/>
      <c r="S295" s="41"/>
      <c r="T295" s="41"/>
      <c r="U295" s="41"/>
      <c r="V295" s="43" t="str">
        <f t="shared" si="16"/>
        <v/>
      </c>
      <c r="W295" s="44" t="str">
        <f ca="1">IF(COUNTA($A295,$D295:$M295,$O295:$U295)=0,"",IF($A295="","Item Code; ","")&amp;IF(AND($A295&lt;&gt;"",ISNA(MATCH($AC295,'PRODUCT DATA'!$D$2:$D$394,0))),"Item Code; ","")&amp;IF($M295="","Country; ","")&amp;IF(AND($M295&lt;&gt;"",NOT(OR(NOT(ISNA(MATCH(IF(UPPER($M295)="UK","GB",$M295),'PRODUCT DATA'!$A$2:$A$58,0))),NOT(ISNA(MATCH(IF(UPPER($M295)="UK","GB",$M295),'PRODUCT DATA'!$B$2:$B$58,0)))))),"Country; ","")&amp;IF(AND($A295&lt;&gt;"",$M295&lt;&gt;"",NOT(ISNA(MATCH($AC295,'PRODUCT DATA'!$D$2:$D$394,0))),OR(NOT(ISNA(MATCH(IF(UPPER($M295)="UK","GB",$M295),'PRODUCT DATA'!$A$2:$A$58,0))),NOT(ISNA(MATCH(IF(UPPER($M295)="UK","GB",$M295),'PRODUCT DATA'!$B$2:$B$58,0)))),NOT(IFERROR(COUNTIF(OFFSET('PRODUCT DATA'!$F$2,0,MATCH($AC295,'PRODUCT DATA'!$F$1:$NN$1,0)-1,114,1),$N295)&gt;0,FALSE()))),IF(UPPER(IFERROR(OFFSET('PRODUCT DATA'!$C$2,MATCH($N295,'PRODUCT DATA'!$B$2:$B$58,0)-1,0),""))="NO","Alcohol Restriction; ","Item Code / Country combination; "),"")&amp;IF($C295="","Quantity; ","")&amp;IF(AND($C295&lt;&gt;"",OR(NOT(ISNUMBER($C295)),$C295&lt;1,$C295&gt;999,MOD($C295,1)&lt;&gt;0)),"Quantity; ","")&amp;IF($D295="","Recipient Name; ","")&amp;IF(LEN($D295)&gt;35,"Recipient Name; ","")&amp;IF($E295="","Recipient Phone; ","")&amp;IF(AND($E295&lt;&gt;"",OR(LEN($E295)&lt;6,LEN($E295)&gt;20,NOT(IFERROR(ISNUMBER(1*$E295),FALSE())))),"Recipient Phone; ","")&amp;IF(LEN($F295)&gt;35,"Recipient Company Name; ","")&amp;IF($G295="","Address Line 1; ","")&amp;IF(LEN($G295)&gt;35,"Address Line 1; ","")&amp;IF(LEN($H295)&gt;35,"Address Line 2; ","")&amp;IF(LEN($I295)&gt;35,"Address Line 3; ","")&amp;IF($J295="","Town; ","")&amp;IF(LEN($J295)&gt;35,"Town; ","")&amp;IF(AND($N295="IE",$K295=""),"County; ","")&amp;IF(LEN($AB295)&gt;35,"County; ","")&amp;IF(AND($L295="",AND($N295&lt;&gt;"AE",$N295&lt;&gt;"QA")),"Postcode; ","")&amp;IF(LEN($L295)&gt;35,"Postcode; ","")&amp;IF($AE295&lt;&gt;"","Postcode; ","")&amp;IF(LEN($O295)&gt;40,"Gift Message 1; ","")&amp;IF(LEN($P295)&gt;40,"Gift Message 2; ","")&amp;IF(LEN($Q295)&gt;40,"Gift Message 3; ","")&amp;IF(LEN($R295)&gt;40,"Gift Message 4; ","")&amp;IF(LEN($S295)&gt;40,"Gift Message 5; ","")&amp;IF(LEN($T295)&gt;40,"Gift Message 6; ","")&amp;IF(LEN($U295)&gt;40,"Gift Message 7; ",""))</f>
        <v/>
      </c>
      <c r="X295" s="44" t="str">
        <f ca="1">IF(COUNTA($A295,$D295:$M295,$O295:$U295)=0,"",IF($A295="","Enter the Item Code (hamper) - type it, paste it, or choose it from the dropdown. ","")&amp;IF(AND($A295&lt;&gt;"",ISNA(MATCH($AC295,'PRODUCT DATA'!$D$2:$D$394,0))),"This Item Code is not recognised. Check the code (case does not matter, but spelling and digits must match exactly) or choose it from the dropdown. ","")&amp;IF($M295="","Enter the Country after the Item Code - type or paste the name or the 2-letter code, or choose it from the dropdown. ","")&amp;IF(AND($M295&lt;&gt;"",NOT(OR(NOT(ISNA(MATCH(IF(UPPER($M295)="UK","GB",$M295),'PRODUCT DATA'!$A$2:$A$58,0))),NOT(ISNA(MATCH(IF(UPPER($M295)="UK","GB",$M295),'PRODUCT DATA'!$B$2:$B$58,0)))))),"This Country is not recognised as either a full name or a 2-letter code. Check the spelling (case does not matter) or choose it from the dropdown. ","")&amp;IF(AND($A295&lt;&gt;"",$M295&lt;&gt;"",NOT(ISNA(MATCH($AC295,'PRODUCT DATA'!$D$2:$D$394,0))),OR(NOT(ISNA(MATCH(IF(UPPER($M295)="UK","GB",$M295),'PRODUCT DATA'!$A$2:$A$58,0))),NOT(ISNA(MATCH(IF(UPPER($M295)="UK","GB",$M295),'PRODUCT DATA'!$B$2:$B$58,0)))),NOT(IFERROR(COUNTIF(OFFSET('PRODUCT DATA'!$F$2,0,MATCH($AC295,'PRODUCT DATA'!$F$1:$NN$1,0)-1,114,1),$N295)&gt;0,FALSE()))),IF(UPPER(IFERROR(OFFSET('PRODUCT DATA'!$C$2,MATCH($N295,'PRODUCT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"),"")&amp;IF($C295="","Enter Quantity. ","")&amp;IF(AND($C295&lt;&gt;"",OR(NOT(ISNUMBER($C295)),$C295&lt;1,$C295&gt;999,MOD($C295,1)&lt;&gt;0)),"Quantity must be a whole number from 1 to 999 (use a quantity above 1 only for a genuine bulk order of identical items to ONE address — otherwise use a separate row per recipient). ","")&amp;IF($D295="","Enter Recipient Name. ","")&amp;IF(LEN($D295)&gt;35,"Recipient Name exceeds 35 characters. ","")&amp;IF($E295="","Enter Recipient Phone. ","")&amp;IF(AND($E295&lt;&gt;"",OR(LEN($E295)&lt;6,LEN($E295)&gt;20,NOT(IFERROR(ISNUMBER(1*$E295),FALSE())))),"Phone must be the LOCAL number for the destination country: digits only, no +, spaces, or country code, 6 to 20 digits. ","")&amp;IF(LEN($F295)&gt;35,"Recipient Company Name exceeds 35 characters. ","")&amp;IF($G295="","Enter Address Line 1. ","")&amp;IF(LEN($G295)&gt;35,"Address Line 1 exceeds the 35-character SAP limit. ","")&amp;IF(LEN($H295)&gt;35,"Address Line 2 exceeds the 35-character SAP limit. ","")&amp;IF(LEN($I295)&gt;35,"Address Line 3 exceeds the 35-character SAP limit. ","")&amp;IF($J295="","Enter Town. This must never be left blank, even if there is no conventional town name. ","")&amp;IF(LEN($J295)&gt;35,"Town exceeds 35 characters. ","")&amp;IF(AND($N295="IE",$K295=""),"County is required for deliveries within the Republic of Ireland. ","")&amp;IF(LEN($AB295)&gt;35,"County exceeds 35 characters. ","")&amp;IF(AND($L295="",AND($N295&lt;&gt;"AE",$N295&lt;&gt;"QA")),"Postcode is required for the selected country. If there is genuinely no postcode, enter the first 3 characters of the area (e.g. D15). ","")&amp;IF(LEN($L295)&gt;35,"Postcode exceeds 35 characters. ","")&amp;IF($AE295&lt;&gt;"",$AE295,"")&amp;IF(LEN($O295)&gt;40,"Gift Message Line 1 exceeds 40 characters. ","")&amp;IF(LEN($P295)&gt;40,"Gift Message Line 2 exceeds 40 characters. ","")&amp;IF(LEN($Q295)&gt;40,"Gift Message Line 3 exceeds 40 characters. ","")&amp;IF(LEN($R295)&gt;40,"Gift Message Line 4 exceeds 40 characters. ","")&amp;IF(LEN($S295)&gt;40,"Gift Message Line 5 exceeds 40 characters. ","")&amp;IF(LEN($T295)&gt;40,"Gift Message Line 6 exceeds 40 characters. ","")&amp;IF(LEN($U295)&gt;40,"Gift Message Line 7 exceeds 40 characters. ",""))</f>
        <v/>
      </c>
      <c r="Y295" s="44" t="str">
        <f t="shared" si="17"/>
        <v/>
      </c>
      <c r="Z295" s="44"/>
      <c r="AA295" s="44"/>
      <c r="AB295" s="32" t="str">
        <f t="shared" si="18"/>
        <v/>
      </c>
      <c r="AC295" s="32" t="str">
        <f>IF($A295="","",IFERROR(LEFT(INDEX('PRODUCT DATA'!$NO$2:$NO$25,MATCH($A295,'PRODUCT DATA'!$NP$2:$NP$25,0)),FIND("|",INDEX('PRODUCT DATA'!$NO$2:$NO$25,MATCH($A295,'PRODUCT DATA'!$NP$2:$NP$25,0)))-1),$A295))</f>
        <v/>
      </c>
      <c r="AD295" s="45"/>
      <c r="AE295" s="45" t="str">
        <f t="shared" si="19"/>
        <v/>
      </c>
    </row>
    <row r="296" spans="1:31" ht="15" customHeight="1" x14ac:dyDescent="0.25">
      <c r="A296" s="40"/>
      <c r="B296" s="43" t="str">
        <f>IF($A296="","",IFERROR(VLOOKUP($AC296,'PRODUCT DATA'!$NR$2:$NS$374,2,FALSE()),"UNKNOWN ITEM CODE - please check"))</f>
        <v/>
      </c>
      <c r="C296" s="39">
        <v>1</v>
      </c>
      <c r="D296" s="39"/>
      <c r="E296" s="40"/>
      <c r="F296" s="41"/>
      <c r="G296" s="39"/>
      <c r="H296" s="41"/>
      <c r="I296" s="41"/>
      <c r="J296" s="39"/>
      <c r="K296" s="41"/>
      <c r="L296" s="40"/>
      <c r="M296" s="40"/>
      <c r="N296" s="42" t="str">
        <f>IF($M296="","",IFERROR(INDEX('PRODUCT DATA'!$B$2:$B$58,MATCH(IF(UPPER($M296)="UK","GB",$M296),'PRODUCT DATA'!$B$2:$B$58,0)),IFERROR(INDEX('PRODUCT DATA'!$B$2:$B$58,MATCH(IF(UPPER($M296)="UK","GB",$M296),'PRODUCT DATA'!$A$2:$A$58,0)),"UNKNOWN COUNTRY - please check")))</f>
        <v/>
      </c>
      <c r="O296" s="41"/>
      <c r="P296" s="41"/>
      <c r="Q296" s="41"/>
      <c r="R296" s="41"/>
      <c r="S296" s="41"/>
      <c r="T296" s="41"/>
      <c r="U296" s="41"/>
      <c r="V296" s="43" t="str">
        <f t="shared" si="16"/>
        <v/>
      </c>
      <c r="W296" s="44" t="str">
        <f ca="1">IF(COUNTA($A296,$D296:$M296,$O296:$U296)=0,"",IF($A296="","Item Code; ","")&amp;IF(AND($A296&lt;&gt;"",ISNA(MATCH($AC296,'PRODUCT DATA'!$D$2:$D$394,0))),"Item Code; ","")&amp;IF($M296="","Country; ","")&amp;IF(AND($M296&lt;&gt;"",NOT(OR(NOT(ISNA(MATCH(IF(UPPER($M296)="UK","GB",$M296),'PRODUCT DATA'!$A$2:$A$58,0))),NOT(ISNA(MATCH(IF(UPPER($M296)="UK","GB",$M296),'PRODUCT DATA'!$B$2:$B$58,0)))))),"Country; ","")&amp;IF(AND($A296&lt;&gt;"",$M296&lt;&gt;"",NOT(ISNA(MATCH($AC296,'PRODUCT DATA'!$D$2:$D$394,0))),OR(NOT(ISNA(MATCH(IF(UPPER($M296)="UK","GB",$M296),'PRODUCT DATA'!$A$2:$A$58,0))),NOT(ISNA(MATCH(IF(UPPER($M296)="UK","GB",$M296),'PRODUCT DATA'!$B$2:$B$58,0)))),NOT(IFERROR(COUNTIF(OFFSET('PRODUCT DATA'!$F$2,0,MATCH($AC296,'PRODUCT DATA'!$F$1:$NN$1,0)-1,114,1),$N296)&gt;0,FALSE()))),IF(UPPER(IFERROR(OFFSET('PRODUCT DATA'!$C$2,MATCH($N296,'PRODUCT DATA'!$B$2:$B$58,0)-1,0),""))="NO","Alcohol Restriction; ","Item Code / Country combination; "),"")&amp;IF($C296="","Quantity; ","")&amp;IF(AND($C296&lt;&gt;"",OR(NOT(ISNUMBER($C296)),$C296&lt;1,$C296&gt;999,MOD($C296,1)&lt;&gt;0)),"Quantity; ","")&amp;IF($D296="","Recipient Name; ","")&amp;IF(LEN($D296)&gt;35,"Recipient Name; ","")&amp;IF($E296="","Recipient Phone; ","")&amp;IF(AND($E296&lt;&gt;"",OR(LEN($E296)&lt;6,LEN($E296)&gt;20,NOT(IFERROR(ISNUMBER(1*$E296),FALSE())))),"Recipient Phone; ","")&amp;IF(LEN($F296)&gt;35,"Recipient Company Name; ","")&amp;IF($G296="","Address Line 1; ","")&amp;IF(LEN($G296)&gt;35,"Address Line 1; ","")&amp;IF(LEN($H296)&gt;35,"Address Line 2; ","")&amp;IF(LEN($I296)&gt;35,"Address Line 3; ","")&amp;IF($J296="","Town; ","")&amp;IF(LEN($J296)&gt;35,"Town; ","")&amp;IF(AND($N296="IE",$K296=""),"County; ","")&amp;IF(LEN($AB296)&gt;35,"County; ","")&amp;IF(AND($L296="",AND($N296&lt;&gt;"AE",$N296&lt;&gt;"QA")),"Postcode; ","")&amp;IF(LEN($L296)&gt;35,"Postcode; ","")&amp;IF($AE296&lt;&gt;"","Postcode; ","")&amp;IF(LEN($O296)&gt;40,"Gift Message 1; ","")&amp;IF(LEN($P296)&gt;40,"Gift Message 2; ","")&amp;IF(LEN($Q296)&gt;40,"Gift Message 3; ","")&amp;IF(LEN($R296)&gt;40,"Gift Message 4; ","")&amp;IF(LEN($S296)&gt;40,"Gift Message 5; ","")&amp;IF(LEN($T296)&gt;40,"Gift Message 6; ","")&amp;IF(LEN($U296)&gt;40,"Gift Message 7; ",""))</f>
        <v/>
      </c>
      <c r="X296" s="44" t="str">
        <f ca="1">IF(COUNTA($A296,$D296:$M296,$O296:$U296)=0,"",IF($A296="","Enter the Item Code (hamper) - type it, paste it, or choose it from the dropdown. ","")&amp;IF(AND($A296&lt;&gt;"",ISNA(MATCH($AC296,'PRODUCT DATA'!$D$2:$D$394,0))),"This Item Code is not recognised. Check the code (case does not matter, but spelling and digits must match exactly) or choose it from the dropdown. ","")&amp;IF($M296="","Enter the Country after the Item Code - type or paste the name or the 2-letter code, or choose it from the dropdown. ","")&amp;IF(AND($M296&lt;&gt;"",NOT(OR(NOT(ISNA(MATCH(IF(UPPER($M296)="UK","GB",$M296),'PRODUCT DATA'!$A$2:$A$58,0))),NOT(ISNA(MATCH(IF(UPPER($M296)="UK","GB",$M296),'PRODUCT DATA'!$B$2:$B$58,0)))))),"This Country is not recognised as either a full name or a 2-letter code. Check the spelling (case does not matter) or choose it from the dropdown. ","")&amp;IF(AND($A296&lt;&gt;"",$M296&lt;&gt;"",NOT(ISNA(MATCH($AC296,'PRODUCT DATA'!$D$2:$D$394,0))),OR(NOT(ISNA(MATCH(IF(UPPER($M296)="UK","GB",$M296),'PRODUCT DATA'!$A$2:$A$58,0))),NOT(ISNA(MATCH(IF(UPPER($M296)="UK","GB",$M296),'PRODUCT DATA'!$B$2:$B$58,0)))),NOT(IFERROR(COUNTIF(OFFSET('PRODUCT DATA'!$F$2,0,MATCH($AC296,'PRODUCT DATA'!$F$1:$NN$1,0)-1,114,1),$N296)&gt;0,FALSE()))),IF(UPPER(IFERROR(OFFSET('PRODUCT DATA'!$C$2,MATCH($N296,'PRODUCT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"),"")&amp;IF($C296="","Enter Quantity. ","")&amp;IF(AND($C296&lt;&gt;"",OR(NOT(ISNUMBER($C296)),$C296&lt;1,$C296&gt;999,MOD($C296,1)&lt;&gt;0)),"Quantity must be a whole number from 1 to 999 (use a quantity above 1 only for a genuine bulk order of identical items to ONE address — otherwise use a separate row per recipient). ","")&amp;IF($D296="","Enter Recipient Name. ","")&amp;IF(LEN($D296)&gt;35,"Recipient Name exceeds 35 characters. ","")&amp;IF($E296="","Enter Recipient Phone. ","")&amp;IF(AND($E296&lt;&gt;"",OR(LEN($E296)&lt;6,LEN($E296)&gt;20,NOT(IFERROR(ISNUMBER(1*$E296),FALSE())))),"Phone must be the LOCAL number for the destination country: digits only, no +, spaces, or country code, 6 to 20 digits. ","")&amp;IF(LEN($F296)&gt;35,"Recipient Company Name exceeds 35 characters. ","")&amp;IF($G296="","Enter Address Line 1. ","")&amp;IF(LEN($G296)&gt;35,"Address Line 1 exceeds the 35-character SAP limit. ","")&amp;IF(LEN($H296)&gt;35,"Address Line 2 exceeds the 35-character SAP limit. ","")&amp;IF(LEN($I296)&gt;35,"Address Line 3 exceeds the 35-character SAP limit. ","")&amp;IF($J296="","Enter Town. This must never be left blank, even if there is no conventional town name. ","")&amp;IF(LEN($J296)&gt;35,"Town exceeds 35 characters. ","")&amp;IF(AND($N296="IE",$K296=""),"County is required for deliveries within the Republic of Ireland. ","")&amp;IF(LEN($AB296)&gt;35,"County exceeds 35 characters. ","")&amp;IF(AND($L296="",AND($N296&lt;&gt;"AE",$N296&lt;&gt;"QA")),"Postcode is required for the selected country. If there is genuinely no postcode, enter the first 3 characters of the area (e.g. D15). ","")&amp;IF(LEN($L296)&gt;35,"Postcode exceeds 35 characters. ","")&amp;IF($AE296&lt;&gt;"",$AE296,"")&amp;IF(LEN($O296)&gt;40,"Gift Message Line 1 exceeds 40 characters. ","")&amp;IF(LEN($P296)&gt;40,"Gift Message Line 2 exceeds 40 characters. ","")&amp;IF(LEN($Q296)&gt;40,"Gift Message Line 3 exceeds 40 characters. ","")&amp;IF(LEN($R296)&gt;40,"Gift Message Line 4 exceeds 40 characters. ","")&amp;IF(LEN($S296)&gt;40,"Gift Message Line 5 exceeds 40 characters. ","")&amp;IF(LEN($T296)&gt;40,"Gift Message Line 6 exceeds 40 characters. ","")&amp;IF(LEN($U296)&gt;40,"Gift Message Line 7 exceeds 40 characters. ",""))</f>
        <v/>
      </c>
      <c r="Y296" s="44" t="str">
        <f t="shared" si="17"/>
        <v/>
      </c>
      <c r="Z296" s="44"/>
      <c r="AA296" s="44"/>
      <c r="AB296" s="32" t="str">
        <f t="shared" si="18"/>
        <v/>
      </c>
      <c r="AC296" s="32" t="str">
        <f>IF($A296="","",IFERROR(LEFT(INDEX('PRODUCT DATA'!$NO$2:$NO$25,MATCH($A296,'PRODUCT DATA'!$NP$2:$NP$25,0)),FIND("|",INDEX('PRODUCT DATA'!$NO$2:$NO$25,MATCH($A296,'PRODUCT DATA'!$NP$2:$NP$25,0)))-1),$A296))</f>
        <v/>
      </c>
      <c r="AD296" s="45"/>
      <c r="AE296" s="45" t="str">
        <f t="shared" si="19"/>
        <v/>
      </c>
    </row>
    <row r="297" spans="1:31" ht="15" customHeight="1" x14ac:dyDescent="0.25">
      <c r="A297" s="40"/>
      <c r="B297" s="43" t="str">
        <f>IF($A297="","",IFERROR(VLOOKUP($AC297,'PRODUCT DATA'!$NR$2:$NS$374,2,FALSE()),"UNKNOWN ITEM CODE - please check"))</f>
        <v/>
      </c>
      <c r="C297" s="39">
        <v>1</v>
      </c>
      <c r="D297" s="39"/>
      <c r="E297" s="40"/>
      <c r="F297" s="41"/>
      <c r="G297" s="39"/>
      <c r="H297" s="41"/>
      <c r="I297" s="41"/>
      <c r="J297" s="39"/>
      <c r="K297" s="41"/>
      <c r="L297" s="40"/>
      <c r="M297" s="40"/>
      <c r="N297" s="42" t="str">
        <f>IF($M297="","",IFERROR(INDEX('PRODUCT DATA'!$B$2:$B$58,MATCH(IF(UPPER($M297)="UK","GB",$M297),'PRODUCT DATA'!$B$2:$B$58,0)),IFERROR(INDEX('PRODUCT DATA'!$B$2:$B$58,MATCH(IF(UPPER($M297)="UK","GB",$M297),'PRODUCT DATA'!$A$2:$A$58,0)),"UNKNOWN COUNTRY - please check")))</f>
        <v/>
      </c>
      <c r="O297" s="41"/>
      <c r="P297" s="41"/>
      <c r="Q297" s="41"/>
      <c r="R297" s="41"/>
      <c r="S297" s="41"/>
      <c r="T297" s="41"/>
      <c r="U297" s="41"/>
      <c r="V297" s="43" t="str">
        <f t="shared" si="16"/>
        <v/>
      </c>
      <c r="W297" s="44" t="str">
        <f ca="1">IF(COUNTA($A297,$D297:$M297,$O297:$U297)=0,"",IF($A297="","Item Code; ","")&amp;IF(AND($A297&lt;&gt;"",ISNA(MATCH($AC297,'PRODUCT DATA'!$D$2:$D$394,0))),"Item Code; ","")&amp;IF($M297="","Country; ","")&amp;IF(AND($M297&lt;&gt;"",NOT(OR(NOT(ISNA(MATCH(IF(UPPER($M297)="UK","GB",$M297),'PRODUCT DATA'!$A$2:$A$58,0))),NOT(ISNA(MATCH(IF(UPPER($M297)="UK","GB",$M297),'PRODUCT DATA'!$B$2:$B$58,0)))))),"Country; ","")&amp;IF(AND($A297&lt;&gt;"",$M297&lt;&gt;"",NOT(ISNA(MATCH($AC297,'PRODUCT DATA'!$D$2:$D$394,0))),OR(NOT(ISNA(MATCH(IF(UPPER($M297)="UK","GB",$M297),'PRODUCT DATA'!$A$2:$A$58,0))),NOT(ISNA(MATCH(IF(UPPER($M297)="UK","GB",$M297),'PRODUCT DATA'!$B$2:$B$58,0)))),NOT(IFERROR(COUNTIF(OFFSET('PRODUCT DATA'!$F$2,0,MATCH($AC297,'PRODUCT DATA'!$F$1:$NN$1,0)-1,114,1),$N297)&gt;0,FALSE()))),IF(UPPER(IFERROR(OFFSET('PRODUCT DATA'!$C$2,MATCH($N297,'PRODUCT DATA'!$B$2:$B$58,0)-1,0),""))="NO","Alcohol Restriction; ","Item Code / Country combination; "),"")&amp;IF($C297="","Quantity; ","")&amp;IF(AND($C297&lt;&gt;"",OR(NOT(ISNUMBER($C297)),$C297&lt;1,$C297&gt;999,MOD($C297,1)&lt;&gt;0)),"Quantity; ","")&amp;IF($D297="","Recipient Name; ","")&amp;IF(LEN($D297)&gt;35,"Recipient Name; ","")&amp;IF($E297="","Recipient Phone; ","")&amp;IF(AND($E297&lt;&gt;"",OR(LEN($E297)&lt;6,LEN($E297)&gt;20,NOT(IFERROR(ISNUMBER(1*$E297),FALSE())))),"Recipient Phone; ","")&amp;IF(LEN($F297)&gt;35,"Recipient Company Name; ","")&amp;IF($G297="","Address Line 1; ","")&amp;IF(LEN($G297)&gt;35,"Address Line 1; ","")&amp;IF(LEN($H297)&gt;35,"Address Line 2; ","")&amp;IF(LEN($I297)&gt;35,"Address Line 3; ","")&amp;IF($J297="","Town; ","")&amp;IF(LEN($J297)&gt;35,"Town; ","")&amp;IF(AND($N297="IE",$K297=""),"County; ","")&amp;IF(LEN($AB297)&gt;35,"County; ","")&amp;IF(AND($L297="",AND($N297&lt;&gt;"AE",$N297&lt;&gt;"QA")),"Postcode; ","")&amp;IF(LEN($L297)&gt;35,"Postcode; ","")&amp;IF($AE297&lt;&gt;"","Postcode; ","")&amp;IF(LEN($O297)&gt;40,"Gift Message 1; ","")&amp;IF(LEN($P297)&gt;40,"Gift Message 2; ","")&amp;IF(LEN($Q297)&gt;40,"Gift Message 3; ","")&amp;IF(LEN($R297)&gt;40,"Gift Message 4; ","")&amp;IF(LEN($S297)&gt;40,"Gift Message 5; ","")&amp;IF(LEN($T297)&gt;40,"Gift Message 6; ","")&amp;IF(LEN($U297)&gt;40,"Gift Message 7; ",""))</f>
        <v/>
      </c>
      <c r="X297" s="44" t="str">
        <f ca="1">IF(COUNTA($A297,$D297:$M297,$O297:$U297)=0,"",IF($A297="","Enter the Item Code (hamper) - type it, paste it, or choose it from the dropdown. ","")&amp;IF(AND($A297&lt;&gt;"",ISNA(MATCH($AC297,'PRODUCT DATA'!$D$2:$D$394,0))),"This Item Code is not recognised. Check the code (case does not matter, but spelling and digits must match exactly) or choose it from the dropdown. ","")&amp;IF($M297="","Enter the Country after the Item Code - type or paste the name or the 2-letter code, or choose it from the dropdown. ","")&amp;IF(AND($M297&lt;&gt;"",NOT(OR(NOT(ISNA(MATCH(IF(UPPER($M297)="UK","GB",$M297),'PRODUCT DATA'!$A$2:$A$58,0))),NOT(ISNA(MATCH(IF(UPPER($M297)="UK","GB",$M297),'PRODUCT DATA'!$B$2:$B$58,0)))))),"This Country is not recognised as either a full name or a 2-letter code. Check the spelling (case does not matter) or choose it from the dropdown. ","")&amp;IF(AND($A297&lt;&gt;"",$M297&lt;&gt;"",NOT(ISNA(MATCH($AC297,'PRODUCT DATA'!$D$2:$D$394,0))),OR(NOT(ISNA(MATCH(IF(UPPER($M297)="UK","GB",$M297),'PRODUCT DATA'!$A$2:$A$58,0))),NOT(ISNA(MATCH(IF(UPPER($M297)="UK","GB",$M297),'PRODUCT DATA'!$B$2:$B$58,0)))),NOT(IFERROR(COUNTIF(OFFSET('PRODUCT DATA'!$F$2,0,MATCH($AC297,'PRODUCT DATA'!$F$1:$NN$1,0)-1,114,1),$N297)&gt;0,FALSE()))),IF(UPPER(IFERROR(OFFSET('PRODUCT DATA'!$C$2,MATCH($N297,'PRODUCT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"),"")&amp;IF($C297="","Enter Quantity. ","")&amp;IF(AND($C297&lt;&gt;"",OR(NOT(ISNUMBER($C297)),$C297&lt;1,$C297&gt;999,MOD($C297,1)&lt;&gt;0)),"Quantity must be a whole number from 1 to 999 (use a quantity above 1 only for a genuine bulk order of identical items to ONE address — otherwise use a separate row per recipient). ","")&amp;IF($D297="","Enter Recipient Name. ","")&amp;IF(LEN($D297)&gt;35,"Recipient Name exceeds 35 characters. ","")&amp;IF($E297="","Enter Recipient Phone. ","")&amp;IF(AND($E297&lt;&gt;"",OR(LEN($E297)&lt;6,LEN($E297)&gt;20,NOT(IFERROR(ISNUMBER(1*$E297),FALSE())))),"Phone must be the LOCAL number for the destination country: digits only, no +, spaces, or country code, 6 to 20 digits. ","")&amp;IF(LEN($F297)&gt;35,"Recipient Company Name exceeds 35 characters. ","")&amp;IF($G297="","Enter Address Line 1. ","")&amp;IF(LEN($G297)&gt;35,"Address Line 1 exceeds the 35-character SAP limit. ","")&amp;IF(LEN($H297)&gt;35,"Address Line 2 exceeds the 35-character SAP limit. ","")&amp;IF(LEN($I297)&gt;35,"Address Line 3 exceeds the 35-character SAP limit. ","")&amp;IF($J297="","Enter Town. This must never be left blank, even if there is no conventional town name. ","")&amp;IF(LEN($J297)&gt;35,"Town exceeds 35 characters. ","")&amp;IF(AND($N297="IE",$K297=""),"County is required for deliveries within the Republic of Ireland. ","")&amp;IF(LEN($AB297)&gt;35,"County exceeds 35 characters. ","")&amp;IF(AND($L297="",AND($N297&lt;&gt;"AE",$N297&lt;&gt;"QA")),"Postcode is required for the selected country. If there is genuinely no postcode, enter the first 3 characters of the area (e.g. D15). ","")&amp;IF(LEN($L297)&gt;35,"Postcode exceeds 35 characters. ","")&amp;IF($AE297&lt;&gt;"",$AE297,"")&amp;IF(LEN($O297)&gt;40,"Gift Message Line 1 exceeds 40 characters. ","")&amp;IF(LEN($P297)&gt;40,"Gift Message Line 2 exceeds 40 characters. ","")&amp;IF(LEN($Q297)&gt;40,"Gift Message Line 3 exceeds 40 characters. ","")&amp;IF(LEN($R297)&gt;40,"Gift Message Line 4 exceeds 40 characters. ","")&amp;IF(LEN($S297)&gt;40,"Gift Message Line 5 exceeds 40 characters. ","")&amp;IF(LEN($T297)&gt;40,"Gift Message Line 6 exceeds 40 characters. ","")&amp;IF(LEN($U297)&gt;40,"Gift Message Line 7 exceeds 40 characters. ",""))</f>
        <v/>
      </c>
      <c r="Y297" s="44" t="str">
        <f t="shared" si="17"/>
        <v/>
      </c>
      <c r="Z297" s="44"/>
      <c r="AA297" s="44"/>
      <c r="AB297" s="32" t="str">
        <f t="shared" si="18"/>
        <v/>
      </c>
      <c r="AC297" s="32" t="str">
        <f>IF($A297="","",IFERROR(LEFT(INDEX('PRODUCT DATA'!$NO$2:$NO$25,MATCH($A297,'PRODUCT DATA'!$NP$2:$NP$25,0)),FIND("|",INDEX('PRODUCT DATA'!$NO$2:$NO$25,MATCH($A297,'PRODUCT DATA'!$NP$2:$NP$25,0)))-1),$A297))</f>
        <v/>
      </c>
      <c r="AD297" s="45"/>
      <c r="AE297" s="45" t="str">
        <f t="shared" si="19"/>
        <v/>
      </c>
    </row>
    <row r="298" spans="1:31" ht="15" customHeight="1" x14ac:dyDescent="0.25">
      <c r="A298" s="40"/>
      <c r="B298" s="43" t="str">
        <f>IF($A298="","",IFERROR(VLOOKUP($AC298,'PRODUCT DATA'!$NR$2:$NS$374,2,FALSE()),"UNKNOWN ITEM CODE - please check"))</f>
        <v/>
      </c>
      <c r="C298" s="39">
        <v>1</v>
      </c>
      <c r="D298" s="39"/>
      <c r="E298" s="40"/>
      <c r="F298" s="41"/>
      <c r="G298" s="39"/>
      <c r="H298" s="41"/>
      <c r="I298" s="41"/>
      <c r="J298" s="39"/>
      <c r="K298" s="41"/>
      <c r="L298" s="40"/>
      <c r="M298" s="40"/>
      <c r="N298" s="42" t="str">
        <f>IF($M298="","",IFERROR(INDEX('PRODUCT DATA'!$B$2:$B$58,MATCH(IF(UPPER($M298)="UK","GB",$M298),'PRODUCT DATA'!$B$2:$B$58,0)),IFERROR(INDEX('PRODUCT DATA'!$B$2:$B$58,MATCH(IF(UPPER($M298)="UK","GB",$M298),'PRODUCT DATA'!$A$2:$A$58,0)),"UNKNOWN COUNTRY - please check")))</f>
        <v/>
      </c>
      <c r="O298" s="41"/>
      <c r="P298" s="41"/>
      <c r="Q298" s="41"/>
      <c r="R298" s="41"/>
      <c r="S298" s="41"/>
      <c r="T298" s="41"/>
      <c r="U298" s="41"/>
      <c r="V298" s="43" t="str">
        <f t="shared" si="16"/>
        <v/>
      </c>
      <c r="W298" s="44" t="str">
        <f ca="1">IF(COUNTA($A298,$D298:$M298,$O298:$U298)=0,"",IF($A298="","Item Code; ","")&amp;IF(AND($A298&lt;&gt;"",ISNA(MATCH($AC298,'PRODUCT DATA'!$D$2:$D$394,0))),"Item Code; ","")&amp;IF($M298="","Country; ","")&amp;IF(AND($M298&lt;&gt;"",NOT(OR(NOT(ISNA(MATCH(IF(UPPER($M298)="UK","GB",$M298),'PRODUCT DATA'!$A$2:$A$58,0))),NOT(ISNA(MATCH(IF(UPPER($M298)="UK","GB",$M298),'PRODUCT DATA'!$B$2:$B$58,0)))))),"Country; ","")&amp;IF(AND($A298&lt;&gt;"",$M298&lt;&gt;"",NOT(ISNA(MATCH($AC298,'PRODUCT DATA'!$D$2:$D$394,0))),OR(NOT(ISNA(MATCH(IF(UPPER($M298)="UK","GB",$M298),'PRODUCT DATA'!$A$2:$A$58,0))),NOT(ISNA(MATCH(IF(UPPER($M298)="UK","GB",$M298),'PRODUCT DATA'!$B$2:$B$58,0)))),NOT(IFERROR(COUNTIF(OFFSET('PRODUCT DATA'!$F$2,0,MATCH($AC298,'PRODUCT DATA'!$F$1:$NN$1,0)-1,114,1),$N298)&gt;0,FALSE()))),IF(UPPER(IFERROR(OFFSET('PRODUCT DATA'!$C$2,MATCH($N298,'PRODUCT DATA'!$B$2:$B$58,0)-1,0),""))="NO","Alcohol Restriction; ","Item Code / Country combination; "),"")&amp;IF($C298="","Quantity; ","")&amp;IF(AND($C298&lt;&gt;"",OR(NOT(ISNUMBER($C298)),$C298&lt;1,$C298&gt;999,MOD($C298,1)&lt;&gt;0)),"Quantity; ","")&amp;IF($D298="","Recipient Name; ","")&amp;IF(LEN($D298)&gt;35,"Recipient Name; ","")&amp;IF($E298="","Recipient Phone; ","")&amp;IF(AND($E298&lt;&gt;"",OR(LEN($E298)&lt;6,LEN($E298)&gt;20,NOT(IFERROR(ISNUMBER(1*$E298),FALSE())))),"Recipient Phone; ","")&amp;IF(LEN($F298)&gt;35,"Recipient Company Name; ","")&amp;IF($G298="","Address Line 1; ","")&amp;IF(LEN($G298)&gt;35,"Address Line 1; ","")&amp;IF(LEN($H298)&gt;35,"Address Line 2; ","")&amp;IF(LEN($I298)&gt;35,"Address Line 3; ","")&amp;IF($J298="","Town; ","")&amp;IF(LEN($J298)&gt;35,"Town; ","")&amp;IF(AND($N298="IE",$K298=""),"County; ","")&amp;IF(LEN($AB298)&gt;35,"County; ","")&amp;IF(AND($L298="",AND($N298&lt;&gt;"AE",$N298&lt;&gt;"QA")),"Postcode; ","")&amp;IF(LEN($L298)&gt;35,"Postcode; ","")&amp;IF($AE298&lt;&gt;"","Postcode; ","")&amp;IF(LEN($O298)&gt;40,"Gift Message 1; ","")&amp;IF(LEN($P298)&gt;40,"Gift Message 2; ","")&amp;IF(LEN($Q298)&gt;40,"Gift Message 3; ","")&amp;IF(LEN($R298)&gt;40,"Gift Message 4; ","")&amp;IF(LEN($S298)&gt;40,"Gift Message 5; ","")&amp;IF(LEN($T298)&gt;40,"Gift Message 6; ","")&amp;IF(LEN($U298)&gt;40,"Gift Message 7; ",""))</f>
        <v/>
      </c>
      <c r="X298" s="44" t="str">
        <f ca="1">IF(COUNTA($A298,$D298:$M298,$O298:$U298)=0,"",IF($A298="","Enter the Item Code (hamper) - type it, paste it, or choose it from the dropdown. ","")&amp;IF(AND($A298&lt;&gt;"",ISNA(MATCH($AC298,'PRODUCT DATA'!$D$2:$D$394,0))),"This Item Code is not recognised. Check the code (case does not matter, but spelling and digits must match exactly) or choose it from the dropdown. ","")&amp;IF($M298="","Enter the Country after the Item Code - type or paste the name or the 2-letter code, or choose it from the dropdown. ","")&amp;IF(AND($M298&lt;&gt;"",NOT(OR(NOT(ISNA(MATCH(IF(UPPER($M298)="UK","GB",$M298),'PRODUCT DATA'!$A$2:$A$58,0))),NOT(ISNA(MATCH(IF(UPPER($M298)="UK","GB",$M298),'PRODUCT DATA'!$B$2:$B$58,0)))))),"This Country is not recognised as either a full name or a 2-letter code. Check the spelling (case does not matter) or choose it from the dropdown. ","")&amp;IF(AND($A298&lt;&gt;"",$M298&lt;&gt;"",NOT(ISNA(MATCH($AC298,'PRODUCT DATA'!$D$2:$D$394,0))),OR(NOT(ISNA(MATCH(IF(UPPER($M298)="UK","GB",$M298),'PRODUCT DATA'!$A$2:$A$58,0))),NOT(ISNA(MATCH(IF(UPPER($M298)="UK","GB",$M298),'PRODUCT DATA'!$B$2:$B$58,0)))),NOT(IFERROR(COUNTIF(OFFSET('PRODUCT DATA'!$F$2,0,MATCH($AC298,'PRODUCT DATA'!$F$1:$NN$1,0)-1,114,1),$N298)&gt;0,FALSE()))),IF(UPPER(IFERROR(OFFSET('PRODUCT DATA'!$C$2,MATCH($N298,'PRODUCT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"),"")&amp;IF($C298="","Enter Quantity. ","")&amp;IF(AND($C298&lt;&gt;"",OR(NOT(ISNUMBER($C298)),$C298&lt;1,$C298&gt;999,MOD($C298,1)&lt;&gt;0)),"Quantity must be a whole number from 1 to 999 (use a quantity above 1 only for a genuine bulk order of identical items to ONE address — otherwise use a separate row per recipient). ","")&amp;IF($D298="","Enter Recipient Name. ","")&amp;IF(LEN($D298)&gt;35,"Recipient Name exceeds 35 characters. ","")&amp;IF($E298="","Enter Recipient Phone. ","")&amp;IF(AND($E298&lt;&gt;"",OR(LEN($E298)&lt;6,LEN($E298)&gt;20,NOT(IFERROR(ISNUMBER(1*$E298),FALSE())))),"Phone must be the LOCAL number for the destination country: digits only, no +, spaces, or country code, 6 to 20 digits. ","")&amp;IF(LEN($F298)&gt;35,"Recipient Company Name exceeds 35 characters. ","")&amp;IF($G298="","Enter Address Line 1. ","")&amp;IF(LEN($G298)&gt;35,"Address Line 1 exceeds the 35-character SAP limit. ","")&amp;IF(LEN($H298)&gt;35,"Address Line 2 exceeds the 35-character SAP limit. ","")&amp;IF(LEN($I298)&gt;35,"Address Line 3 exceeds the 35-character SAP limit. ","")&amp;IF($J298="","Enter Town. This must never be left blank, even if there is no conventional town name. ","")&amp;IF(LEN($J298)&gt;35,"Town exceeds 35 characters. ","")&amp;IF(AND($N298="IE",$K298=""),"County is required for deliveries within the Republic of Ireland. ","")&amp;IF(LEN($AB298)&gt;35,"County exceeds 35 characters. ","")&amp;IF(AND($L298="",AND($N298&lt;&gt;"AE",$N298&lt;&gt;"QA")),"Postcode is required for the selected country. If there is genuinely no postcode, enter the first 3 characters of the area (e.g. D15). ","")&amp;IF(LEN($L298)&gt;35,"Postcode exceeds 35 characters. ","")&amp;IF($AE298&lt;&gt;"",$AE298,"")&amp;IF(LEN($O298)&gt;40,"Gift Message Line 1 exceeds 40 characters. ","")&amp;IF(LEN($P298)&gt;40,"Gift Message Line 2 exceeds 40 characters. ","")&amp;IF(LEN($Q298)&gt;40,"Gift Message Line 3 exceeds 40 characters. ","")&amp;IF(LEN($R298)&gt;40,"Gift Message Line 4 exceeds 40 characters. ","")&amp;IF(LEN($S298)&gt;40,"Gift Message Line 5 exceeds 40 characters. ","")&amp;IF(LEN($T298)&gt;40,"Gift Message Line 6 exceeds 40 characters. ","")&amp;IF(LEN($U298)&gt;40,"Gift Message Line 7 exceeds 40 characters. ",""))</f>
        <v/>
      </c>
      <c r="Y298" s="44" t="str">
        <f t="shared" si="17"/>
        <v/>
      </c>
      <c r="Z298" s="44"/>
      <c r="AA298" s="44"/>
      <c r="AB298" s="32" t="str">
        <f t="shared" si="18"/>
        <v/>
      </c>
      <c r="AC298" s="32" t="str">
        <f>IF($A298="","",IFERROR(LEFT(INDEX('PRODUCT DATA'!$NO$2:$NO$25,MATCH($A298,'PRODUCT DATA'!$NP$2:$NP$25,0)),FIND("|",INDEX('PRODUCT DATA'!$NO$2:$NO$25,MATCH($A298,'PRODUCT DATA'!$NP$2:$NP$25,0)))-1),$A298))</f>
        <v/>
      </c>
      <c r="AD298" s="45"/>
      <c r="AE298" s="45" t="str">
        <f t="shared" si="19"/>
        <v/>
      </c>
    </row>
    <row r="299" spans="1:31" ht="15" customHeight="1" x14ac:dyDescent="0.25">
      <c r="A299" s="40"/>
      <c r="B299" s="43" t="str">
        <f>IF($A299="","",IFERROR(VLOOKUP($AC299,'PRODUCT DATA'!$NR$2:$NS$374,2,FALSE()),"UNKNOWN ITEM CODE - please check"))</f>
        <v/>
      </c>
      <c r="C299" s="39">
        <v>1</v>
      </c>
      <c r="D299" s="39"/>
      <c r="E299" s="40"/>
      <c r="F299" s="41"/>
      <c r="G299" s="39"/>
      <c r="H299" s="41"/>
      <c r="I299" s="41"/>
      <c r="J299" s="39"/>
      <c r="K299" s="41"/>
      <c r="L299" s="40"/>
      <c r="M299" s="40"/>
      <c r="N299" s="42" t="str">
        <f>IF($M299="","",IFERROR(INDEX('PRODUCT DATA'!$B$2:$B$58,MATCH(IF(UPPER($M299)="UK","GB",$M299),'PRODUCT DATA'!$B$2:$B$58,0)),IFERROR(INDEX('PRODUCT DATA'!$B$2:$B$58,MATCH(IF(UPPER($M299)="UK","GB",$M299),'PRODUCT DATA'!$A$2:$A$58,0)),"UNKNOWN COUNTRY - please check")))</f>
        <v/>
      </c>
      <c r="O299" s="41"/>
      <c r="P299" s="41"/>
      <c r="Q299" s="41"/>
      <c r="R299" s="41"/>
      <c r="S299" s="41"/>
      <c r="T299" s="41"/>
      <c r="U299" s="41"/>
      <c r="V299" s="43" t="str">
        <f t="shared" si="16"/>
        <v/>
      </c>
      <c r="W299" s="44" t="str">
        <f ca="1">IF(COUNTA($A299,$D299:$M299,$O299:$U299)=0,"",IF($A299="","Item Code; ","")&amp;IF(AND($A299&lt;&gt;"",ISNA(MATCH($AC299,'PRODUCT DATA'!$D$2:$D$394,0))),"Item Code; ","")&amp;IF($M299="","Country; ","")&amp;IF(AND($M299&lt;&gt;"",NOT(OR(NOT(ISNA(MATCH(IF(UPPER($M299)="UK","GB",$M299),'PRODUCT DATA'!$A$2:$A$58,0))),NOT(ISNA(MATCH(IF(UPPER($M299)="UK","GB",$M299),'PRODUCT DATA'!$B$2:$B$58,0)))))),"Country; ","")&amp;IF(AND($A299&lt;&gt;"",$M299&lt;&gt;"",NOT(ISNA(MATCH($AC299,'PRODUCT DATA'!$D$2:$D$394,0))),OR(NOT(ISNA(MATCH(IF(UPPER($M299)="UK","GB",$M299),'PRODUCT DATA'!$A$2:$A$58,0))),NOT(ISNA(MATCH(IF(UPPER($M299)="UK","GB",$M299),'PRODUCT DATA'!$B$2:$B$58,0)))),NOT(IFERROR(COUNTIF(OFFSET('PRODUCT DATA'!$F$2,0,MATCH($AC299,'PRODUCT DATA'!$F$1:$NN$1,0)-1,114,1),$N299)&gt;0,FALSE()))),IF(UPPER(IFERROR(OFFSET('PRODUCT DATA'!$C$2,MATCH($N299,'PRODUCT DATA'!$B$2:$B$58,0)-1,0),""))="NO","Alcohol Restriction; ","Item Code / Country combination; "),"")&amp;IF($C299="","Quantity; ","")&amp;IF(AND($C299&lt;&gt;"",OR(NOT(ISNUMBER($C299)),$C299&lt;1,$C299&gt;999,MOD($C299,1)&lt;&gt;0)),"Quantity; ","")&amp;IF($D299="","Recipient Name; ","")&amp;IF(LEN($D299)&gt;35,"Recipient Name; ","")&amp;IF($E299="","Recipient Phone; ","")&amp;IF(AND($E299&lt;&gt;"",OR(LEN($E299)&lt;6,LEN($E299)&gt;20,NOT(IFERROR(ISNUMBER(1*$E299),FALSE())))),"Recipient Phone; ","")&amp;IF(LEN($F299)&gt;35,"Recipient Company Name; ","")&amp;IF($G299="","Address Line 1; ","")&amp;IF(LEN($G299)&gt;35,"Address Line 1; ","")&amp;IF(LEN($H299)&gt;35,"Address Line 2; ","")&amp;IF(LEN($I299)&gt;35,"Address Line 3; ","")&amp;IF($J299="","Town; ","")&amp;IF(LEN($J299)&gt;35,"Town; ","")&amp;IF(AND($N299="IE",$K299=""),"County; ","")&amp;IF(LEN($AB299)&gt;35,"County; ","")&amp;IF(AND($L299="",AND($N299&lt;&gt;"AE",$N299&lt;&gt;"QA")),"Postcode; ","")&amp;IF(LEN($L299)&gt;35,"Postcode; ","")&amp;IF($AE299&lt;&gt;"","Postcode; ","")&amp;IF(LEN($O299)&gt;40,"Gift Message 1; ","")&amp;IF(LEN($P299)&gt;40,"Gift Message 2; ","")&amp;IF(LEN($Q299)&gt;40,"Gift Message 3; ","")&amp;IF(LEN($R299)&gt;40,"Gift Message 4; ","")&amp;IF(LEN($S299)&gt;40,"Gift Message 5; ","")&amp;IF(LEN($T299)&gt;40,"Gift Message 6; ","")&amp;IF(LEN($U299)&gt;40,"Gift Message 7; ",""))</f>
        <v/>
      </c>
      <c r="X299" s="44" t="str">
        <f ca="1">IF(COUNTA($A299,$D299:$M299,$O299:$U299)=0,"",IF($A299="","Enter the Item Code (hamper) - type it, paste it, or choose it from the dropdown. ","")&amp;IF(AND($A299&lt;&gt;"",ISNA(MATCH($AC299,'PRODUCT DATA'!$D$2:$D$394,0))),"This Item Code is not recognised. Check the code (case does not matter, but spelling and digits must match exactly) or choose it from the dropdown. ","")&amp;IF($M299="","Enter the Country after the Item Code - type or paste the name or the 2-letter code, or choose it from the dropdown. ","")&amp;IF(AND($M299&lt;&gt;"",NOT(OR(NOT(ISNA(MATCH(IF(UPPER($M299)="UK","GB",$M299),'PRODUCT DATA'!$A$2:$A$58,0))),NOT(ISNA(MATCH(IF(UPPER($M299)="UK","GB",$M299),'PRODUCT DATA'!$B$2:$B$58,0)))))),"This Country is not recognised as either a full name or a 2-letter code. Check the spelling (case does not matter) or choose it from the dropdown. ","")&amp;IF(AND($A299&lt;&gt;"",$M299&lt;&gt;"",NOT(ISNA(MATCH($AC299,'PRODUCT DATA'!$D$2:$D$394,0))),OR(NOT(ISNA(MATCH(IF(UPPER($M299)="UK","GB",$M299),'PRODUCT DATA'!$A$2:$A$58,0))),NOT(ISNA(MATCH(IF(UPPER($M299)="UK","GB",$M299),'PRODUCT DATA'!$B$2:$B$58,0)))),NOT(IFERROR(COUNTIF(OFFSET('PRODUCT DATA'!$F$2,0,MATCH($AC299,'PRODUCT DATA'!$F$1:$NN$1,0)-1,114,1),$N299)&gt;0,FALSE()))),IF(UPPER(IFERROR(OFFSET('PRODUCT DATA'!$C$2,MATCH($N299,'PRODUCT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"),"")&amp;IF($C299="","Enter Quantity. ","")&amp;IF(AND($C299&lt;&gt;"",OR(NOT(ISNUMBER($C299)),$C299&lt;1,$C299&gt;999,MOD($C299,1)&lt;&gt;0)),"Quantity must be a whole number from 1 to 999 (use a quantity above 1 only for a genuine bulk order of identical items to ONE address — otherwise use a separate row per recipient). ","")&amp;IF($D299="","Enter Recipient Name. ","")&amp;IF(LEN($D299)&gt;35,"Recipient Name exceeds 35 characters. ","")&amp;IF($E299="","Enter Recipient Phone. ","")&amp;IF(AND($E299&lt;&gt;"",OR(LEN($E299)&lt;6,LEN($E299)&gt;20,NOT(IFERROR(ISNUMBER(1*$E299),FALSE())))),"Phone must be the LOCAL number for the destination country: digits only, no +, spaces, or country code, 6 to 20 digits. ","")&amp;IF(LEN($F299)&gt;35,"Recipient Company Name exceeds 35 characters. ","")&amp;IF($G299="","Enter Address Line 1. ","")&amp;IF(LEN($G299)&gt;35,"Address Line 1 exceeds the 35-character SAP limit. ","")&amp;IF(LEN($H299)&gt;35,"Address Line 2 exceeds the 35-character SAP limit. ","")&amp;IF(LEN($I299)&gt;35,"Address Line 3 exceeds the 35-character SAP limit. ","")&amp;IF($J299="","Enter Town. This must never be left blank, even if there is no conventional town name. ","")&amp;IF(LEN($J299)&gt;35,"Town exceeds 35 characters. ","")&amp;IF(AND($N299="IE",$K299=""),"County is required for deliveries within the Republic of Ireland. ","")&amp;IF(LEN($AB299)&gt;35,"County exceeds 35 characters. ","")&amp;IF(AND($L299="",AND($N299&lt;&gt;"AE",$N299&lt;&gt;"QA")),"Postcode is required for the selected country. If there is genuinely no postcode, enter the first 3 characters of the area (e.g. D15). ","")&amp;IF(LEN($L299)&gt;35,"Postcode exceeds 35 characters. ","")&amp;IF($AE299&lt;&gt;"",$AE299,"")&amp;IF(LEN($O299)&gt;40,"Gift Message Line 1 exceeds 40 characters. ","")&amp;IF(LEN($P299)&gt;40,"Gift Message Line 2 exceeds 40 characters. ","")&amp;IF(LEN($Q299)&gt;40,"Gift Message Line 3 exceeds 40 characters. ","")&amp;IF(LEN($R299)&gt;40,"Gift Message Line 4 exceeds 40 characters. ","")&amp;IF(LEN($S299)&gt;40,"Gift Message Line 5 exceeds 40 characters. ","")&amp;IF(LEN($T299)&gt;40,"Gift Message Line 6 exceeds 40 characters. ","")&amp;IF(LEN($U299)&gt;40,"Gift Message Line 7 exceeds 40 characters. ",""))</f>
        <v/>
      </c>
      <c r="Y299" s="44" t="str">
        <f t="shared" si="17"/>
        <v/>
      </c>
      <c r="Z299" s="44"/>
      <c r="AA299" s="44"/>
      <c r="AB299" s="32" t="str">
        <f t="shared" si="18"/>
        <v/>
      </c>
      <c r="AC299" s="32" t="str">
        <f>IF($A299="","",IFERROR(LEFT(INDEX('PRODUCT DATA'!$NO$2:$NO$25,MATCH($A299,'PRODUCT DATA'!$NP$2:$NP$25,0)),FIND("|",INDEX('PRODUCT DATA'!$NO$2:$NO$25,MATCH($A299,'PRODUCT DATA'!$NP$2:$NP$25,0)))-1),$A299))</f>
        <v/>
      </c>
      <c r="AD299" s="45"/>
      <c r="AE299" s="45" t="str">
        <f t="shared" si="19"/>
        <v/>
      </c>
    </row>
    <row r="300" spans="1:31" ht="15" customHeight="1" x14ac:dyDescent="0.25">
      <c r="A300" s="40"/>
      <c r="B300" s="43" t="str">
        <f>IF($A300="","",IFERROR(VLOOKUP($AC300,'PRODUCT DATA'!$NR$2:$NS$374,2,FALSE()),"UNKNOWN ITEM CODE - please check"))</f>
        <v/>
      </c>
      <c r="C300" s="39">
        <v>1</v>
      </c>
      <c r="D300" s="39"/>
      <c r="E300" s="40"/>
      <c r="F300" s="41"/>
      <c r="G300" s="39"/>
      <c r="H300" s="41"/>
      <c r="I300" s="41"/>
      <c r="J300" s="39"/>
      <c r="K300" s="41"/>
      <c r="L300" s="40"/>
      <c r="M300" s="40"/>
      <c r="N300" s="42" t="str">
        <f>IF($M300="","",IFERROR(INDEX('PRODUCT DATA'!$B$2:$B$58,MATCH(IF(UPPER($M300)="UK","GB",$M300),'PRODUCT DATA'!$B$2:$B$58,0)),IFERROR(INDEX('PRODUCT DATA'!$B$2:$B$58,MATCH(IF(UPPER($M300)="UK","GB",$M300),'PRODUCT DATA'!$A$2:$A$58,0)),"UNKNOWN COUNTRY - please check")))</f>
        <v/>
      </c>
      <c r="O300" s="41"/>
      <c r="P300" s="41"/>
      <c r="Q300" s="41"/>
      <c r="R300" s="41"/>
      <c r="S300" s="41"/>
      <c r="T300" s="41"/>
      <c r="U300" s="41"/>
      <c r="V300" s="43" t="str">
        <f t="shared" si="16"/>
        <v/>
      </c>
      <c r="W300" s="44" t="str">
        <f ca="1">IF(COUNTA($A300,$D300:$M300,$O300:$U300)=0,"",IF($A300="","Item Code; ","")&amp;IF(AND($A300&lt;&gt;"",ISNA(MATCH($AC300,'PRODUCT DATA'!$D$2:$D$394,0))),"Item Code; ","")&amp;IF($M300="","Country; ","")&amp;IF(AND($M300&lt;&gt;"",NOT(OR(NOT(ISNA(MATCH(IF(UPPER($M300)="UK","GB",$M300),'PRODUCT DATA'!$A$2:$A$58,0))),NOT(ISNA(MATCH(IF(UPPER($M300)="UK","GB",$M300),'PRODUCT DATA'!$B$2:$B$58,0)))))),"Country; ","")&amp;IF(AND($A300&lt;&gt;"",$M300&lt;&gt;"",NOT(ISNA(MATCH($AC300,'PRODUCT DATA'!$D$2:$D$394,0))),OR(NOT(ISNA(MATCH(IF(UPPER($M300)="UK","GB",$M300),'PRODUCT DATA'!$A$2:$A$58,0))),NOT(ISNA(MATCH(IF(UPPER($M300)="UK","GB",$M300),'PRODUCT DATA'!$B$2:$B$58,0)))),NOT(IFERROR(COUNTIF(OFFSET('PRODUCT DATA'!$F$2,0,MATCH($AC300,'PRODUCT DATA'!$F$1:$NN$1,0)-1,114,1),$N300)&gt;0,FALSE()))),IF(UPPER(IFERROR(OFFSET('PRODUCT DATA'!$C$2,MATCH($N300,'PRODUCT DATA'!$B$2:$B$58,0)-1,0),""))="NO","Alcohol Restriction; ","Item Code / Country combination; "),"")&amp;IF($C300="","Quantity; ","")&amp;IF(AND($C300&lt;&gt;"",OR(NOT(ISNUMBER($C300)),$C300&lt;1,$C300&gt;999,MOD($C300,1)&lt;&gt;0)),"Quantity; ","")&amp;IF($D300="","Recipient Name; ","")&amp;IF(LEN($D300)&gt;35,"Recipient Name; ","")&amp;IF($E300="","Recipient Phone; ","")&amp;IF(AND($E300&lt;&gt;"",OR(LEN($E300)&lt;6,LEN($E300)&gt;20,NOT(IFERROR(ISNUMBER(1*$E300),FALSE())))),"Recipient Phone; ","")&amp;IF(LEN($F300)&gt;35,"Recipient Company Name; ","")&amp;IF($G300="","Address Line 1; ","")&amp;IF(LEN($G300)&gt;35,"Address Line 1; ","")&amp;IF(LEN($H300)&gt;35,"Address Line 2; ","")&amp;IF(LEN($I300)&gt;35,"Address Line 3; ","")&amp;IF($J300="","Town; ","")&amp;IF(LEN($J300)&gt;35,"Town; ","")&amp;IF(AND($N300="IE",$K300=""),"County; ","")&amp;IF(LEN($AB300)&gt;35,"County; ","")&amp;IF(AND($L300="",AND($N300&lt;&gt;"AE",$N300&lt;&gt;"QA")),"Postcode; ","")&amp;IF(LEN($L300)&gt;35,"Postcode; ","")&amp;IF($AE300&lt;&gt;"","Postcode; ","")&amp;IF(LEN($O300)&gt;40,"Gift Message 1; ","")&amp;IF(LEN($P300)&gt;40,"Gift Message 2; ","")&amp;IF(LEN($Q300)&gt;40,"Gift Message 3; ","")&amp;IF(LEN($R300)&gt;40,"Gift Message 4; ","")&amp;IF(LEN($S300)&gt;40,"Gift Message 5; ","")&amp;IF(LEN($T300)&gt;40,"Gift Message 6; ","")&amp;IF(LEN($U300)&gt;40,"Gift Message 7; ",""))</f>
        <v/>
      </c>
      <c r="X300" s="44" t="str">
        <f ca="1">IF(COUNTA($A300,$D300:$M300,$O300:$U300)=0,"",IF($A300="","Enter the Item Code (hamper) - type it, paste it, or choose it from the dropdown. ","")&amp;IF(AND($A300&lt;&gt;"",ISNA(MATCH($AC300,'PRODUCT DATA'!$D$2:$D$394,0))),"This Item Code is not recognised. Check the code (case does not matter, but spelling and digits must match exactly) or choose it from the dropdown. ","")&amp;IF($M300="","Enter the Country after the Item Code - type or paste the name or the 2-letter code, or choose it from the dropdown. ","")&amp;IF(AND($M300&lt;&gt;"",NOT(OR(NOT(ISNA(MATCH(IF(UPPER($M300)="UK","GB",$M300),'PRODUCT DATA'!$A$2:$A$58,0))),NOT(ISNA(MATCH(IF(UPPER($M300)="UK","GB",$M300),'PRODUCT DATA'!$B$2:$B$58,0)))))),"This Country is not recognised as either a full name or a 2-letter code. Check the spelling (case does not matter) or choose it from the dropdown. ","")&amp;IF(AND($A300&lt;&gt;"",$M300&lt;&gt;"",NOT(ISNA(MATCH($AC300,'PRODUCT DATA'!$D$2:$D$394,0))),OR(NOT(ISNA(MATCH(IF(UPPER($M300)="UK","GB",$M300),'PRODUCT DATA'!$A$2:$A$58,0))),NOT(ISNA(MATCH(IF(UPPER($M300)="UK","GB",$M300),'PRODUCT DATA'!$B$2:$B$58,0)))),NOT(IFERROR(COUNTIF(OFFSET('PRODUCT DATA'!$F$2,0,MATCH($AC300,'PRODUCT DATA'!$F$1:$NN$1,0)-1,114,1),$N300)&gt;0,FALSE()))),IF(UPPER(IFERROR(OFFSET('PRODUCT DATA'!$C$2,MATCH($N300,'PRODUCT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"),"")&amp;IF($C300="","Enter Quantity. ","")&amp;IF(AND($C300&lt;&gt;"",OR(NOT(ISNUMBER($C300)),$C300&lt;1,$C300&gt;999,MOD($C300,1)&lt;&gt;0)),"Quantity must be a whole number from 1 to 999 (use a quantity above 1 only for a genuine bulk order of identical items to ONE address — otherwise use a separate row per recipient). ","")&amp;IF($D300="","Enter Recipient Name. ","")&amp;IF(LEN($D300)&gt;35,"Recipient Name exceeds 35 characters. ","")&amp;IF($E300="","Enter Recipient Phone. ","")&amp;IF(AND($E300&lt;&gt;"",OR(LEN($E300)&lt;6,LEN($E300)&gt;20,NOT(IFERROR(ISNUMBER(1*$E300),FALSE())))),"Phone must be the LOCAL number for the destination country: digits only, no +, spaces, or country code, 6 to 20 digits. ","")&amp;IF(LEN($F300)&gt;35,"Recipient Company Name exceeds 35 characters. ","")&amp;IF($G300="","Enter Address Line 1. ","")&amp;IF(LEN($G300)&gt;35,"Address Line 1 exceeds the 35-character SAP limit. ","")&amp;IF(LEN($H300)&gt;35,"Address Line 2 exceeds the 35-character SAP limit. ","")&amp;IF(LEN($I300)&gt;35,"Address Line 3 exceeds the 35-character SAP limit. ","")&amp;IF($J300="","Enter Town. This must never be left blank, even if there is no conventional town name. ","")&amp;IF(LEN($J300)&gt;35,"Town exceeds 35 characters. ","")&amp;IF(AND($N300="IE",$K300=""),"County is required for deliveries within the Republic of Ireland. ","")&amp;IF(LEN($AB300)&gt;35,"County exceeds 35 characters. ","")&amp;IF(AND($L300="",AND($N300&lt;&gt;"AE",$N300&lt;&gt;"QA")),"Postcode is required for the selected country. If there is genuinely no postcode, enter the first 3 characters of the area (e.g. D15). ","")&amp;IF(LEN($L300)&gt;35,"Postcode exceeds 35 characters. ","")&amp;IF($AE300&lt;&gt;"",$AE300,"")&amp;IF(LEN($O300)&gt;40,"Gift Message Line 1 exceeds 40 characters. ","")&amp;IF(LEN($P300)&gt;40,"Gift Message Line 2 exceeds 40 characters. ","")&amp;IF(LEN($Q300)&gt;40,"Gift Message Line 3 exceeds 40 characters. ","")&amp;IF(LEN($R300)&gt;40,"Gift Message Line 4 exceeds 40 characters. ","")&amp;IF(LEN($S300)&gt;40,"Gift Message Line 5 exceeds 40 characters. ","")&amp;IF(LEN($T300)&gt;40,"Gift Message Line 6 exceeds 40 characters. ","")&amp;IF(LEN($U300)&gt;40,"Gift Message Line 7 exceeds 40 characters. ",""))</f>
        <v/>
      </c>
      <c r="Y300" s="44" t="str">
        <f t="shared" si="17"/>
        <v/>
      </c>
      <c r="Z300" s="44"/>
      <c r="AA300" s="44"/>
      <c r="AB300" s="32" t="str">
        <f t="shared" si="18"/>
        <v/>
      </c>
      <c r="AC300" s="32" t="str">
        <f>IF($A300="","",IFERROR(LEFT(INDEX('PRODUCT DATA'!$NO$2:$NO$25,MATCH($A300,'PRODUCT DATA'!$NP$2:$NP$25,0)),FIND("|",INDEX('PRODUCT DATA'!$NO$2:$NO$25,MATCH($A300,'PRODUCT DATA'!$NP$2:$NP$25,0)))-1),$A300))</f>
        <v/>
      </c>
      <c r="AD300" s="45"/>
      <c r="AE300" s="45" t="str">
        <f t="shared" si="19"/>
        <v/>
      </c>
    </row>
    <row r="301" spans="1:31" ht="15" customHeight="1" x14ac:dyDescent="0.25">
      <c r="A301" s="40"/>
      <c r="B301" s="43" t="str">
        <f>IF($A301="","",IFERROR(VLOOKUP($AC301,'PRODUCT DATA'!$NR$2:$NS$374,2,FALSE()),"UNKNOWN ITEM CODE - please check"))</f>
        <v/>
      </c>
      <c r="C301" s="39">
        <v>1</v>
      </c>
      <c r="D301" s="39"/>
      <c r="E301" s="40"/>
      <c r="F301" s="41"/>
      <c r="G301" s="39"/>
      <c r="H301" s="41"/>
      <c r="I301" s="41"/>
      <c r="J301" s="39"/>
      <c r="K301" s="41"/>
      <c r="L301" s="40"/>
      <c r="M301" s="40"/>
      <c r="N301" s="42" t="str">
        <f>IF($M301="","",IFERROR(INDEX('PRODUCT DATA'!$B$2:$B$58,MATCH(IF(UPPER($M301)="UK","GB",$M301),'PRODUCT DATA'!$B$2:$B$58,0)),IFERROR(INDEX('PRODUCT DATA'!$B$2:$B$58,MATCH(IF(UPPER($M301)="UK","GB",$M301),'PRODUCT DATA'!$A$2:$A$58,0)),"UNKNOWN COUNTRY - please check")))</f>
        <v/>
      </c>
      <c r="O301" s="41"/>
      <c r="P301" s="41"/>
      <c r="Q301" s="41"/>
      <c r="R301" s="41"/>
      <c r="S301" s="41"/>
      <c r="T301" s="41"/>
      <c r="U301" s="41"/>
      <c r="V301" s="43" t="str">
        <f t="shared" si="16"/>
        <v/>
      </c>
      <c r="W301" s="44" t="str">
        <f ca="1">IF(COUNTA($A301,$D301:$M301,$O301:$U301)=0,"",IF($A301="","Item Code; ","")&amp;IF(AND($A301&lt;&gt;"",ISNA(MATCH($AC301,'PRODUCT DATA'!$D$2:$D$394,0))),"Item Code; ","")&amp;IF($M301="","Country; ","")&amp;IF(AND($M301&lt;&gt;"",NOT(OR(NOT(ISNA(MATCH(IF(UPPER($M301)="UK","GB",$M301),'PRODUCT DATA'!$A$2:$A$58,0))),NOT(ISNA(MATCH(IF(UPPER($M301)="UK","GB",$M301),'PRODUCT DATA'!$B$2:$B$58,0)))))),"Country; ","")&amp;IF(AND($A301&lt;&gt;"",$M301&lt;&gt;"",NOT(ISNA(MATCH($AC301,'PRODUCT DATA'!$D$2:$D$394,0))),OR(NOT(ISNA(MATCH(IF(UPPER($M301)="UK","GB",$M301),'PRODUCT DATA'!$A$2:$A$58,0))),NOT(ISNA(MATCH(IF(UPPER($M301)="UK","GB",$M301),'PRODUCT DATA'!$B$2:$B$58,0)))),NOT(IFERROR(COUNTIF(OFFSET('PRODUCT DATA'!$F$2,0,MATCH($AC301,'PRODUCT DATA'!$F$1:$NN$1,0)-1,114,1),$N301)&gt;0,FALSE()))),IF(UPPER(IFERROR(OFFSET('PRODUCT DATA'!$C$2,MATCH($N301,'PRODUCT DATA'!$B$2:$B$58,0)-1,0),""))="NO","Alcohol Restriction; ","Item Code / Country combination; "),"")&amp;IF($C301="","Quantity; ","")&amp;IF(AND($C301&lt;&gt;"",OR(NOT(ISNUMBER($C301)),$C301&lt;1,$C301&gt;999,MOD($C301,1)&lt;&gt;0)),"Quantity; ","")&amp;IF($D301="","Recipient Name; ","")&amp;IF(LEN($D301)&gt;35,"Recipient Name; ","")&amp;IF($E301="","Recipient Phone; ","")&amp;IF(AND($E301&lt;&gt;"",OR(LEN($E301)&lt;6,LEN($E301)&gt;20,NOT(IFERROR(ISNUMBER(1*$E301),FALSE())))),"Recipient Phone; ","")&amp;IF(LEN($F301)&gt;35,"Recipient Company Name; ","")&amp;IF($G301="","Address Line 1; ","")&amp;IF(LEN($G301)&gt;35,"Address Line 1; ","")&amp;IF(LEN($H301)&gt;35,"Address Line 2; ","")&amp;IF(LEN($I301)&gt;35,"Address Line 3; ","")&amp;IF($J301="","Town; ","")&amp;IF(LEN($J301)&gt;35,"Town; ","")&amp;IF(AND($N301="IE",$K301=""),"County; ","")&amp;IF(LEN($AB301)&gt;35,"County; ","")&amp;IF(AND($L301="",AND($N301&lt;&gt;"AE",$N301&lt;&gt;"QA")),"Postcode; ","")&amp;IF(LEN($L301)&gt;35,"Postcode; ","")&amp;IF($AE301&lt;&gt;"","Postcode; ","")&amp;IF(LEN($O301)&gt;40,"Gift Message 1; ","")&amp;IF(LEN($P301)&gt;40,"Gift Message 2; ","")&amp;IF(LEN($Q301)&gt;40,"Gift Message 3; ","")&amp;IF(LEN($R301)&gt;40,"Gift Message 4; ","")&amp;IF(LEN($S301)&gt;40,"Gift Message 5; ","")&amp;IF(LEN($T301)&gt;40,"Gift Message 6; ","")&amp;IF(LEN($U301)&gt;40,"Gift Message 7; ",""))</f>
        <v/>
      </c>
      <c r="X301" s="44" t="str">
        <f ca="1">IF(COUNTA($A301,$D301:$M301,$O301:$U301)=0,"",IF($A301="","Enter the Item Code (hamper) - type it, paste it, or choose it from the dropdown. ","")&amp;IF(AND($A301&lt;&gt;"",ISNA(MATCH($AC301,'PRODUCT DATA'!$D$2:$D$394,0))),"This Item Code is not recognised. Check the code (case does not matter, but spelling and digits must match exactly) or choose it from the dropdown. ","")&amp;IF($M301="","Enter the Country after the Item Code - type or paste the name or the 2-letter code, or choose it from the dropdown. ","")&amp;IF(AND($M301&lt;&gt;"",NOT(OR(NOT(ISNA(MATCH(IF(UPPER($M301)="UK","GB",$M301),'PRODUCT DATA'!$A$2:$A$58,0))),NOT(ISNA(MATCH(IF(UPPER($M301)="UK","GB",$M301),'PRODUCT DATA'!$B$2:$B$58,0)))))),"This Country is not recognised as either a full name or a 2-letter code. Check the spelling (case does not matter) or choose it from the dropdown. ","")&amp;IF(AND($A301&lt;&gt;"",$M301&lt;&gt;"",NOT(ISNA(MATCH($AC301,'PRODUCT DATA'!$D$2:$D$394,0))),OR(NOT(ISNA(MATCH(IF(UPPER($M301)="UK","GB",$M301),'PRODUCT DATA'!$A$2:$A$58,0))),NOT(ISNA(MATCH(IF(UPPER($M301)="UK","GB",$M301),'PRODUCT DATA'!$B$2:$B$58,0)))),NOT(IFERROR(COUNTIF(OFFSET('PRODUCT DATA'!$F$2,0,MATCH($AC301,'PRODUCT DATA'!$F$1:$NN$1,0)-1,114,1),$N301)&gt;0,FALSE()))),IF(UPPER(IFERROR(OFFSET('PRODUCT DATA'!$C$2,MATCH($N301,'PRODUCT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"),"")&amp;IF($C301="","Enter Quantity. ","")&amp;IF(AND($C301&lt;&gt;"",OR(NOT(ISNUMBER($C301)),$C301&lt;1,$C301&gt;999,MOD($C301,1)&lt;&gt;0)),"Quantity must be a whole number from 1 to 999 (use a quantity above 1 only for a genuine bulk order of identical items to ONE address — otherwise use a separate row per recipient). ","")&amp;IF($D301="","Enter Recipient Name. ","")&amp;IF(LEN($D301)&gt;35,"Recipient Name exceeds 35 characters. ","")&amp;IF($E301="","Enter Recipient Phone. ","")&amp;IF(AND($E301&lt;&gt;"",OR(LEN($E301)&lt;6,LEN($E301)&gt;20,NOT(IFERROR(ISNUMBER(1*$E301),FALSE())))),"Phone must be the LOCAL number for the destination country: digits only, no +, spaces, or country code, 6 to 20 digits. ","")&amp;IF(LEN($F301)&gt;35,"Recipient Company Name exceeds 35 characters. ","")&amp;IF($G301="","Enter Address Line 1. ","")&amp;IF(LEN($G301)&gt;35,"Address Line 1 exceeds the 35-character SAP limit. ","")&amp;IF(LEN($H301)&gt;35,"Address Line 2 exceeds the 35-character SAP limit. ","")&amp;IF(LEN($I301)&gt;35,"Address Line 3 exceeds the 35-character SAP limit. ","")&amp;IF($J301="","Enter Town. This must never be left blank, even if there is no conventional town name. ","")&amp;IF(LEN($J301)&gt;35,"Town exceeds 35 characters. ","")&amp;IF(AND($N301="IE",$K301=""),"County is required for deliveries within the Republic of Ireland. ","")&amp;IF(LEN($AB301)&gt;35,"County exceeds 35 characters. ","")&amp;IF(AND($L301="",AND($N301&lt;&gt;"AE",$N301&lt;&gt;"QA")),"Postcode is required for the selected country. If there is genuinely no postcode, enter the first 3 characters of the area (e.g. D15). ","")&amp;IF(LEN($L301)&gt;35,"Postcode exceeds 35 characters. ","")&amp;IF($AE301&lt;&gt;"",$AE301,"")&amp;IF(LEN($O301)&gt;40,"Gift Message Line 1 exceeds 40 characters. ","")&amp;IF(LEN($P301)&gt;40,"Gift Message Line 2 exceeds 40 characters. ","")&amp;IF(LEN($Q301)&gt;40,"Gift Message Line 3 exceeds 40 characters. ","")&amp;IF(LEN($R301)&gt;40,"Gift Message Line 4 exceeds 40 characters. ","")&amp;IF(LEN($S301)&gt;40,"Gift Message Line 5 exceeds 40 characters. ","")&amp;IF(LEN($T301)&gt;40,"Gift Message Line 6 exceeds 40 characters. ","")&amp;IF(LEN($U301)&gt;40,"Gift Message Line 7 exceeds 40 characters. ",""))</f>
        <v/>
      </c>
      <c r="Y301" s="44" t="str">
        <f t="shared" si="17"/>
        <v/>
      </c>
      <c r="Z301" s="44"/>
      <c r="AA301" s="44"/>
      <c r="AB301" s="32" t="str">
        <f t="shared" si="18"/>
        <v/>
      </c>
      <c r="AC301" s="32" t="str">
        <f>IF($A301="","",IFERROR(LEFT(INDEX('PRODUCT DATA'!$NO$2:$NO$25,MATCH($A301,'PRODUCT DATA'!$NP$2:$NP$25,0)),FIND("|",INDEX('PRODUCT DATA'!$NO$2:$NO$25,MATCH($A301,'PRODUCT DATA'!$NP$2:$NP$25,0)))-1),$A301))</f>
        <v/>
      </c>
      <c r="AD301" s="45"/>
      <c r="AE301" s="45" t="str">
        <f t="shared" si="19"/>
        <v/>
      </c>
    </row>
    <row r="302" spans="1:31" ht="15" customHeight="1" x14ac:dyDescent="0.25">
      <c r="A302" s="40"/>
      <c r="B302" s="43" t="str">
        <f>IF($A302="","",IFERROR(VLOOKUP($AC302,'PRODUCT DATA'!$NR$2:$NS$374,2,FALSE()),"UNKNOWN ITEM CODE - please check"))</f>
        <v/>
      </c>
      <c r="C302" s="39">
        <v>1</v>
      </c>
      <c r="D302" s="39"/>
      <c r="E302" s="40"/>
      <c r="F302" s="41"/>
      <c r="G302" s="39"/>
      <c r="H302" s="41"/>
      <c r="I302" s="41"/>
      <c r="J302" s="39"/>
      <c r="K302" s="41"/>
      <c r="L302" s="40"/>
      <c r="M302" s="40"/>
      <c r="N302" s="42" t="str">
        <f>IF($M302="","",IFERROR(INDEX('PRODUCT DATA'!$B$2:$B$58,MATCH(IF(UPPER($M302)="UK","GB",$M302),'PRODUCT DATA'!$B$2:$B$58,0)),IFERROR(INDEX('PRODUCT DATA'!$B$2:$B$58,MATCH(IF(UPPER($M302)="UK","GB",$M302),'PRODUCT DATA'!$A$2:$A$58,0)),"UNKNOWN COUNTRY - please check")))</f>
        <v/>
      </c>
      <c r="O302" s="41"/>
      <c r="P302" s="41"/>
      <c r="Q302" s="41"/>
      <c r="R302" s="41"/>
      <c r="S302" s="41"/>
      <c r="T302" s="41"/>
      <c r="U302" s="41"/>
      <c r="V302" s="43" t="str">
        <f t="shared" si="16"/>
        <v/>
      </c>
      <c r="W302" s="44" t="str">
        <f ca="1">IF(COUNTA($A302,$D302:$M302,$O302:$U302)=0,"",IF($A302="","Item Code; ","")&amp;IF(AND($A302&lt;&gt;"",ISNA(MATCH($AC302,'PRODUCT DATA'!$D$2:$D$394,0))),"Item Code; ","")&amp;IF($M302="","Country; ","")&amp;IF(AND($M302&lt;&gt;"",NOT(OR(NOT(ISNA(MATCH(IF(UPPER($M302)="UK","GB",$M302),'PRODUCT DATA'!$A$2:$A$58,0))),NOT(ISNA(MATCH(IF(UPPER($M302)="UK","GB",$M302),'PRODUCT DATA'!$B$2:$B$58,0)))))),"Country; ","")&amp;IF(AND($A302&lt;&gt;"",$M302&lt;&gt;"",NOT(ISNA(MATCH($AC302,'PRODUCT DATA'!$D$2:$D$394,0))),OR(NOT(ISNA(MATCH(IF(UPPER($M302)="UK","GB",$M302),'PRODUCT DATA'!$A$2:$A$58,0))),NOT(ISNA(MATCH(IF(UPPER($M302)="UK","GB",$M302),'PRODUCT DATA'!$B$2:$B$58,0)))),NOT(IFERROR(COUNTIF(OFFSET('PRODUCT DATA'!$F$2,0,MATCH($AC302,'PRODUCT DATA'!$F$1:$NN$1,0)-1,114,1),$N302)&gt;0,FALSE()))),IF(UPPER(IFERROR(OFFSET('PRODUCT DATA'!$C$2,MATCH($N302,'PRODUCT DATA'!$B$2:$B$58,0)-1,0),""))="NO","Alcohol Restriction; ","Item Code / Country combination; "),"")&amp;IF($C302="","Quantity; ","")&amp;IF(AND($C302&lt;&gt;"",OR(NOT(ISNUMBER($C302)),$C302&lt;1,$C302&gt;999,MOD($C302,1)&lt;&gt;0)),"Quantity; ","")&amp;IF($D302="","Recipient Name; ","")&amp;IF(LEN($D302)&gt;35,"Recipient Name; ","")&amp;IF($E302="","Recipient Phone; ","")&amp;IF(AND($E302&lt;&gt;"",OR(LEN($E302)&lt;6,LEN($E302)&gt;20,NOT(IFERROR(ISNUMBER(1*$E302),FALSE())))),"Recipient Phone; ","")&amp;IF(LEN($F302)&gt;35,"Recipient Company Name; ","")&amp;IF($G302="","Address Line 1; ","")&amp;IF(LEN($G302)&gt;35,"Address Line 1; ","")&amp;IF(LEN($H302)&gt;35,"Address Line 2; ","")&amp;IF(LEN($I302)&gt;35,"Address Line 3; ","")&amp;IF($J302="","Town; ","")&amp;IF(LEN($J302)&gt;35,"Town; ","")&amp;IF(AND($N302="IE",$K302=""),"County; ","")&amp;IF(LEN($AB302)&gt;35,"County; ","")&amp;IF(AND($L302="",AND($N302&lt;&gt;"AE",$N302&lt;&gt;"QA")),"Postcode; ","")&amp;IF(LEN($L302)&gt;35,"Postcode; ","")&amp;IF($AE302&lt;&gt;"","Postcode; ","")&amp;IF(LEN($O302)&gt;40,"Gift Message 1; ","")&amp;IF(LEN($P302)&gt;40,"Gift Message 2; ","")&amp;IF(LEN($Q302)&gt;40,"Gift Message 3; ","")&amp;IF(LEN($R302)&gt;40,"Gift Message 4; ","")&amp;IF(LEN($S302)&gt;40,"Gift Message 5; ","")&amp;IF(LEN($T302)&gt;40,"Gift Message 6; ","")&amp;IF(LEN($U302)&gt;40,"Gift Message 7; ",""))</f>
        <v/>
      </c>
      <c r="X302" s="44" t="str">
        <f ca="1">IF(COUNTA($A302,$D302:$M302,$O302:$U302)=0,"",IF($A302="","Enter the Item Code (hamper) - type it, paste it, or choose it from the dropdown. ","")&amp;IF(AND($A302&lt;&gt;"",ISNA(MATCH($AC302,'PRODUCT DATA'!$D$2:$D$394,0))),"This Item Code is not recognised. Check the code (case does not matter, but spelling and digits must match exactly) or choose it from the dropdown. ","")&amp;IF($M302="","Enter the Country after the Item Code - type or paste the name or the 2-letter code, or choose it from the dropdown. ","")&amp;IF(AND($M302&lt;&gt;"",NOT(OR(NOT(ISNA(MATCH(IF(UPPER($M302)="UK","GB",$M302),'PRODUCT DATA'!$A$2:$A$58,0))),NOT(ISNA(MATCH(IF(UPPER($M302)="UK","GB",$M302),'PRODUCT DATA'!$B$2:$B$58,0)))))),"This Country is not recognised as either a full name or a 2-letter code. Check the spelling (case does not matter) or choose it from the dropdown. ","")&amp;IF(AND($A302&lt;&gt;"",$M302&lt;&gt;"",NOT(ISNA(MATCH($AC302,'PRODUCT DATA'!$D$2:$D$394,0))),OR(NOT(ISNA(MATCH(IF(UPPER($M302)="UK","GB",$M302),'PRODUCT DATA'!$A$2:$A$58,0))),NOT(ISNA(MATCH(IF(UPPER($M302)="UK","GB",$M302),'PRODUCT DATA'!$B$2:$B$58,0)))),NOT(IFERROR(COUNTIF(OFFSET('PRODUCT DATA'!$F$2,0,MATCH($AC302,'PRODUCT DATA'!$F$1:$NN$1,0)-1,114,1),$N302)&gt;0,FALSE()))),IF(UPPER(IFERROR(OFFSET('PRODUCT DATA'!$C$2,MATCH($N302,'PRODUCT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"),"")&amp;IF($C302="","Enter Quantity. ","")&amp;IF(AND($C302&lt;&gt;"",OR(NOT(ISNUMBER($C302)),$C302&lt;1,$C302&gt;999,MOD($C302,1)&lt;&gt;0)),"Quantity must be a whole number from 1 to 999 (use a quantity above 1 only for a genuine bulk order of identical items to ONE address — otherwise use a separate row per recipient). ","")&amp;IF($D302="","Enter Recipient Name. ","")&amp;IF(LEN($D302)&gt;35,"Recipient Name exceeds 35 characters. ","")&amp;IF($E302="","Enter Recipient Phone. ","")&amp;IF(AND($E302&lt;&gt;"",OR(LEN($E302)&lt;6,LEN($E302)&gt;20,NOT(IFERROR(ISNUMBER(1*$E302),FALSE())))),"Phone must be the LOCAL number for the destination country: digits only, no +, spaces, or country code, 6 to 20 digits. ","")&amp;IF(LEN($F302)&gt;35,"Recipient Company Name exceeds 35 characters. ","")&amp;IF($G302="","Enter Address Line 1. ","")&amp;IF(LEN($G302)&gt;35,"Address Line 1 exceeds the 35-character SAP limit. ","")&amp;IF(LEN($H302)&gt;35,"Address Line 2 exceeds the 35-character SAP limit. ","")&amp;IF(LEN($I302)&gt;35,"Address Line 3 exceeds the 35-character SAP limit. ","")&amp;IF($J302="","Enter Town. This must never be left blank, even if there is no conventional town name. ","")&amp;IF(LEN($J302)&gt;35,"Town exceeds 35 characters. ","")&amp;IF(AND($N302="IE",$K302=""),"County is required for deliveries within the Republic of Ireland. ","")&amp;IF(LEN($AB302)&gt;35,"County exceeds 35 characters. ","")&amp;IF(AND($L302="",AND($N302&lt;&gt;"AE",$N302&lt;&gt;"QA")),"Postcode is required for the selected country. If there is genuinely no postcode, enter the first 3 characters of the area (e.g. D15). ","")&amp;IF(LEN($L302)&gt;35,"Postcode exceeds 35 characters. ","")&amp;IF($AE302&lt;&gt;"",$AE302,"")&amp;IF(LEN($O302)&gt;40,"Gift Message Line 1 exceeds 40 characters. ","")&amp;IF(LEN($P302)&gt;40,"Gift Message Line 2 exceeds 40 characters. ","")&amp;IF(LEN($Q302)&gt;40,"Gift Message Line 3 exceeds 40 characters. ","")&amp;IF(LEN($R302)&gt;40,"Gift Message Line 4 exceeds 40 characters. ","")&amp;IF(LEN($S302)&gt;40,"Gift Message Line 5 exceeds 40 characters. ","")&amp;IF(LEN($T302)&gt;40,"Gift Message Line 6 exceeds 40 characters. ","")&amp;IF(LEN($U302)&gt;40,"Gift Message Line 7 exceeds 40 characters. ",""))</f>
        <v/>
      </c>
      <c r="Y302" s="44" t="str">
        <f t="shared" si="17"/>
        <v/>
      </c>
      <c r="Z302" s="44"/>
      <c r="AA302" s="44"/>
      <c r="AB302" s="32" t="str">
        <f t="shared" si="18"/>
        <v/>
      </c>
      <c r="AC302" s="32" t="str">
        <f>IF($A302="","",IFERROR(LEFT(INDEX('PRODUCT DATA'!$NO$2:$NO$25,MATCH($A302,'PRODUCT DATA'!$NP$2:$NP$25,0)),FIND("|",INDEX('PRODUCT DATA'!$NO$2:$NO$25,MATCH($A302,'PRODUCT DATA'!$NP$2:$NP$25,0)))-1),$A302))</f>
        <v/>
      </c>
      <c r="AD302" s="45"/>
      <c r="AE302" s="45" t="str">
        <f t="shared" si="19"/>
        <v/>
      </c>
    </row>
    <row r="303" spans="1:31" ht="15" customHeight="1" x14ac:dyDescent="0.25">
      <c r="A303" s="40"/>
      <c r="B303" s="43" t="str">
        <f>IF($A303="","",IFERROR(VLOOKUP($AC303,'PRODUCT DATA'!$NR$2:$NS$374,2,FALSE()),"UNKNOWN ITEM CODE - please check"))</f>
        <v/>
      </c>
      <c r="C303" s="39">
        <v>1</v>
      </c>
      <c r="D303" s="39"/>
      <c r="E303" s="40"/>
      <c r="F303" s="41"/>
      <c r="G303" s="39"/>
      <c r="H303" s="41"/>
      <c r="I303" s="41"/>
      <c r="J303" s="39"/>
      <c r="K303" s="41"/>
      <c r="L303" s="40"/>
      <c r="M303" s="40"/>
      <c r="N303" s="42" t="str">
        <f>IF($M303="","",IFERROR(INDEX('PRODUCT DATA'!$B$2:$B$58,MATCH(IF(UPPER($M303)="UK","GB",$M303),'PRODUCT DATA'!$B$2:$B$58,0)),IFERROR(INDEX('PRODUCT DATA'!$B$2:$B$58,MATCH(IF(UPPER($M303)="UK","GB",$M303),'PRODUCT DATA'!$A$2:$A$58,0)),"UNKNOWN COUNTRY - please check")))</f>
        <v/>
      </c>
      <c r="O303" s="41"/>
      <c r="P303" s="41"/>
      <c r="Q303" s="41"/>
      <c r="R303" s="41"/>
      <c r="S303" s="41"/>
      <c r="T303" s="41"/>
      <c r="U303" s="41"/>
      <c r="V303" s="43" t="str">
        <f t="shared" si="16"/>
        <v/>
      </c>
      <c r="W303" s="44" t="str">
        <f ca="1">IF(COUNTA($A303,$D303:$M303,$O303:$U303)=0,"",IF($A303="","Item Code; ","")&amp;IF(AND($A303&lt;&gt;"",ISNA(MATCH($AC303,'PRODUCT DATA'!$D$2:$D$394,0))),"Item Code; ","")&amp;IF($M303="","Country; ","")&amp;IF(AND($M303&lt;&gt;"",NOT(OR(NOT(ISNA(MATCH(IF(UPPER($M303)="UK","GB",$M303),'PRODUCT DATA'!$A$2:$A$58,0))),NOT(ISNA(MATCH(IF(UPPER($M303)="UK","GB",$M303),'PRODUCT DATA'!$B$2:$B$58,0)))))),"Country; ","")&amp;IF(AND($A303&lt;&gt;"",$M303&lt;&gt;"",NOT(ISNA(MATCH($AC303,'PRODUCT DATA'!$D$2:$D$394,0))),OR(NOT(ISNA(MATCH(IF(UPPER($M303)="UK","GB",$M303),'PRODUCT DATA'!$A$2:$A$58,0))),NOT(ISNA(MATCH(IF(UPPER($M303)="UK","GB",$M303),'PRODUCT DATA'!$B$2:$B$58,0)))),NOT(IFERROR(COUNTIF(OFFSET('PRODUCT DATA'!$F$2,0,MATCH($AC303,'PRODUCT DATA'!$F$1:$NN$1,0)-1,114,1),$N303)&gt;0,FALSE()))),IF(UPPER(IFERROR(OFFSET('PRODUCT DATA'!$C$2,MATCH($N303,'PRODUCT DATA'!$B$2:$B$58,0)-1,0),""))="NO","Alcohol Restriction; ","Item Code / Country combination; "),"")&amp;IF($C303="","Quantity; ","")&amp;IF(AND($C303&lt;&gt;"",OR(NOT(ISNUMBER($C303)),$C303&lt;1,$C303&gt;999,MOD($C303,1)&lt;&gt;0)),"Quantity; ","")&amp;IF($D303="","Recipient Name; ","")&amp;IF(LEN($D303)&gt;35,"Recipient Name; ","")&amp;IF($E303="","Recipient Phone; ","")&amp;IF(AND($E303&lt;&gt;"",OR(LEN($E303)&lt;6,LEN($E303)&gt;20,NOT(IFERROR(ISNUMBER(1*$E303),FALSE())))),"Recipient Phone; ","")&amp;IF(LEN($F303)&gt;35,"Recipient Company Name; ","")&amp;IF($G303="","Address Line 1; ","")&amp;IF(LEN($G303)&gt;35,"Address Line 1; ","")&amp;IF(LEN($H303)&gt;35,"Address Line 2; ","")&amp;IF(LEN($I303)&gt;35,"Address Line 3; ","")&amp;IF($J303="","Town; ","")&amp;IF(LEN($J303)&gt;35,"Town; ","")&amp;IF(AND($N303="IE",$K303=""),"County; ","")&amp;IF(LEN($AB303)&gt;35,"County; ","")&amp;IF(AND($L303="",AND($N303&lt;&gt;"AE",$N303&lt;&gt;"QA")),"Postcode; ","")&amp;IF(LEN($L303)&gt;35,"Postcode; ","")&amp;IF($AE303&lt;&gt;"","Postcode; ","")&amp;IF(LEN($O303)&gt;40,"Gift Message 1; ","")&amp;IF(LEN($P303)&gt;40,"Gift Message 2; ","")&amp;IF(LEN($Q303)&gt;40,"Gift Message 3; ","")&amp;IF(LEN($R303)&gt;40,"Gift Message 4; ","")&amp;IF(LEN($S303)&gt;40,"Gift Message 5; ","")&amp;IF(LEN($T303)&gt;40,"Gift Message 6; ","")&amp;IF(LEN($U303)&gt;40,"Gift Message 7; ",""))</f>
        <v/>
      </c>
      <c r="X303" s="44" t="str">
        <f ca="1">IF(COUNTA($A303,$D303:$M303,$O303:$U303)=0,"",IF($A303="","Enter the Item Code (hamper) - type it, paste it, or choose it from the dropdown. ","")&amp;IF(AND($A303&lt;&gt;"",ISNA(MATCH($AC303,'PRODUCT DATA'!$D$2:$D$394,0))),"This Item Code is not recognised. Check the code (case does not matter, but spelling and digits must match exactly) or choose it from the dropdown. ","")&amp;IF($M303="","Enter the Country after the Item Code - type or paste the name or the 2-letter code, or choose it from the dropdown. ","")&amp;IF(AND($M303&lt;&gt;"",NOT(OR(NOT(ISNA(MATCH(IF(UPPER($M303)="UK","GB",$M303),'PRODUCT DATA'!$A$2:$A$58,0))),NOT(ISNA(MATCH(IF(UPPER($M303)="UK","GB",$M303),'PRODUCT DATA'!$B$2:$B$58,0)))))),"This Country is not recognised as either a full name or a 2-letter code. Check the spelling (case does not matter) or choose it from the dropdown. ","")&amp;IF(AND($A303&lt;&gt;"",$M303&lt;&gt;"",NOT(ISNA(MATCH($AC303,'PRODUCT DATA'!$D$2:$D$394,0))),OR(NOT(ISNA(MATCH(IF(UPPER($M303)="UK","GB",$M303),'PRODUCT DATA'!$A$2:$A$58,0))),NOT(ISNA(MATCH(IF(UPPER($M303)="UK","GB",$M303),'PRODUCT DATA'!$B$2:$B$58,0)))),NOT(IFERROR(COUNTIF(OFFSET('PRODUCT DATA'!$F$2,0,MATCH($AC303,'PRODUCT DATA'!$F$1:$NN$1,0)-1,114,1),$N303)&gt;0,FALSE()))),IF(UPPER(IFERROR(OFFSET('PRODUCT DATA'!$C$2,MATCH($N303,'PRODUCT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"),"")&amp;IF($C303="","Enter Quantity. ","")&amp;IF(AND($C303&lt;&gt;"",OR(NOT(ISNUMBER($C303)),$C303&lt;1,$C303&gt;999,MOD($C303,1)&lt;&gt;0)),"Quantity must be a whole number from 1 to 999 (use a quantity above 1 only for a genuine bulk order of identical items to ONE address — otherwise use a separate row per recipient). ","")&amp;IF($D303="","Enter Recipient Name. ","")&amp;IF(LEN($D303)&gt;35,"Recipient Name exceeds 35 characters. ","")&amp;IF($E303="","Enter Recipient Phone. ","")&amp;IF(AND($E303&lt;&gt;"",OR(LEN($E303)&lt;6,LEN($E303)&gt;20,NOT(IFERROR(ISNUMBER(1*$E303),FALSE())))),"Phone must be the LOCAL number for the destination country: digits only, no +, spaces, or country code, 6 to 20 digits. ","")&amp;IF(LEN($F303)&gt;35,"Recipient Company Name exceeds 35 characters. ","")&amp;IF($G303="","Enter Address Line 1. ","")&amp;IF(LEN($G303)&gt;35,"Address Line 1 exceeds the 35-character SAP limit. ","")&amp;IF(LEN($H303)&gt;35,"Address Line 2 exceeds the 35-character SAP limit. ","")&amp;IF(LEN($I303)&gt;35,"Address Line 3 exceeds the 35-character SAP limit. ","")&amp;IF($J303="","Enter Town. This must never be left blank, even if there is no conventional town name. ","")&amp;IF(LEN($J303)&gt;35,"Town exceeds 35 characters. ","")&amp;IF(AND($N303="IE",$K303=""),"County is required for deliveries within the Republic of Ireland. ","")&amp;IF(LEN($AB303)&gt;35,"County exceeds 35 characters. ","")&amp;IF(AND($L303="",AND($N303&lt;&gt;"AE",$N303&lt;&gt;"QA")),"Postcode is required for the selected country. If there is genuinely no postcode, enter the first 3 characters of the area (e.g. D15). ","")&amp;IF(LEN($L303)&gt;35,"Postcode exceeds 35 characters. ","")&amp;IF($AE303&lt;&gt;"",$AE303,"")&amp;IF(LEN($O303)&gt;40,"Gift Message Line 1 exceeds 40 characters. ","")&amp;IF(LEN($P303)&gt;40,"Gift Message Line 2 exceeds 40 characters. ","")&amp;IF(LEN($Q303)&gt;40,"Gift Message Line 3 exceeds 40 characters. ","")&amp;IF(LEN($R303)&gt;40,"Gift Message Line 4 exceeds 40 characters. ","")&amp;IF(LEN($S303)&gt;40,"Gift Message Line 5 exceeds 40 characters. ","")&amp;IF(LEN($T303)&gt;40,"Gift Message Line 6 exceeds 40 characters. ","")&amp;IF(LEN($U303)&gt;40,"Gift Message Line 7 exceeds 40 characters. ",""))</f>
        <v/>
      </c>
      <c r="Y303" s="44" t="str">
        <f t="shared" si="17"/>
        <v/>
      </c>
      <c r="Z303" s="44"/>
      <c r="AA303" s="44"/>
      <c r="AB303" s="32" t="str">
        <f t="shared" si="18"/>
        <v/>
      </c>
      <c r="AC303" s="32" t="str">
        <f>IF($A303="","",IFERROR(LEFT(INDEX('PRODUCT DATA'!$NO$2:$NO$25,MATCH($A303,'PRODUCT DATA'!$NP$2:$NP$25,0)),FIND("|",INDEX('PRODUCT DATA'!$NO$2:$NO$25,MATCH($A303,'PRODUCT DATA'!$NP$2:$NP$25,0)))-1),$A303))</f>
        <v/>
      </c>
      <c r="AD303" s="45"/>
      <c r="AE303" s="45" t="str">
        <f t="shared" si="19"/>
        <v/>
      </c>
    </row>
    <row r="304" spans="1:31" ht="15" customHeight="1" x14ac:dyDescent="0.25">
      <c r="A304" s="40"/>
      <c r="B304" s="43" t="str">
        <f>IF($A304="","",IFERROR(VLOOKUP($AC304,'PRODUCT DATA'!$NR$2:$NS$374,2,FALSE()),"UNKNOWN ITEM CODE - please check"))</f>
        <v/>
      </c>
      <c r="C304" s="39">
        <v>1</v>
      </c>
      <c r="D304" s="39"/>
      <c r="E304" s="40"/>
      <c r="F304" s="41"/>
      <c r="G304" s="39"/>
      <c r="H304" s="41"/>
      <c r="I304" s="41"/>
      <c r="J304" s="39"/>
      <c r="K304" s="41"/>
      <c r="L304" s="40"/>
      <c r="M304" s="40"/>
      <c r="N304" s="42" t="str">
        <f>IF($M304="","",IFERROR(INDEX('PRODUCT DATA'!$B$2:$B$58,MATCH(IF(UPPER($M304)="UK","GB",$M304),'PRODUCT DATA'!$B$2:$B$58,0)),IFERROR(INDEX('PRODUCT DATA'!$B$2:$B$58,MATCH(IF(UPPER($M304)="UK","GB",$M304),'PRODUCT DATA'!$A$2:$A$58,0)),"UNKNOWN COUNTRY - please check")))</f>
        <v/>
      </c>
      <c r="O304" s="41"/>
      <c r="P304" s="41"/>
      <c r="Q304" s="41"/>
      <c r="R304" s="41"/>
      <c r="S304" s="41"/>
      <c r="T304" s="41"/>
      <c r="U304" s="41"/>
      <c r="V304" s="43" t="str">
        <f t="shared" si="16"/>
        <v/>
      </c>
      <c r="W304" s="44" t="str">
        <f ca="1">IF(COUNTA($A304,$D304:$M304,$O304:$U304)=0,"",IF($A304="","Item Code; ","")&amp;IF(AND($A304&lt;&gt;"",ISNA(MATCH($AC304,'PRODUCT DATA'!$D$2:$D$394,0))),"Item Code; ","")&amp;IF($M304="","Country; ","")&amp;IF(AND($M304&lt;&gt;"",NOT(OR(NOT(ISNA(MATCH(IF(UPPER($M304)="UK","GB",$M304),'PRODUCT DATA'!$A$2:$A$58,0))),NOT(ISNA(MATCH(IF(UPPER($M304)="UK","GB",$M304),'PRODUCT DATA'!$B$2:$B$58,0)))))),"Country; ","")&amp;IF(AND($A304&lt;&gt;"",$M304&lt;&gt;"",NOT(ISNA(MATCH($AC304,'PRODUCT DATA'!$D$2:$D$394,0))),OR(NOT(ISNA(MATCH(IF(UPPER($M304)="UK","GB",$M304),'PRODUCT DATA'!$A$2:$A$58,0))),NOT(ISNA(MATCH(IF(UPPER($M304)="UK","GB",$M304),'PRODUCT DATA'!$B$2:$B$58,0)))),NOT(IFERROR(COUNTIF(OFFSET('PRODUCT DATA'!$F$2,0,MATCH($AC304,'PRODUCT DATA'!$F$1:$NN$1,0)-1,114,1),$N304)&gt;0,FALSE()))),IF(UPPER(IFERROR(OFFSET('PRODUCT DATA'!$C$2,MATCH($N304,'PRODUCT DATA'!$B$2:$B$58,0)-1,0),""))="NO","Alcohol Restriction; ","Item Code / Country combination; "),"")&amp;IF($C304="","Quantity; ","")&amp;IF(AND($C304&lt;&gt;"",OR(NOT(ISNUMBER($C304)),$C304&lt;1,$C304&gt;999,MOD($C304,1)&lt;&gt;0)),"Quantity; ","")&amp;IF($D304="","Recipient Name; ","")&amp;IF(LEN($D304)&gt;35,"Recipient Name; ","")&amp;IF($E304="","Recipient Phone; ","")&amp;IF(AND($E304&lt;&gt;"",OR(LEN($E304)&lt;6,LEN($E304)&gt;20,NOT(IFERROR(ISNUMBER(1*$E304),FALSE())))),"Recipient Phone; ","")&amp;IF(LEN($F304)&gt;35,"Recipient Company Name; ","")&amp;IF($G304="","Address Line 1; ","")&amp;IF(LEN($G304)&gt;35,"Address Line 1; ","")&amp;IF(LEN($H304)&gt;35,"Address Line 2; ","")&amp;IF(LEN($I304)&gt;35,"Address Line 3; ","")&amp;IF($J304="","Town; ","")&amp;IF(LEN($J304)&gt;35,"Town; ","")&amp;IF(AND($N304="IE",$K304=""),"County; ","")&amp;IF(LEN($AB304)&gt;35,"County; ","")&amp;IF(AND($L304="",AND($N304&lt;&gt;"AE",$N304&lt;&gt;"QA")),"Postcode; ","")&amp;IF(LEN($L304)&gt;35,"Postcode; ","")&amp;IF($AE304&lt;&gt;"","Postcode; ","")&amp;IF(LEN($O304)&gt;40,"Gift Message 1; ","")&amp;IF(LEN($P304)&gt;40,"Gift Message 2; ","")&amp;IF(LEN($Q304)&gt;40,"Gift Message 3; ","")&amp;IF(LEN($R304)&gt;40,"Gift Message 4; ","")&amp;IF(LEN($S304)&gt;40,"Gift Message 5; ","")&amp;IF(LEN($T304)&gt;40,"Gift Message 6; ","")&amp;IF(LEN($U304)&gt;40,"Gift Message 7; ",""))</f>
        <v/>
      </c>
      <c r="X304" s="44" t="str">
        <f ca="1">IF(COUNTA($A304,$D304:$M304,$O304:$U304)=0,"",IF($A304="","Enter the Item Code (hamper) - type it, paste it, or choose it from the dropdown. ","")&amp;IF(AND($A304&lt;&gt;"",ISNA(MATCH($AC304,'PRODUCT DATA'!$D$2:$D$394,0))),"This Item Code is not recognised. Check the code (case does not matter, but spelling and digits must match exactly) or choose it from the dropdown. ","")&amp;IF($M304="","Enter the Country after the Item Code - type or paste the name or the 2-letter code, or choose it from the dropdown. ","")&amp;IF(AND($M304&lt;&gt;"",NOT(OR(NOT(ISNA(MATCH(IF(UPPER($M304)="UK","GB",$M304),'PRODUCT DATA'!$A$2:$A$58,0))),NOT(ISNA(MATCH(IF(UPPER($M304)="UK","GB",$M304),'PRODUCT DATA'!$B$2:$B$58,0)))))),"This Country is not recognised as either a full name or a 2-letter code. Check the spelling (case does not matter) or choose it from the dropdown. ","")&amp;IF(AND($A304&lt;&gt;"",$M304&lt;&gt;"",NOT(ISNA(MATCH($AC304,'PRODUCT DATA'!$D$2:$D$394,0))),OR(NOT(ISNA(MATCH(IF(UPPER($M304)="UK","GB",$M304),'PRODUCT DATA'!$A$2:$A$58,0))),NOT(ISNA(MATCH(IF(UPPER($M304)="UK","GB",$M304),'PRODUCT DATA'!$B$2:$B$58,0)))),NOT(IFERROR(COUNTIF(OFFSET('PRODUCT DATA'!$F$2,0,MATCH($AC304,'PRODUCT DATA'!$F$1:$NN$1,0)-1,114,1),$N304)&gt;0,FALSE()))),IF(UPPER(IFERROR(OFFSET('PRODUCT DATA'!$C$2,MATCH($N304,'PRODUCT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"),"")&amp;IF($C304="","Enter Quantity. ","")&amp;IF(AND($C304&lt;&gt;"",OR(NOT(ISNUMBER($C304)),$C304&lt;1,$C304&gt;999,MOD($C304,1)&lt;&gt;0)),"Quantity must be a whole number from 1 to 999 (use a quantity above 1 only for a genuine bulk order of identical items to ONE address — otherwise use a separate row per recipient). ","")&amp;IF($D304="","Enter Recipient Name. ","")&amp;IF(LEN($D304)&gt;35,"Recipient Name exceeds 35 characters. ","")&amp;IF($E304="","Enter Recipient Phone. ","")&amp;IF(AND($E304&lt;&gt;"",OR(LEN($E304)&lt;6,LEN($E304)&gt;20,NOT(IFERROR(ISNUMBER(1*$E304),FALSE())))),"Phone must be the LOCAL number for the destination country: digits only, no +, spaces, or country code, 6 to 20 digits. ","")&amp;IF(LEN($F304)&gt;35,"Recipient Company Name exceeds 35 characters. ","")&amp;IF($G304="","Enter Address Line 1. ","")&amp;IF(LEN($G304)&gt;35,"Address Line 1 exceeds the 35-character SAP limit. ","")&amp;IF(LEN($H304)&gt;35,"Address Line 2 exceeds the 35-character SAP limit. ","")&amp;IF(LEN($I304)&gt;35,"Address Line 3 exceeds the 35-character SAP limit. ","")&amp;IF($J304="","Enter Town. This must never be left blank, even if there is no conventional town name. ","")&amp;IF(LEN($J304)&gt;35,"Town exceeds 35 characters. ","")&amp;IF(AND($N304="IE",$K304=""),"County is required for deliveries within the Republic of Ireland. ","")&amp;IF(LEN($AB304)&gt;35,"County exceeds 35 characters. ","")&amp;IF(AND($L304="",AND($N304&lt;&gt;"AE",$N304&lt;&gt;"QA")),"Postcode is required for the selected country. If there is genuinely no postcode, enter the first 3 characters of the area (e.g. D15). ","")&amp;IF(LEN($L304)&gt;35,"Postcode exceeds 35 characters. ","")&amp;IF($AE304&lt;&gt;"",$AE304,"")&amp;IF(LEN($O304)&gt;40,"Gift Message Line 1 exceeds 40 characters. ","")&amp;IF(LEN($P304)&gt;40,"Gift Message Line 2 exceeds 40 characters. ","")&amp;IF(LEN($Q304)&gt;40,"Gift Message Line 3 exceeds 40 characters. ","")&amp;IF(LEN($R304)&gt;40,"Gift Message Line 4 exceeds 40 characters. ","")&amp;IF(LEN($S304)&gt;40,"Gift Message Line 5 exceeds 40 characters. ","")&amp;IF(LEN($T304)&gt;40,"Gift Message Line 6 exceeds 40 characters. ","")&amp;IF(LEN($U304)&gt;40,"Gift Message Line 7 exceeds 40 characters. ",""))</f>
        <v/>
      </c>
      <c r="Y304" s="44" t="str">
        <f t="shared" si="17"/>
        <v/>
      </c>
      <c r="Z304" s="44"/>
      <c r="AA304" s="44"/>
      <c r="AB304" s="32" t="str">
        <f t="shared" si="18"/>
        <v/>
      </c>
      <c r="AC304" s="32" t="str">
        <f>IF($A304="","",IFERROR(LEFT(INDEX('PRODUCT DATA'!$NO$2:$NO$25,MATCH($A304,'PRODUCT DATA'!$NP$2:$NP$25,0)),FIND("|",INDEX('PRODUCT DATA'!$NO$2:$NO$25,MATCH($A304,'PRODUCT DATA'!$NP$2:$NP$25,0)))-1),$A304))</f>
        <v/>
      </c>
      <c r="AD304" s="45"/>
      <c r="AE304" s="45" t="str">
        <f t="shared" si="19"/>
        <v/>
      </c>
    </row>
    <row r="305" spans="1:31" ht="15" customHeight="1" x14ac:dyDescent="0.25">
      <c r="A305" s="40"/>
      <c r="B305" s="43" t="str">
        <f>IF($A305="","",IFERROR(VLOOKUP($AC305,'PRODUCT DATA'!$NR$2:$NS$374,2,FALSE()),"UNKNOWN ITEM CODE - please check"))</f>
        <v/>
      </c>
      <c r="C305" s="39">
        <v>1</v>
      </c>
      <c r="D305" s="39"/>
      <c r="E305" s="40"/>
      <c r="F305" s="41"/>
      <c r="G305" s="39"/>
      <c r="H305" s="41"/>
      <c r="I305" s="41"/>
      <c r="J305" s="39"/>
      <c r="K305" s="41"/>
      <c r="L305" s="40"/>
      <c r="M305" s="40"/>
      <c r="N305" s="42" t="str">
        <f>IF($M305="","",IFERROR(INDEX('PRODUCT DATA'!$B$2:$B$58,MATCH(IF(UPPER($M305)="UK","GB",$M305),'PRODUCT DATA'!$B$2:$B$58,0)),IFERROR(INDEX('PRODUCT DATA'!$B$2:$B$58,MATCH(IF(UPPER($M305)="UK","GB",$M305),'PRODUCT DATA'!$A$2:$A$58,0)),"UNKNOWN COUNTRY - please check")))</f>
        <v/>
      </c>
      <c r="O305" s="41"/>
      <c r="P305" s="41"/>
      <c r="Q305" s="41"/>
      <c r="R305" s="41"/>
      <c r="S305" s="41"/>
      <c r="T305" s="41"/>
      <c r="U305" s="41"/>
      <c r="V305" s="43" t="str">
        <f t="shared" si="16"/>
        <v/>
      </c>
      <c r="W305" s="44" t="str">
        <f ca="1">IF(COUNTA($A305,$D305:$M305,$O305:$U305)=0,"",IF($A305="","Item Code; ","")&amp;IF(AND($A305&lt;&gt;"",ISNA(MATCH($AC305,'PRODUCT DATA'!$D$2:$D$394,0))),"Item Code; ","")&amp;IF($M305="","Country; ","")&amp;IF(AND($M305&lt;&gt;"",NOT(OR(NOT(ISNA(MATCH(IF(UPPER($M305)="UK","GB",$M305),'PRODUCT DATA'!$A$2:$A$58,0))),NOT(ISNA(MATCH(IF(UPPER($M305)="UK","GB",$M305),'PRODUCT DATA'!$B$2:$B$58,0)))))),"Country; ","")&amp;IF(AND($A305&lt;&gt;"",$M305&lt;&gt;"",NOT(ISNA(MATCH($AC305,'PRODUCT DATA'!$D$2:$D$394,0))),OR(NOT(ISNA(MATCH(IF(UPPER($M305)="UK","GB",$M305),'PRODUCT DATA'!$A$2:$A$58,0))),NOT(ISNA(MATCH(IF(UPPER($M305)="UK","GB",$M305),'PRODUCT DATA'!$B$2:$B$58,0)))),NOT(IFERROR(COUNTIF(OFFSET('PRODUCT DATA'!$F$2,0,MATCH($AC305,'PRODUCT DATA'!$F$1:$NN$1,0)-1,114,1),$N305)&gt;0,FALSE()))),IF(UPPER(IFERROR(OFFSET('PRODUCT DATA'!$C$2,MATCH($N305,'PRODUCT DATA'!$B$2:$B$58,0)-1,0),""))="NO","Alcohol Restriction; ","Item Code / Country combination; "),"")&amp;IF($C305="","Quantity; ","")&amp;IF(AND($C305&lt;&gt;"",OR(NOT(ISNUMBER($C305)),$C305&lt;1,$C305&gt;999,MOD($C305,1)&lt;&gt;0)),"Quantity; ","")&amp;IF($D305="","Recipient Name; ","")&amp;IF(LEN($D305)&gt;35,"Recipient Name; ","")&amp;IF($E305="","Recipient Phone; ","")&amp;IF(AND($E305&lt;&gt;"",OR(LEN($E305)&lt;6,LEN($E305)&gt;20,NOT(IFERROR(ISNUMBER(1*$E305),FALSE())))),"Recipient Phone; ","")&amp;IF(LEN($F305)&gt;35,"Recipient Company Name; ","")&amp;IF($G305="","Address Line 1; ","")&amp;IF(LEN($G305)&gt;35,"Address Line 1; ","")&amp;IF(LEN($H305)&gt;35,"Address Line 2; ","")&amp;IF(LEN($I305)&gt;35,"Address Line 3; ","")&amp;IF($J305="","Town; ","")&amp;IF(LEN($J305)&gt;35,"Town; ","")&amp;IF(AND($N305="IE",$K305=""),"County; ","")&amp;IF(LEN($AB305)&gt;35,"County; ","")&amp;IF(AND($L305="",AND($N305&lt;&gt;"AE",$N305&lt;&gt;"QA")),"Postcode; ","")&amp;IF(LEN($L305)&gt;35,"Postcode; ","")&amp;IF($AE305&lt;&gt;"","Postcode; ","")&amp;IF(LEN($O305)&gt;40,"Gift Message 1; ","")&amp;IF(LEN($P305)&gt;40,"Gift Message 2; ","")&amp;IF(LEN($Q305)&gt;40,"Gift Message 3; ","")&amp;IF(LEN($R305)&gt;40,"Gift Message 4; ","")&amp;IF(LEN($S305)&gt;40,"Gift Message 5; ","")&amp;IF(LEN($T305)&gt;40,"Gift Message 6; ","")&amp;IF(LEN($U305)&gt;40,"Gift Message 7; ",""))</f>
        <v/>
      </c>
      <c r="X305" s="44" t="str">
        <f ca="1">IF(COUNTA($A305,$D305:$M305,$O305:$U305)=0,"",IF($A305="","Enter the Item Code (hamper) - type it, paste it, or choose it from the dropdown. ","")&amp;IF(AND($A305&lt;&gt;"",ISNA(MATCH($AC305,'PRODUCT DATA'!$D$2:$D$394,0))),"This Item Code is not recognised. Check the code (case does not matter, but spelling and digits must match exactly) or choose it from the dropdown. ","")&amp;IF($M305="","Enter the Country after the Item Code - type or paste the name or the 2-letter code, or choose it from the dropdown. ","")&amp;IF(AND($M305&lt;&gt;"",NOT(OR(NOT(ISNA(MATCH(IF(UPPER($M305)="UK","GB",$M305),'PRODUCT DATA'!$A$2:$A$58,0))),NOT(ISNA(MATCH(IF(UPPER($M305)="UK","GB",$M305),'PRODUCT DATA'!$B$2:$B$58,0)))))),"This Country is not recognised as either a full name or a 2-letter code. Check the spelling (case does not matter) or choose it from the dropdown. ","")&amp;IF(AND($A305&lt;&gt;"",$M305&lt;&gt;"",NOT(ISNA(MATCH($AC305,'PRODUCT DATA'!$D$2:$D$394,0))),OR(NOT(ISNA(MATCH(IF(UPPER($M305)="UK","GB",$M305),'PRODUCT DATA'!$A$2:$A$58,0))),NOT(ISNA(MATCH(IF(UPPER($M305)="UK","GB",$M305),'PRODUCT DATA'!$B$2:$B$58,0)))),NOT(IFERROR(COUNTIF(OFFSET('PRODUCT DATA'!$F$2,0,MATCH($AC305,'PRODUCT DATA'!$F$1:$NN$1,0)-1,114,1),$N305)&gt;0,FALSE()))),IF(UPPER(IFERROR(OFFSET('PRODUCT DATA'!$C$2,MATCH($N305,'PRODUCT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"),"")&amp;IF($C305="","Enter Quantity. ","")&amp;IF(AND($C305&lt;&gt;"",OR(NOT(ISNUMBER($C305)),$C305&lt;1,$C305&gt;999,MOD($C305,1)&lt;&gt;0)),"Quantity must be a whole number from 1 to 999 (use a quantity above 1 only for a genuine bulk order of identical items to ONE address — otherwise use a separate row per recipient). ","")&amp;IF($D305="","Enter Recipient Name. ","")&amp;IF(LEN($D305)&gt;35,"Recipient Name exceeds 35 characters. ","")&amp;IF($E305="","Enter Recipient Phone. ","")&amp;IF(AND($E305&lt;&gt;"",OR(LEN($E305)&lt;6,LEN($E305)&gt;20,NOT(IFERROR(ISNUMBER(1*$E305),FALSE())))),"Phone must be the LOCAL number for the destination country: digits only, no +, spaces, or country code, 6 to 20 digits. ","")&amp;IF(LEN($F305)&gt;35,"Recipient Company Name exceeds 35 characters. ","")&amp;IF($G305="","Enter Address Line 1. ","")&amp;IF(LEN($G305)&gt;35,"Address Line 1 exceeds the 35-character SAP limit. ","")&amp;IF(LEN($H305)&gt;35,"Address Line 2 exceeds the 35-character SAP limit. ","")&amp;IF(LEN($I305)&gt;35,"Address Line 3 exceeds the 35-character SAP limit. ","")&amp;IF($J305="","Enter Town. This must never be left blank, even if there is no conventional town name. ","")&amp;IF(LEN($J305)&gt;35,"Town exceeds 35 characters. ","")&amp;IF(AND($N305="IE",$K305=""),"County is required for deliveries within the Republic of Ireland. ","")&amp;IF(LEN($AB305)&gt;35,"County exceeds 35 characters. ","")&amp;IF(AND($L305="",AND($N305&lt;&gt;"AE",$N305&lt;&gt;"QA")),"Postcode is required for the selected country. If there is genuinely no postcode, enter the first 3 characters of the area (e.g. D15). ","")&amp;IF(LEN($L305)&gt;35,"Postcode exceeds 35 characters. ","")&amp;IF($AE305&lt;&gt;"",$AE305,"")&amp;IF(LEN($O305)&gt;40,"Gift Message Line 1 exceeds 40 characters. ","")&amp;IF(LEN($P305)&gt;40,"Gift Message Line 2 exceeds 40 characters. ","")&amp;IF(LEN($Q305)&gt;40,"Gift Message Line 3 exceeds 40 characters. ","")&amp;IF(LEN($R305)&gt;40,"Gift Message Line 4 exceeds 40 characters. ","")&amp;IF(LEN($S305)&gt;40,"Gift Message Line 5 exceeds 40 characters. ","")&amp;IF(LEN($T305)&gt;40,"Gift Message Line 6 exceeds 40 characters. ","")&amp;IF(LEN($U305)&gt;40,"Gift Message Line 7 exceeds 40 characters. ",""))</f>
        <v/>
      </c>
      <c r="Y305" s="44" t="str">
        <f t="shared" si="17"/>
        <v/>
      </c>
      <c r="Z305" s="44"/>
      <c r="AA305" s="44"/>
      <c r="AB305" s="32" t="str">
        <f t="shared" si="18"/>
        <v/>
      </c>
      <c r="AC305" s="32" t="str">
        <f>IF($A305="","",IFERROR(LEFT(INDEX('PRODUCT DATA'!$NO$2:$NO$25,MATCH($A305,'PRODUCT DATA'!$NP$2:$NP$25,0)),FIND("|",INDEX('PRODUCT DATA'!$NO$2:$NO$25,MATCH($A305,'PRODUCT DATA'!$NP$2:$NP$25,0)))-1),$A305))</f>
        <v/>
      </c>
      <c r="AD305" s="45"/>
      <c r="AE305" s="45" t="str">
        <f t="shared" si="19"/>
        <v/>
      </c>
    </row>
    <row r="306" spans="1:31" ht="15" customHeight="1" x14ac:dyDescent="0.25">
      <c r="A306" s="40"/>
      <c r="B306" s="43" t="str">
        <f>IF($A306="","",IFERROR(VLOOKUP($AC306,'PRODUCT DATA'!$NR$2:$NS$374,2,FALSE()),"UNKNOWN ITEM CODE - please check"))</f>
        <v/>
      </c>
      <c r="C306" s="39">
        <v>1</v>
      </c>
      <c r="D306" s="39"/>
      <c r="E306" s="40"/>
      <c r="F306" s="41"/>
      <c r="G306" s="39"/>
      <c r="H306" s="41"/>
      <c r="I306" s="41"/>
      <c r="J306" s="39"/>
      <c r="K306" s="41"/>
      <c r="L306" s="40"/>
      <c r="M306" s="40"/>
      <c r="N306" s="42" t="str">
        <f>IF($M306="","",IFERROR(INDEX('PRODUCT DATA'!$B$2:$B$58,MATCH(IF(UPPER($M306)="UK","GB",$M306),'PRODUCT DATA'!$B$2:$B$58,0)),IFERROR(INDEX('PRODUCT DATA'!$B$2:$B$58,MATCH(IF(UPPER($M306)="UK","GB",$M306),'PRODUCT DATA'!$A$2:$A$58,0)),"UNKNOWN COUNTRY - please check")))</f>
        <v/>
      </c>
      <c r="O306" s="41"/>
      <c r="P306" s="41"/>
      <c r="Q306" s="41"/>
      <c r="R306" s="41"/>
      <c r="S306" s="41"/>
      <c r="T306" s="41"/>
      <c r="U306" s="41"/>
      <c r="V306" s="43" t="str">
        <f t="shared" si="16"/>
        <v/>
      </c>
      <c r="W306" s="44" t="str">
        <f ca="1">IF(COUNTA($A306,$D306:$M306,$O306:$U306)=0,"",IF($A306="","Item Code; ","")&amp;IF(AND($A306&lt;&gt;"",ISNA(MATCH($AC306,'PRODUCT DATA'!$D$2:$D$394,0))),"Item Code; ","")&amp;IF($M306="","Country; ","")&amp;IF(AND($M306&lt;&gt;"",NOT(OR(NOT(ISNA(MATCH(IF(UPPER($M306)="UK","GB",$M306),'PRODUCT DATA'!$A$2:$A$58,0))),NOT(ISNA(MATCH(IF(UPPER($M306)="UK","GB",$M306),'PRODUCT DATA'!$B$2:$B$58,0)))))),"Country; ","")&amp;IF(AND($A306&lt;&gt;"",$M306&lt;&gt;"",NOT(ISNA(MATCH($AC306,'PRODUCT DATA'!$D$2:$D$394,0))),OR(NOT(ISNA(MATCH(IF(UPPER($M306)="UK","GB",$M306),'PRODUCT DATA'!$A$2:$A$58,0))),NOT(ISNA(MATCH(IF(UPPER($M306)="UK","GB",$M306),'PRODUCT DATA'!$B$2:$B$58,0)))),NOT(IFERROR(COUNTIF(OFFSET('PRODUCT DATA'!$F$2,0,MATCH($AC306,'PRODUCT DATA'!$F$1:$NN$1,0)-1,114,1),$N306)&gt;0,FALSE()))),IF(UPPER(IFERROR(OFFSET('PRODUCT DATA'!$C$2,MATCH($N306,'PRODUCT DATA'!$B$2:$B$58,0)-1,0),""))="NO","Alcohol Restriction; ","Item Code / Country combination; "),"")&amp;IF($C306="","Quantity; ","")&amp;IF(AND($C306&lt;&gt;"",OR(NOT(ISNUMBER($C306)),$C306&lt;1,$C306&gt;999,MOD($C306,1)&lt;&gt;0)),"Quantity; ","")&amp;IF($D306="","Recipient Name; ","")&amp;IF(LEN($D306)&gt;35,"Recipient Name; ","")&amp;IF($E306="","Recipient Phone; ","")&amp;IF(AND($E306&lt;&gt;"",OR(LEN($E306)&lt;6,LEN($E306)&gt;20,NOT(IFERROR(ISNUMBER(1*$E306),FALSE())))),"Recipient Phone; ","")&amp;IF(LEN($F306)&gt;35,"Recipient Company Name; ","")&amp;IF($G306="","Address Line 1; ","")&amp;IF(LEN($G306)&gt;35,"Address Line 1; ","")&amp;IF(LEN($H306)&gt;35,"Address Line 2; ","")&amp;IF(LEN($I306)&gt;35,"Address Line 3; ","")&amp;IF($J306="","Town; ","")&amp;IF(LEN($J306)&gt;35,"Town; ","")&amp;IF(AND($N306="IE",$K306=""),"County; ","")&amp;IF(LEN($AB306)&gt;35,"County; ","")&amp;IF(AND($L306="",AND($N306&lt;&gt;"AE",$N306&lt;&gt;"QA")),"Postcode; ","")&amp;IF(LEN($L306)&gt;35,"Postcode; ","")&amp;IF($AE306&lt;&gt;"","Postcode; ","")&amp;IF(LEN($O306)&gt;40,"Gift Message 1; ","")&amp;IF(LEN($P306)&gt;40,"Gift Message 2; ","")&amp;IF(LEN($Q306)&gt;40,"Gift Message 3; ","")&amp;IF(LEN($R306)&gt;40,"Gift Message 4; ","")&amp;IF(LEN($S306)&gt;40,"Gift Message 5; ","")&amp;IF(LEN($T306)&gt;40,"Gift Message 6; ","")&amp;IF(LEN($U306)&gt;40,"Gift Message 7; ",""))</f>
        <v/>
      </c>
      <c r="X306" s="44" t="str">
        <f ca="1">IF(COUNTA($A306,$D306:$M306,$O306:$U306)=0,"",IF($A306="","Enter the Item Code (hamper) - type it, paste it, or choose it from the dropdown. ","")&amp;IF(AND($A306&lt;&gt;"",ISNA(MATCH($AC306,'PRODUCT DATA'!$D$2:$D$394,0))),"This Item Code is not recognised. Check the code (case does not matter, but spelling and digits must match exactly) or choose it from the dropdown. ","")&amp;IF($M306="","Enter the Country after the Item Code - type or paste the name or the 2-letter code, or choose it from the dropdown. ","")&amp;IF(AND($M306&lt;&gt;"",NOT(OR(NOT(ISNA(MATCH(IF(UPPER($M306)="UK","GB",$M306),'PRODUCT DATA'!$A$2:$A$58,0))),NOT(ISNA(MATCH(IF(UPPER($M306)="UK","GB",$M306),'PRODUCT DATA'!$B$2:$B$58,0)))))),"This Country is not recognised as either a full name or a 2-letter code. Check the spelling (case does not matter) or choose it from the dropdown. ","")&amp;IF(AND($A306&lt;&gt;"",$M306&lt;&gt;"",NOT(ISNA(MATCH($AC306,'PRODUCT DATA'!$D$2:$D$394,0))),OR(NOT(ISNA(MATCH(IF(UPPER($M306)="UK","GB",$M306),'PRODUCT DATA'!$A$2:$A$58,0))),NOT(ISNA(MATCH(IF(UPPER($M306)="UK","GB",$M306),'PRODUCT DATA'!$B$2:$B$58,0)))),NOT(IFERROR(COUNTIF(OFFSET('PRODUCT DATA'!$F$2,0,MATCH($AC306,'PRODUCT DATA'!$F$1:$NN$1,0)-1,114,1),$N306)&gt;0,FALSE()))),IF(UPPER(IFERROR(OFFSET('PRODUCT DATA'!$C$2,MATCH($N306,'PRODUCT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"),"")&amp;IF($C306="","Enter Quantity. ","")&amp;IF(AND($C306&lt;&gt;"",OR(NOT(ISNUMBER($C306)),$C306&lt;1,$C306&gt;999,MOD($C306,1)&lt;&gt;0)),"Quantity must be a whole number from 1 to 999 (use a quantity above 1 only for a genuine bulk order of identical items to ONE address — otherwise use a separate row per recipient). ","")&amp;IF($D306="","Enter Recipient Name. ","")&amp;IF(LEN($D306)&gt;35,"Recipient Name exceeds 35 characters. ","")&amp;IF($E306="","Enter Recipient Phone. ","")&amp;IF(AND($E306&lt;&gt;"",OR(LEN($E306)&lt;6,LEN($E306)&gt;20,NOT(IFERROR(ISNUMBER(1*$E306),FALSE())))),"Phone must be the LOCAL number for the destination country: digits only, no +, spaces, or country code, 6 to 20 digits. ","")&amp;IF(LEN($F306)&gt;35,"Recipient Company Name exceeds 35 characters. ","")&amp;IF($G306="","Enter Address Line 1. ","")&amp;IF(LEN($G306)&gt;35,"Address Line 1 exceeds the 35-character SAP limit. ","")&amp;IF(LEN($H306)&gt;35,"Address Line 2 exceeds the 35-character SAP limit. ","")&amp;IF(LEN($I306)&gt;35,"Address Line 3 exceeds the 35-character SAP limit. ","")&amp;IF($J306="","Enter Town. This must never be left blank, even if there is no conventional town name. ","")&amp;IF(LEN($J306)&gt;35,"Town exceeds 35 characters. ","")&amp;IF(AND($N306="IE",$K306=""),"County is required for deliveries within the Republic of Ireland. ","")&amp;IF(LEN($AB306)&gt;35,"County exceeds 35 characters. ","")&amp;IF(AND($L306="",AND($N306&lt;&gt;"AE",$N306&lt;&gt;"QA")),"Postcode is required for the selected country. If there is genuinely no postcode, enter the first 3 characters of the area (e.g. D15). ","")&amp;IF(LEN($L306)&gt;35,"Postcode exceeds 35 characters. ","")&amp;IF($AE306&lt;&gt;"",$AE306,"")&amp;IF(LEN($O306)&gt;40,"Gift Message Line 1 exceeds 40 characters. ","")&amp;IF(LEN($P306)&gt;40,"Gift Message Line 2 exceeds 40 characters. ","")&amp;IF(LEN($Q306)&gt;40,"Gift Message Line 3 exceeds 40 characters. ","")&amp;IF(LEN($R306)&gt;40,"Gift Message Line 4 exceeds 40 characters. ","")&amp;IF(LEN($S306)&gt;40,"Gift Message Line 5 exceeds 40 characters. ","")&amp;IF(LEN($T306)&gt;40,"Gift Message Line 6 exceeds 40 characters. ","")&amp;IF(LEN($U306)&gt;40,"Gift Message Line 7 exceeds 40 characters. ",""))</f>
        <v/>
      </c>
      <c r="Y306" s="44" t="str">
        <f t="shared" si="17"/>
        <v/>
      </c>
      <c r="Z306" s="44"/>
      <c r="AA306" s="44"/>
      <c r="AB306" s="32" t="str">
        <f t="shared" si="18"/>
        <v/>
      </c>
      <c r="AC306" s="32" t="str">
        <f>IF($A306="","",IFERROR(LEFT(INDEX('PRODUCT DATA'!$NO$2:$NO$25,MATCH($A306,'PRODUCT DATA'!$NP$2:$NP$25,0)),FIND("|",INDEX('PRODUCT DATA'!$NO$2:$NO$25,MATCH($A306,'PRODUCT DATA'!$NP$2:$NP$25,0)))-1),$A306))</f>
        <v/>
      </c>
      <c r="AD306" s="45"/>
      <c r="AE306" s="45" t="str">
        <f t="shared" si="19"/>
        <v/>
      </c>
    </row>
    <row r="307" spans="1:31" ht="15" customHeight="1" x14ac:dyDescent="0.25">
      <c r="A307" s="40"/>
      <c r="B307" s="43" t="str">
        <f>IF($A307="","",IFERROR(VLOOKUP($AC307,'PRODUCT DATA'!$NR$2:$NS$374,2,FALSE()),"UNKNOWN ITEM CODE - please check"))</f>
        <v/>
      </c>
      <c r="C307" s="39">
        <v>1</v>
      </c>
      <c r="D307" s="39"/>
      <c r="E307" s="40"/>
      <c r="F307" s="41"/>
      <c r="G307" s="39"/>
      <c r="H307" s="41"/>
      <c r="I307" s="41"/>
      <c r="J307" s="39"/>
      <c r="K307" s="41"/>
      <c r="L307" s="40"/>
      <c r="M307" s="40"/>
      <c r="N307" s="42" t="str">
        <f>IF($M307="","",IFERROR(INDEX('PRODUCT DATA'!$B$2:$B$58,MATCH(IF(UPPER($M307)="UK","GB",$M307),'PRODUCT DATA'!$B$2:$B$58,0)),IFERROR(INDEX('PRODUCT DATA'!$B$2:$B$58,MATCH(IF(UPPER($M307)="UK","GB",$M307),'PRODUCT DATA'!$A$2:$A$58,0)),"UNKNOWN COUNTRY - please check")))</f>
        <v/>
      </c>
      <c r="O307" s="41"/>
      <c r="P307" s="41"/>
      <c r="Q307" s="41"/>
      <c r="R307" s="41"/>
      <c r="S307" s="41"/>
      <c r="T307" s="41"/>
      <c r="U307" s="41"/>
      <c r="V307" s="43" t="str">
        <f t="shared" si="16"/>
        <v/>
      </c>
      <c r="W307" s="44" t="str">
        <f ca="1">IF(COUNTA($A307,$D307:$M307,$O307:$U307)=0,"",IF($A307="","Item Code; ","")&amp;IF(AND($A307&lt;&gt;"",ISNA(MATCH($AC307,'PRODUCT DATA'!$D$2:$D$394,0))),"Item Code; ","")&amp;IF($M307="","Country; ","")&amp;IF(AND($M307&lt;&gt;"",NOT(OR(NOT(ISNA(MATCH(IF(UPPER($M307)="UK","GB",$M307),'PRODUCT DATA'!$A$2:$A$58,0))),NOT(ISNA(MATCH(IF(UPPER($M307)="UK","GB",$M307),'PRODUCT DATA'!$B$2:$B$58,0)))))),"Country; ","")&amp;IF(AND($A307&lt;&gt;"",$M307&lt;&gt;"",NOT(ISNA(MATCH($AC307,'PRODUCT DATA'!$D$2:$D$394,0))),OR(NOT(ISNA(MATCH(IF(UPPER($M307)="UK","GB",$M307),'PRODUCT DATA'!$A$2:$A$58,0))),NOT(ISNA(MATCH(IF(UPPER($M307)="UK","GB",$M307),'PRODUCT DATA'!$B$2:$B$58,0)))),NOT(IFERROR(COUNTIF(OFFSET('PRODUCT DATA'!$F$2,0,MATCH($AC307,'PRODUCT DATA'!$F$1:$NN$1,0)-1,114,1),$N307)&gt;0,FALSE()))),IF(UPPER(IFERROR(OFFSET('PRODUCT DATA'!$C$2,MATCH($N307,'PRODUCT DATA'!$B$2:$B$58,0)-1,0),""))="NO","Alcohol Restriction; ","Item Code / Country combination; "),"")&amp;IF($C307="","Quantity; ","")&amp;IF(AND($C307&lt;&gt;"",OR(NOT(ISNUMBER($C307)),$C307&lt;1,$C307&gt;999,MOD($C307,1)&lt;&gt;0)),"Quantity; ","")&amp;IF($D307="","Recipient Name; ","")&amp;IF(LEN($D307)&gt;35,"Recipient Name; ","")&amp;IF($E307="","Recipient Phone; ","")&amp;IF(AND($E307&lt;&gt;"",OR(LEN($E307)&lt;6,LEN($E307)&gt;20,NOT(IFERROR(ISNUMBER(1*$E307),FALSE())))),"Recipient Phone; ","")&amp;IF(LEN($F307)&gt;35,"Recipient Company Name; ","")&amp;IF($G307="","Address Line 1; ","")&amp;IF(LEN($G307)&gt;35,"Address Line 1; ","")&amp;IF(LEN($H307)&gt;35,"Address Line 2; ","")&amp;IF(LEN($I307)&gt;35,"Address Line 3; ","")&amp;IF($J307="","Town; ","")&amp;IF(LEN($J307)&gt;35,"Town; ","")&amp;IF(AND($N307="IE",$K307=""),"County; ","")&amp;IF(LEN($AB307)&gt;35,"County; ","")&amp;IF(AND($L307="",AND($N307&lt;&gt;"AE",$N307&lt;&gt;"QA")),"Postcode; ","")&amp;IF(LEN($L307)&gt;35,"Postcode; ","")&amp;IF($AE307&lt;&gt;"","Postcode; ","")&amp;IF(LEN($O307)&gt;40,"Gift Message 1; ","")&amp;IF(LEN($P307)&gt;40,"Gift Message 2; ","")&amp;IF(LEN($Q307)&gt;40,"Gift Message 3; ","")&amp;IF(LEN($R307)&gt;40,"Gift Message 4; ","")&amp;IF(LEN($S307)&gt;40,"Gift Message 5; ","")&amp;IF(LEN($T307)&gt;40,"Gift Message 6; ","")&amp;IF(LEN($U307)&gt;40,"Gift Message 7; ",""))</f>
        <v/>
      </c>
      <c r="X307" s="44" t="str">
        <f ca="1">IF(COUNTA($A307,$D307:$M307,$O307:$U307)=0,"",IF($A307="","Enter the Item Code (hamper) - type it, paste it, or choose it from the dropdown. ","")&amp;IF(AND($A307&lt;&gt;"",ISNA(MATCH($AC307,'PRODUCT DATA'!$D$2:$D$394,0))),"This Item Code is not recognised. Check the code (case does not matter, but spelling and digits must match exactly) or choose it from the dropdown. ","")&amp;IF($M307="","Enter the Country after the Item Code - type or paste the name or the 2-letter code, or choose it from the dropdown. ","")&amp;IF(AND($M307&lt;&gt;"",NOT(OR(NOT(ISNA(MATCH(IF(UPPER($M307)="UK","GB",$M307),'PRODUCT DATA'!$A$2:$A$58,0))),NOT(ISNA(MATCH(IF(UPPER($M307)="UK","GB",$M307),'PRODUCT DATA'!$B$2:$B$58,0)))))),"This Country is not recognised as either a full name or a 2-letter code. Check the spelling (case does not matter) or choose it from the dropdown. ","")&amp;IF(AND($A307&lt;&gt;"",$M307&lt;&gt;"",NOT(ISNA(MATCH($AC307,'PRODUCT DATA'!$D$2:$D$394,0))),OR(NOT(ISNA(MATCH(IF(UPPER($M307)="UK","GB",$M307),'PRODUCT DATA'!$A$2:$A$58,0))),NOT(ISNA(MATCH(IF(UPPER($M307)="UK","GB",$M307),'PRODUCT DATA'!$B$2:$B$58,0)))),NOT(IFERROR(COUNTIF(OFFSET('PRODUCT DATA'!$F$2,0,MATCH($AC307,'PRODUCT DATA'!$F$1:$NN$1,0)-1,114,1),$N307)&gt;0,FALSE()))),IF(UPPER(IFERROR(OFFSET('PRODUCT DATA'!$C$2,MATCH($N307,'PRODUCT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"),"")&amp;IF($C307="","Enter Quantity. ","")&amp;IF(AND($C307&lt;&gt;"",OR(NOT(ISNUMBER($C307)),$C307&lt;1,$C307&gt;999,MOD($C307,1)&lt;&gt;0)),"Quantity must be a whole number from 1 to 999 (use a quantity above 1 only for a genuine bulk order of identical items to ONE address — otherwise use a separate row per recipient). ","")&amp;IF($D307="","Enter Recipient Name. ","")&amp;IF(LEN($D307)&gt;35,"Recipient Name exceeds 35 characters. ","")&amp;IF($E307="","Enter Recipient Phone. ","")&amp;IF(AND($E307&lt;&gt;"",OR(LEN($E307)&lt;6,LEN($E307)&gt;20,NOT(IFERROR(ISNUMBER(1*$E307),FALSE())))),"Phone must be the LOCAL number for the destination country: digits only, no +, spaces, or country code, 6 to 20 digits. ","")&amp;IF(LEN($F307)&gt;35,"Recipient Company Name exceeds 35 characters. ","")&amp;IF($G307="","Enter Address Line 1. ","")&amp;IF(LEN($G307)&gt;35,"Address Line 1 exceeds the 35-character SAP limit. ","")&amp;IF(LEN($H307)&gt;35,"Address Line 2 exceeds the 35-character SAP limit. ","")&amp;IF(LEN($I307)&gt;35,"Address Line 3 exceeds the 35-character SAP limit. ","")&amp;IF($J307="","Enter Town. This must never be left blank, even if there is no conventional town name. ","")&amp;IF(LEN($J307)&gt;35,"Town exceeds 35 characters. ","")&amp;IF(AND($N307="IE",$K307=""),"County is required for deliveries within the Republic of Ireland. ","")&amp;IF(LEN($AB307)&gt;35,"County exceeds 35 characters. ","")&amp;IF(AND($L307="",AND($N307&lt;&gt;"AE",$N307&lt;&gt;"QA")),"Postcode is required for the selected country. If there is genuinely no postcode, enter the first 3 characters of the area (e.g. D15). ","")&amp;IF(LEN($L307)&gt;35,"Postcode exceeds 35 characters. ","")&amp;IF($AE307&lt;&gt;"",$AE307,"")&amp;IF(LEN($O307)&gt;40,"Gift Message Line 1 exceeds 40 characters. ","")&amp;IF(LEN($P307)&gt;40,"Gift Message Line 2 exceeds 40 characters. ","")&amp;IF(LEN($Q307)&gt;40,"Gift Message Line 3 exceeds 40 characters. ","")&amp;IF(LEN($R307)&gt;40,"Gift Message Line 4 exceeds 40 characters. ","")&amp;IF(LEN($S307)&gt;40,"Gift Message Line 5 exceeds 40 characters. ","")&amp;IF(LEN($T307)&gt;40,"Gift Message Line 6 exceeds 40 characters. ","")&amp;IF(LEN($U307)&gt;40,"Gift Message Line 7 exceeds 40 characters. ",""))</f>
        <v/>
      </c>
      <c r="Y307" s="44" t="str">
        <f t="shared" si="17"/>
        <v/>
      </c>
      <c r="Z307" s="44"/>
      <c r="AA307" s="44"/>
      <c r="AB307" s="32" t="str">
        <f t="shared" si="18"/>
        <v/>
      </c>
      <c r="AC307" s="32" t="str">
        <f>IF($A307="","",IFERROR(LEFT(INDEX('PRODUCT DATA'!$NO$2:$NO$25,MATCH($A307,'PRODUCT DATA'!$NP$2:$NP$25,0)),FIND("|",INDEX('PRODUCT DATA'!$NO$2:$NO$25,MATCH($A307,'PRODUCT DATA'!$NP$2:$NP$25,0)))-1),$A307))</f>
        <v/>
      </c>
      <c r="AD307" s="45"/>
      <c r="AE307" s="45" t="str">
        <f t="shared" si="19"/>
        <v/>
      </c>
    </row>
    <row r="308" spans="1:31" ht="15" customHeight="1" x14ac:dyDescent="0.25">
      <c r="A308" s="40"/>
      <c r="B308" s="43" t="str">
        <f>IF($A308="","",IFERROR(VLOOKUP($AC308,'PRODUCT DATA'!$NR$2:$NS$374,2,FALSE()),"UNKNOWN ITEM CODE - please check"))</f>
        <v/>
      </c>
      <c r="C308" s="39">
        <v>1</v>
      </c>
      <c r="D308" s="39"/>
      <c r="E308" s="40"/>
      <c r="F308" s="41"/>
      <c r="G308" s="39"/>
      <c r="H308" s="41"/>
      <c r="I308" s="41"/>
      <c r="J308" s="39"/>
      <c r="K308" s="41"/>
      <c r="L308" s="40"/>
      <c r="M308" s="40"/>
      <c r="N308" s="42" t="str">
        <f>IF($M308="","",IFERROR(INDEX('PRODUCT DATA'!$B$2:$B$58,MATCH(IF(UPPER($M308)="UK","GB",$M308),'PRODUCT DATA'!$B$2:$B$58,0)),IFERROR(INDEX('PRODUCT DATA'!$B$2:$B$58,MATCH(IF(UPPER($M308)="UK","GB",$M308),'PRODUCT DATA'!$A$2:$A$58,0)),"UNKNOWN COUNTRY - please check")))</f>
        <v/>
      </c>
      <c r="O308" s="41"/>
      <c r="P308" s="41"/>
      <c r="Q308" s="41"/>
      <c r="R308" s="41"/>
      <c r="S308" s="41"/>
      <c r="T308" s="41"/>
      <c r="U308" s="41"/>
      <c r="V308" s="43" t="str">
        <f t="shared" si="16"/>
        <v/>
      </c>
      <c r="W308" s="44" t="str">
        <f ca="1">IF(COUNTA($A308,$D308:$M308,$O308:$U308)=0,"",IF($A308="","Item Code; ","")&amp;IF(AND($A308&lt;&gt;"",ISNA(MATCH($AC308,'PRODUCT DATA'!$D$2:$D$394,0))),"Item Code; ","")&amp;IF($M308="","Country; ","")&amp;IF(AND($M308&lt;&gt;"",NOT(OR(NOT(ISNA(MATCH(IF(UPPER($M308)="UK","GB",$M308),'PRODUCT DATA'!$A$2:$A$58,0))),NOT(ISNA(MATCH(IF(UPPER($M308)="UK","GB",$M308),'PRODUCT DATA'!$B$2:$B$58,0)))))),"Country; ","")&amp;IF(AND($A308&lt;&gt;"",$M308&lt;&gt;"",NOT(ISNA(MATCH($AC308,'PRODUCT DATA'!$D$2:$D$394,0))),OR(NOT(ISNA(MATCH(IF(UPPER($M308)="UK","GB",$M308),'PRODUCT DATA'!$A$2:$A$58,0))),NOT(ISNA(MATCH(IF(UPPER($M308)="UK","GB",$M308),'PRODUCT DATA'!$B$2:$B$58,0)))),NOT(IFERROR(COUNTIF(OFFSET('PRODUCT DATA'!$F$2,0,MATCH($AC308,'PRODUCT DATA'!$F$1:$NN$1,0)-1,114,1),$N308)&gt;0,FALSE()))),IF(UPPER(IFERROR(OFFSET('PRODUCT DATA'!$C$2,MATCH($N308,'PRODUCT DATA'!$B$2:$B$58,0)-1,0),""))="NO","Alcohol Restriction; ","Item Code / Country combination; "),"")&amp;IF($C308="","Quantity; ","")&amp;IF(AND($C308&lt;&gt;"",OR(NOT(ISNUMBER($C308)),$C308&lt;1,$C308&gt;999,MOD($C308,1)&lt;&gt;0)),"Quantity; ","")&amp;IF($D308="","Recipient Name; ","")&amp;IF(LEN($D308)&gt;35,"Recipient Name; ","")&amp;IF($E308="","Recipient Phone; ","")&amp;IF(AND($E308&lt;&gt;"",OR(LEN($E308)&lt;6,LEN($E308)&gt;20,NOT(IFERROR(ISNUMBER(1*$E308),FALSE())))),"Recipient Phone; ","")&amp;IF(LEN($F308)&gt;35,"Recipient Company Name; ","")&amp;IF($G308="","Address Line 1; ","")&amp;IF(LEN($G308)&gt;35,"Address Line 1; ","")&amp;IF(LEN($H308)&gt;35,"Address Line 2; ","")&amp;IF(LEN($I308)&gt;35,"Address Line 3; ","")&amp;IF($J308="","Town; ","")&amp;IF(LEN($J308)&gt;35,"Town; ","")&amp;IF(AND($N308="IE",$K308=""),"County; ","")&amp;IF(LEN($AB308)&gt;35,"County; ","")&amp;IF(AND($L308="",AND($N308&lt;&gt;"AE",$N308&lt;&gt;"QA")),"Postcode; ","")&amp;IF(LEN($L308)&gt;35,"Postcode; ","")&amp;IF($AE308&lt;&gt;"","Postcode; ","")&amp;IF(LEN($O308)&gt;40,"Gift Message 1; ","")&amp;IF(LEN($P308)&gt;40,"Gift Message 2; ","")&amp;IF(LEN($Q308)&gt;40,"Gift Message 3; ","")&amp;IF(LEN($R308)&gt;40,"Gift Message 4; ","")&amp;IF(LEN($S308)&gt;40,"Gift Message 5; ","")&amp;IF(LEN($T308)&gt;40,"Gift Message 6; ","")&amp;IF(LEN($U308)&gt;40,"Gift Message 7; ",""))</f>
        <v/>
      </c>
      <c r="X308" s="44" t="str">
        <f ca="1">IF(COUNTA($A308,$D308:$M308,$O308:$U308)=0,"",IF($A308="","Enter the Item Code (hamper) - type it, paste it, or choose it from the dropdown. ","")&amp;IF(AND($A308&lt;&gt;"",ISNA(MATCH($AC308,'PRODUCT DATA'!$D$2:$D$394,0))),"This Item Code is not recognised. Check the code (case does not matter, but spelling and digits must match exactly) or choose it from the dropdown. ","")&amp;IF($M308="","Enter the Country after the Item Code - type or paste the name or the 2-letter code, or choose it from the dropdown. ","")&amp;IF(AND($M308&lt;&gt;"",NOT(OR(NOT(ISNA(MATCH(IF(UPPER($M308)="UK","GB",$M308),'PRODUCT DATA'!$A$2:$A$58,0))),NOT(ISNA(MATCH(IF(UPPER($M308)="UK","GB",$M308),'PRODUCT DATA'!$B$2:$B$58,0)))))),"This Country is not recognised as either a full name or a 2-letter code. Check the spelling (case does not matter) or choose it from the dropdown. ","")&amp;IF(AND($A308&lt;&gt;"",$M308&lt;&gt;"",NOT(ISNA(MATCH($AC308,'PRODUCT DATA'!$D$2:$D$394,0))),OR(NOT(ISNA(MATCH(IF(UPPER($M308)="UK","GB",$M308),'PRODUCT DATA'!$A$2:$A$58,0))),NOT(ISNA(MATCH(IF(UPPER($M308)="UK","GB",$M308),'PRODUCT DATA'!$B$2:$B$58,0)))),NOT(IFERROR(COUNTIF(OFFSET('PRODUCT DATA'!$F$2,0,MATCH($AC308,'PRODUCT DATA'!$F$1:$NN$1,0)-1,114,1),$N308)&gt;0,FALSE()))),IF(UPPER(IFERROR(OFFSET('PRODUCT DATA'!$C$2,MATCH($N308,'PRODUCT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"),"")&amp;IF($C308="","Enter Quantity. ","")&amp;IF(AND($C308&lt;&gt;"",OR(NOT(ISNUMBER($C308)),$C308&lt;1,$C308&gt;999,MOD($C308,1)&lt;&gt;0)),"Quantity must be a whole number from 1 to 999 (use a quantity above 1 only for a genuine bulk order of identical items to ONE address — otherwise use a separate row per recipient). ","")&amp;IF($D308="","Enter Recipient Name. ","")&amp;IF(LEN($D308)&gt;35,"Recipient Name exceeds 35 characters. ","")&amp;IF($E308="","Enter Recipient Phone. ","")&amp;IF(AND($E308&lt;&gt;"",OR(LEN($E308)&lt;6,LEN($E308)&gt;20,NOT(IFERROR(ISNUMBER(1*$E308),FALSE())))),"Phone must be the LOCAL number for the destination country: digits only, no +, spaces, or country code, 6 to 20 digits. ","")&amp;IF(LEN($F308)&gt;35,"Recipient Company Name exceeds 35 characters. ","")&amp;IF($G308="","Enter Address Line 1. ","")&amp;IF(LEN($G308)&gt;35,"Address Line 1 exceeds the 35-character SAP limit. ","")&amp;IF(LEN($H308)&gt;35,"Address Line 2 exceeds the 35-character SAP limit. ","")&amp;IF(LEN($I308)&gt;35,"Address Line 3 exceeds the 35-character SAP limit. ","")&amp;IF($J308="","Enter Town. This must never be left blank, even if there is no conventional town name. ","")&amp;IF(LEN($J308)&gt;35,"Town exceeds 35 characters. ","")&amp;IF(AND($N308="IE",$K308=""),"County is required for deliveries within the Republic of Ireland. ","")&amp;IF(LEN($AB308)&gt;35,"County exceeds 35 characters. ","")&amp;IF(AND($L308="",AND($N308&lt;&gt;"AE",$N308&lt;&gt;"QA")),"Postcode is required for the selected country. If there is genuinely no postcode, enter the first 3 characters of the area (e.g. D15). ","")&amp;IF(LEN($L308)&gt;35,"Postcode exceeds 35 characters. ","")&amp;IF($AE308&lt;&gt;"",$AE308,"")&amp;IF(LEN($O308)&gt;40,"Gift Message Line 1 exceeds 40 characters. ","")&amp;IF(LEN($P308)&gt;40,"Gift Message Line 2 exceeds 40 characters. ","")&amp;IF(LEN($Q308)&gt;40,"Gift Message Line 3 exceeds 40 characters. ","")&amp;IF(LEN($R308)&gt;40,"Gift Message Line 4 exceeds 40 characters. ","")&amp;IF(LEN($S308)&gt;40,"Gift Message Line 5 exceeds 40 characters. ","")&amp;IF(LEN($T308)&gt;40,"Gift Message Line 6 exceeds 40 characters. ","")&amp;IF(LEN($U308)&gt;40,"Gift Message Line 7 exceeds 40 characters. ",""))</f>
        <v/>
      </c>
      <c r="Y308" s="44" t="str">
        <f t="shared" si="17"/>
        <v/>
      </c>
      <c r="Z308" s="44"/>
      <c r="AA308" s="44"/>
      <c r="AB308" s="32" t="str">
        <f t="shared" si="18"/>
        <v/>
      </c>
      <c r="AC308" s="32" t="str">
        <f>IF($A308="","",IFERROR(LEFT(INDEX('PRODUCT DATA'!$NO$2:$NO$25,MATCH($A308,'PRODUCT DATA'!$NP$2:$NP$25,0)),FIND("|",INDEX('PRODUCT DATA'!$NO$2:$NO$25,MATCH($A308,'PRODUCT DATA'!$NP$2:$NP$25,0)))-1),$A308))</f>
        <v/>
      </c>
      <c r="AD308" s="45"/>
      <c r="AE308" s="45" t="str">
        <f t="shared" si="19"/>
        <v/>
      </c>
    </row>
    <row r="309" spans="1:31" ht="15" customHeight="1" x14ac:dyDescent="0.25">
      <c r="A309" s="40"/>
      <c r="B309" s="43" t="str">
        <f>IF($A309="","",IFERROR(VLOOKUP($AC309,'PRODUCT DATA'!$NR$2:$NS$374,2,FALSE()),"UNKNOWN ITEM CODE - please check"))</f>
        <v/>
      </c>
      <c r="C309" s="39">
        <v>1</v>
      </c>
      <c r="D309" s="39"/>
      <c r="E309" s="40"/>
      <c r="F309" s="41"/>
      <c r="G309" s="39"/>
      <c r="H309" s="41"/>
      <c r="I309" s="41"/>
      <c r="J309" s="39"/>
      <c r="K309" s="41"/>
      <c r="L309" s="40"/>
      <c r="M309" s="40"/>
      <c r="N309" s="42" t="str">
        <f>IF($M309="","",IFERROR(INDEX('PRODUCT DATA'!$B$2:$B$58,MATCH(IF(UPPER($M309)="UK","GB",$M309),'PRODUCT DATA'!$B$2:$B$58,0)),IFERROR(INDEX('PRODUCT DATA'!$B$2:$B$58,MATCH(IF(UPPER($M309)="UK","GB",$M309),'PRODUCT DATA'!$A$2:$A$58,0)),"UNKNOWN COUNTRY - please check")))</f>
        <v/>
      </c>
      <c r="O309" s="41"/>
      <c r="P309" s="41"/>
      <c r="Q309" s="41"/>
      <c r="R309" s="41"/>
      <c r="S309" s="41"/>
      <c r="T309" s="41"/>
      <c r="U309" s="41"/>
      <c r="V309" s="43" t="str">
        <f t="shared" si="16"/>
        <v/>
      </c>
      <c r="W309" s="44" t="str">
        <f ca="1">IF(COUNTA($A309,$D309:$M309,$O309:$U309)=0,"",IF($A309="","Item Code; ","")&amp;IF(AND($A309&lt;&gt;"",ISNA(MATCH($AC309,'PRODUCT DATA'!$D$2:$D$394,0))),"Item Code; ","")&amp;IF($M309="","Country; ","")&amp;IF(AND($M309&lt;&gt;"",NOT(OR(NOT(ISNA(MATCH(IF(UPPER($M309)="UK","GB",$M309),'PRODUCT DATA'!$A$2:$A$58,0))),NOT(ISNA(MATCH(IF(UPPER($M309)="UK","GB",$M309),'PRODUCT DATA'!$B$2:$B$58,0)))))),"Country; ","")&amp;IF(AND($A309&lt;&gt;"",$M309&lt;&gt;"",NOT(ISNA(MATCH($AC309,'PRODUCT DATA'!$D$2:$D$394,0))),OR(NOT(ISNA(MATCH(IF(UPPER($M309)="UK","GB",$M309),'PRODUCT DATA'!$A$2:$A$58,0))),NOT(ISNA(MATCH(IF(UPPER($M309)="UK","GB",$M309),'PRODUCT DATA'!$B$2:$B$58,0)))),NOT(IFERROR(COUNTIF(OFFSET('PRODUCT DATA'!$F$2,0,MATCH($AC309,'PRODUCT DATA'!$F$1:$NN$1,0)-1,114,1),$N309)&gt;0,FALSE()))),IF(UPPER(IFERROR(OFFSET('PRODUCT DATA'!$C$2,MATCH($N309,'PRODUCT DATA'!$B$2:$B$58,0)-1,0),""))="NO","Alcohol Restriction; ","Item Code / Country combination; "),"")&amp;IF($C309="","Quantity; ","")&amp;IF(AND($C309&lt;&gt;"",OR(NOT(ISNUMBER($C309)),$C309&lt;1,$C309&gt;999,MOD($C309,1)&lt;&gt;0)),"Quantity; ","")&amp;IF($D309="","Recipient Name; ","")&amp;IF(LEN($D309)&gt;35,"Recipient Name; ","")&amp;IF($E309="","Recipient Phone; ","")&amp;IF(AND($E309&lt;&gt;"",OR(LEN($E309)&lt;6,LEN($E309)&gt;20,NOT(IFERROR(ISNUMBER(1*$E309),FALSE())))),"Recipient Phone; ","")&amp;IF(LEN($F309)&gt;35,"Recipient Company Name; ","")&amp;IF($G309="","Address Line 1; ","")&amp;IF(LEN($G309)&gt;35,"Address Line 1; ","")&amp;IF(LEN($H309)&gt;35,"Address Line 2; ","")&amp;IF(LEN($I309)&gt;35,"Address Line 3; ","")&amp;IF($J309="","Town; ","")&amp;IF(LEN($J309)&gt;35,"Town; ","")&amp;IF(AND($N309="IE",$K309=""),"County; ","")&amp;IF(LEN($AB309)&gt;35,"County; ","")&amp;IF(AND($L309="",AND($N309&lt;&gt;"AE",$N309&lt;&gt;"QA")),"Postcode; ","")&amp;IF(LEN($L309)&gt;35,"Postcode; ","")&amp;IF($AE309&lt;&gt;"","Postcode; ","")&amp;IF(LEN($O309)&gt;40,"Gift Message 1; ","")&amp;IF(LEN($P309)&gt;40,"Gift Message 2; ","")&amp;IF(LEN($Q309)&gt;40,"Gift Message 3; ","")&amp;IF(LEN($R309)&gt;40,"Gift Message 4; ","")&amp;IF(LEN($S309)&gt;40,"Gift Message 5; ","")&amp;IF(LEN($T309)&gt;40,"Gift Message 6; ","")&amp;IF(LEN($U309)&gt;40,"Gift Message 7; ",""))</f>
        <v/>
      </c>
      <c r="X309" s="44" t="str">
        <f ca="1">IF(COUNTA($A309,$D309:$M309,$O309:$U309)=0,"",IF($A309="","Enter the Item Code (hamper) - type it, paste it, or choose it from the dropdown. ","")&amp;IF(AND($A309&lt;&gt;"",ISNA(MATCH($AC309,'PRODUCT DATA'!$D$2:$D$394,0))),"This Item Code is not recognised. Check the code (case does not matter, but spelling and digits must match exactly) or choose it from the dropdown. ","")&amp;IF($M309="","Enter the Country after the Item Code - type or paste the name or the 2-letter code, or choose it from the dropdown. ","")&amp;IF(AND($M309&lt;&gt;"",NOT(OR(NOT(ISNA(MATCH(IF(UPPER($M309)="UK","GB",$M309),'PRODUCT DATA'!$A$2:$A$58,0))),NOT(ISNA(MATCH(IF(UPPER($M309)="UK","GB",$M309),'PRODUCT DATA'!$B$2:$B$58,0)))))),"This Country is not recognised as either a full name or a 2-letter code. Check the spelling (case does not matter) or choose it from the dropdown. ","")&amp;IF(AND($A309&lt;&gt;"",$M309&lt;&gt;"",NOT(ISNA(MATCH($AC309,'PRODUCT DATA'!$D$2:$D$394,0))),OR(NOT(ISNA(MATCH(IF(UPPER($M309)="UK","GB",$M309),'PRODUCT DATA'!$A$2:$A$58,0))),NOT(ISNA(MATCH(IF(UPPER($M309)="UK","GB",$M309),'PRODUCT DATA'!$B$2:$B$58,0)))),NOT(IFERROR(COUNTIF(OFFSET('PRODUCT DATA'!$F$2,0,MATCH($AC309,'PRODUCT DATA'!$F$1:$NN$1,0)-1,114,1),$N309)&gt;0,FALSE()))),IF(UPPER(IFERROR(OFFSET('PRODUCT DATA'!$C$2,MATCH($N309,'PRODUCT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"),"")&amp;IF($C309="","Enter Quantity. ","")&amp;IF(AND($C309&lt;&gt;"",OR(NOT(ISNUMBER($C309)),$C309&lt;1,$C309&gt;999,MOD($C309,1)&lt;&gt;0)),"Quantity must be a whole number from 1 to 999 (use a quantity above 1 only for a genuine bulk order of identical items to ONE address — otherwise use a separate row per recipient). ","")&amp;IF($D309="","Enter Recipient Name. ","")&amp;IF(LEN($D309)&gt;35,"Recipient Name exceeds 35 characters. ","")&amp;IF($E309="","Enter Recipient Phone. ","")&amp;IF(AND($E309&lt;&gt;"",OR(LEN($E309)&lt;6,LEN($E309)&gt;20,NOT(IFERROR(ISNUMBER(1*$E309),FALSE())))),"Phone must be the LOCAL number for the destination country: digits only, no +, spaces, or country code, 6 to 20 digits. ","")&amp;IF(LEN($F309)&gt;35,"Recipient Company Name exceeds 35 characters. ","")&amp;IF($G309="","Enter Address Line 1. ","")&amp;IF(LEN($G309)&gt;35,"Address Line 1 exceeds the 35-character SAP limit. ","")&amp;IF(LEN($H309)&gt;35,"Address Line 2 exceeds the 35-character SAP limit. ","")&amp;IF(LEN($I309)&gt;35,"Address Line 3 exceeds the 35-character SAP limit. ","")&amp;IF($J309="","Enter Town. This must never be left blank, even if there is no conventional town name. ","")&amp;IF(LEN($J309)&gt;35,"Town exceeds 35 characters. ","")&amp;IF(AND($N309="IE",$K309=""),"County is required for deliveries within the Republic of Ireland. ","")&amp;IF(LEN($AB309)&gt;35,"County exceeds 35 characters. ","")&amp;IF(AND($L309="",AND($N309&lt;&gt;"AE",$N309&lt;&gt;"QA")),"Postcode is required for the selected country. If there is genuinely no postcode, enter the first 3 characters of the area (e.g. D15). ","")&amp;IF(LEN($L309)&gt;35,"Postcode exceeds 35 characters. ","")&amp;IF($AE309&lt;&gt;"",$AE309,"")&amp;IF(LEN($O309)&gt;40,"Gift Message Line 1 exceeds 40 characters. ","")&amp;IF(LEN($P309)&gt;40,"Gift Message Line 2 exceeds 40 characters. ","")&amp;IF(LEN($Q309)&gt;40,"Gift Message Line 3 exceeds 40 characters. ","")&amp;IF(LEN($R309)&gt;40,"Gift Message Line 4 exceeds 40 characters. ","")&amp;IF(LEN($S309)&gt;40,"Gift Message Line 5 exceeds 40 characters. ","")&amp;IF(LEN($T309)&gt;40,"Gift Message Line 6 exceeds 40 characters. ","")&amp;IF(LEN($U309)&gt;40,"Gift Message Line 7 exceeds 40 characters. ",""))</f>
        <v/>
      </c>
      <c r="Y309" s="44" t="str">
        <f t="shared" si="17"/>
        <v/>
      </c>
      <c r="Z309" s="44"/>
      <c r="AA309" s="44"/>
      <c r="AB309" s="32" t="str">
        <f t="shared" si="18"/>
        <v/>
      </c>
      <c r="AC309" s="32" t="str">
        <f>IF($A309="","",IFERROR(LEFT(INDEX('PRODUCT DATA'!$NO$2:$NO$25,MATCH($A309,'PRODUCT DATA'!$NP$2:$NP$25,0)),FIND("|",INDEX('PRODUCT DATA'!$NO$2:$NO$25,MATCH($A309,'PRODUCT DATA'!$NP$2:$NP$25,0)))-1),$A309))</f>
        <v/>
      </c>
      <c r="AD309" s="45"/>
      <c r="AE309" s="45" t="str">
        <f t="shared" si="19"/>
        <v/>
      </c>
    </row>
    <row r="310" spans="1:31" ht="15" customHeight="1" x14ac:dyDescent="0.25">
      <c r="A310" s="40"/>
      <c r="B310" s="43" t="str">
        <f>IF($A310="","",IFERROR(VLOOKUP($AC310,'PRODUCT DATA'!$NR$2:$NS$374,2,FALSE()),"UNKNOWN ITEM CODE - please check"))</f>
        <v/>
      </c>
      <c r="C310" s="39">
        <v>1</v>
      </c>
      <c r="D310" s="39"/>
      <c r="E310" s="40"/>
      <c r="F310" s="41"/>
      <c r="G310" s="39"/>
      <c r="H310" s="41"/>
      <c r="I310" s="41"/>
      <c r="J310" s="39"/>
      <c r="K310" s="41"/>
      <c r="L310" s="40"/>
      <c r="M310" s="40"/>
      <c r="N310" s="42" t="str">
        <f>IF($M310="","",IFERROR(INDEX('PRODUCT DATA'!$B$2:$B$58,MATCH(IF(UPPER($M310)="UK","GB",$M310),'PRODUCT DATA'!$B$2:$B$58,0)),IFERROR(INDEX('PRODUCT DATA'!$B$2:$B$58,MATCH(IF(UPPER($M310)="UK","GB",$M310),'PRODUCT DATA'!$A$2:$A$58,0)),"UNKNOWN COUNTRY - please check")))</f>
        <v/>
      </c>
      <c r="O310" s="41"/>
      <c r="P310" s="41"/>
      <c r="Q310" s="41"/>
      <c r="R310" s="41"/>
      <c r="S310" s="41"/>
      <c r="T310" s="41"/>
      <c r="U310" s="41"/>
      <c r="V310" s="43" t="str">
        <f t="shared" si="16"/>
        <v/>
      </c>
      <c r="W310" s="44" t="str">
        <f ca="1">IF(COUNTA($A310,$D310:$M310,$O310:$U310)=0,"",IF($A310="","Item Code; ","")&amp;IF(AND($A310&lt;&gt;"",ISNA(MATCH($AC310,'PRODUCT DATA'!$D$2:$D$394,0))),"Item Code; ","")&amp;IF($M310="","Country; ","")&amp;IF(AND($M310&lt;&gt;"",NOT(OR(NOT(ISNA(MATCH(IF(UPPER($M310)="UK","GB",$M310),'PRODUCT DATA'!$A$2:$A$58,0))),NOT(ISNA(MATCH(IF(UPPER($M310)="UK","GB",$M310),'PRODUCT DATA'!$B$2:$B$58,0)))))),"Country; ","")&amp;IF(AND($A310&lt;&gt;"",$M310&lt;&gt;"",NOT(ISNA(MATCH($AC310,'PRODUCT DATA'!$D$2:$D$394,0))),OR(NOT(ISNA(MATCH(IF(UPPER($M310)="UK","GB",$M310),'PRODUCT DATA'!$A$2:$A$58,0))),NOT(ISNA(MATCH(IF(UPPER($M310)="UK","GB",$M310),'PRODUCT DATA'!$B$2:$B$58,0)))),NOT(IFERROR(COUNTIF(OFFSET('PRODUCT DATA'!$F$2,0,MATCH($AC310,'PRODUCT DATA'!$F$1:$NN$1,0)-1,114,1),$N310)&gt;0,FALSE()))),IF(UPPER(IFERROR(OFFSET('PRODUCT DATA'!$C$2,MATCH($N310,'PRODUCT DATA'!$B$2:$B$58,0)-1,0),""))="NO","Alcohol Restriction; ","Item Code / Country combination; "),"")&amp;IF($C310="","Quantity; ","")&amp;IF(AND($C310&lt;&gt;"",OR(NOT(ISNUMBER($C310)),$C310&lt;1,$C310&gt;999,MOD($C310,1)&lt;&gt;0)),"Quantity; ","")&amp;IF($D310="","Recipient Name; ","")&amp;IF(LEN($D310)&gt;35,"Recipient Name; ","")&amp;IF($E310="","Recipient Phone; ","")&amp;IF(AND($E310&lt;&gt;"",OR(LEN($E310)&lt;6,LEN($E310)&gt;20,NOT(IFERROR(ISNUMBER(1*$E310),FALSE())))),"Recipient Phone; ","")&amp;IF(LEN($F310)&gt;35,"Recipient Company Name; ","")&amp;IF($G310="","Address Line 1; ","")&amp;IF(LEN($G310)&gt;35,"Address Line 1; ","")&amp;IF(LEN($H310)&gt;35,"Address Line 2; ","")&amp;IF(LEN($I310)&gt;35,"Address Line 3; ","")&amp;IF($J310="","Town; ","")&amp;IF(LEN($J310)&gt;35,"Town; ","")&amp;IF(AND($N310="IE",$K310=""),"County; ","")&amp;IF(LEN($AB310)&gt;35,"County; ","")&amp;IF(AND($L310="",AND($N310&lt;&gt;"AE",$N310&lt;&gt;"QA")),"Postcode; ","")&amp;IF(LEN($L310)&gt;35,"Postcode; ","")&amp;IF($AE310&lt;&gt;"","Postcode; ","")&amp;IF(LEN($O310)&gt;40,"Gift Message 1; ","")&amp;IF(LEN($P310)&gt;40,"Gift Message 2; ","")&amp;IF(LEN($Q310)&gt;40,"Gift Message 3; ","")&amp;IF(LEN($R310)&gt;40,"Gift Message 4; ","")&amp;IF(LEN($S310)&gt;40,"Gift Message 5; ","")&amp;IF(LEN($T310)&gt;40,"Gift Message 6; ","")&amp;IF(LEN($U310)&gt;40,"Gift Message 7; ",""))</f>
        <v/>
      </c>
      <c r="X310" s="44" t="str">
        <f ca="1">IF(COUNTA($A310,$D310:$M310,$O310:$U310)=0,"",IF($A310="","Enter the Item Code (hamper) - type it, paste it, or choose it from the dropdown. ","")&amp;IF(AND($A310&lt;&gt;"",ISNA(MATCH($AC310,'PRODUCT DATA'!$D$2:$D$394,0))),"This Item Code is not recognised. Check the code (case does not matter, but spelling and digits must match exactly) or choose it from the dropdown. ","")&amp;IF($M310="","Enter the Country after the Item Code - type or paste the name or the 2-letter code, or choose it from the dropdown. ","")&amp;IF(AND($M310&lt;&gt;"",NOT(OR(NOT(ISNA(MATCH(IF(UPPER($M310)="UK","GB",$M310),'PRODUCT DATA'!$A$2:$A$58,0))),NOT(ISNA(MATCH(IF(UPPER($M310)="UK","GB",$M310),'PRODUCT DATA'!$B$2:$B$58,0)))))),"This Country is not recognised as either a full name or a 2-letter code. Check the spelling (case does not matter) or choose it from the dropdown. ","")&amp;IF(AND($A310&lt;&gt;"",$M310&lt;&gt;"",NOT(ISNA(MATCH($AC310,'PRODUCT DATA'!$D$2:$D$394,0))),OR(NOT(ISNA(MATCH(IF(UPPER($M310)="UK","GB",$M310),'PRODUCT DATA'!$A$2:$A$58,0))),NOT(ISNA(MATCH(IF(UPPER($M310)="UK","GB",$M310),'PRODUCT DATA'!$B$2:$B$58,0)))),NOT(IFERROR(COUNTIF(OFFSET('PRODUCT DATA'!$F$2,0,MATCH($AC310,'PRODUCT DATA'!$F$1:$NN$1,0)-1,114,1),$N310)&gt;0,FALSE()))),IF(UPPER(IFERROR(OFFSET('PRODUCT DATA'!$C$2,MATCH($N310,'PRODUCT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"),"")&amp;IF($C310="","Enter Quantity. ","")&amp;IF(AND($C310&lt;&gt;"",OR(NOT(ISNUMBER($C310)),$C310&lt;1,$C310&gt;999,MOD($C310,1)&lt;&gt;0)),"Quantity must be a whole number from 1 to 999 (use a quantity above 1 only for a genuine bulk order of identical items to ONE address — otherwise use a separate row per recipient). ","")&amp;IF($D310="","Enter Recipient Name. ","")&amp;IF(LEN($D310)&gt;35,"Recipient Name exceeds 35 characters. ","")&amp;IF($E310="","Enter Recipient Phone. ","")&amp;IF(AND($E310&lt;&gt;"",OR(LEN($E310)&lt;6,LEN($E310)&gt;20,NOT(IFERROR(ISNUMBER(1*$E310),FALSE())))),"Phone must be the LOCAL number for the destination country: digits only, no +, spaces, or country code, 6 to 20 digits. ","")&amp;IF(LEN($F310)&gt;35,"Recipient Company Name exceeds 35 characters. ","")&amp;IF($G310="","Enter Address Line 1. ","")&amp;IF(LEN($G310)&gt;35,"Address Line 1 exceeds the 35-character SAP limit. ","")&amp;IF(LEN($H310)&gt;35,"Address Line 2 exceeds the 35-character SAP limit. ","")&amp;IF(LEN($I310)&gt;35,"Address Line 3 exceeds the 35-character SAP limit. ","")&amp;IF($J310="","Enter Town. This must never be left blank, even if there is no conventional town name. ","")&amp;IF(LEN($J310)&gt;35,"Town exceeds 35 characters. ","")&amp;IF(AND($N310="IE",$K310=""),"County is required for deliveries within the Republic of Ireland. ","")&amp;IF(LEN($AB310)&gt;35,"County exceeds 35 characters. ","")&amp;IF(AND($L310="",AND($N310&lt;&gt;"AE",$N310&lt;&gt;"QA")),"Postcode is required for the selected country. If there is genuinely no postcode, enter the first 3 characters of the area (e.g. D15). ","")&amp;IF(LEN($L310)&gt;35,"Postcode exceeds 35 characters. ","")&amp;IF($AE310&lt;&gt;"",$AE310,"")&amp;IF(LEN($O310)&gt;40,"Gift Message Line 1 exceeds 40 characters. ","")&amp;IF(LEN($P310)&gt;40,"Gift Message Line 2 exceeds 40 characters. ","")&amp;IF(LEN($Q310)&gt;40,"Gift Message Line 3 exceeds 40 characters. ","")&amp;IF(LEN($R310)&gt;40,"Gift Message Line 4 exceeds 40 characters. ","")&amp;IF(LEN($S310)&gt;40,"Gift Message Line 5 exceeds 40 characters. ","")&amp;IF(LEN($T310)&gt;40,"Gift Message Line 6 exceeds 40 characters. ","")&amp;IF(LEN($U310)&gt;40,"Gift Message Line 7 exceeds 40 characters. ",""))</f>
        <v/>
      </c>
      <c r="Y310" s="44" t="str">
        <f t="shared" si="17"/>
        <v/>
      </c>
      <c r="Z310" s="44"/>
      <c r="AA310" s="44"/>
      <c r="AB310" s="32" t="str">
        <f t="shared" si="18"/>
        <v/>
      </c>
      <c r="AC310" s="32" t="str">
        <f>IF($A310="","",IFERROR(LEFT(INDEX('PRODUCT DATA'!$NO$2:$NO$25,MATCH($A310,'PRODUCT DATA'!$NP$2:$NP$25,0)),FIND("|",INDEX('PRODUCT DATA'!$NO$2:$NO$25,MATCH($A310,'PRODUCT DATA'!$NP$2:$NP$25,0)))-1),$A310))</f>
        <v/>
      </c>
      <c r="AD310" s="45"/>
      <c r="AE310" s="45" t="str">
        <f t="shared" si="19"/>
        <v/>
      </c>
    </row>
    <row r="311" spans="1:31" ht="15" customHeight="1" x14ac:dyDescent="0.25">
      <c r="A311" s="40"/>
      <c r="B311" s="43" t="str">
        <f>IF($A311="","",IFERROR(VLOOKUP($AC311,'PRODUCT DATA'!$NR$2:$NS$374,2,FALSE()),"UNKNOWN ITEM CODE - please check"))</f>
        <v/>
      </c>
      <c r="C311" s="39">
        <v>1</v>
      </c>
      <c r="D311" s="39"/>
      <c r="E311" s="40"/>
      <c r="F311" s="41"/>
      <c r="G311" s="39"/>
      <c r="H311" s="41"/>
      <c r="I311" s="41"/>
      <c r="J311" s="39"/>
      <c r="K311" s="41"/>
      <c r="L311" s="40"/>
      <c r="M311" s="40"/>
      <c r="N311" s="42" t="str">
        <f>IF($M311="","",IFERROR(INDEX('PRODUCT DATA'!$B$2:$B$58,MATCH(IF(UPPER($M311)="UK","GB",$M311),'PRODUCT DATA'!$B$2:$B$58,0)),IFERROR(INDEX('PRODUCT DATA'!$B$2:$B$58,MATCH(IF(UPPER($M311)="UK","GB",$M311),'PRODUCT DATA'!$A$2:$A$58,0)),"UNKNOWN COUNTRY - please check")))</f>
        <v/>
      </c>
      <c r="O311" s="41"/>
      <c r="P311" s="41"/>
      <c r="Q311" s="41"/>
      <c r="R311" s="41"/>
      <c r="S311" s="41"/>
      <c r="T311" s="41"/>
      <c r="U311" s="41"/>
      <c r="V311" s="43" t="str">
        <f t="shared" si="16"/>
        <v/>
      </c>
      <c r="W311" s="44" t="str">
        <f ca="1">IF(COUNTA($A311,$D311:$M311,$O311:$U311)=0,"",IF($A311="","Item Code; ","")&amp;IF(AND($A311&lt;&gt;"",ISNA(MATCH($AC311,'PRODUCT DATA'!$D$2:$D$394,0))),"Item Code; ","")&amp;IF($M311="","Country; ","")&amp;IF(AND($M311&lt;&gt;"",NOT(OR(NOT(ISNA(MATCH(IF(UPPER($M311)="UK","GB",$M311),'PRODUCT DATA'!$A$2:$A$58,0))),NOT(ISNA(MATCH(IF(UPPER($M311)="UK","GB",$M311),'PRODUCT DATA'!$B$2:$B$58,0)))))),"Country; ","")&amp;IF(AND($A311&lt;&gt;"",$M311&lt;&gt;"",NOT(ISNA(MATCH($AC311,'PRODUCT DATA'!$D$2:$D$394,0))),OR(NOT(ISNA(MATCH(IF(UPPER($M311)="UK","GB",$M311),'PRODUCT DATA'!$A$2:$A$58,0))),NOT(ISNA(MATCH(IF(UPPER($M311)="UK","GB",$M311),'PRODUCT DATA'!$B$2:$B$58,0)))),NOT(IFERROR(COUNTIF(OFFSET('PRODUCT DATA'!$F$2,0,MATCH($AC311,'PRODUCT DATA'!$F$1:$NN$1,0)-1,114,1),$N311)&gt;0,FALSE()))),IF(UPPER(IFERROR(OFFSET('PRODUCT DATA'!$C$2,MATCH($N311,'PRODUCT DATA'!$B$2:$B$58,0)-1,0),""))="NO","Alcohol Restriction; ","Item Code / Country combination; "),"")&amp;IF($C311="","Quantity; ","")&amp;IF(AND($C311&lt;&gt;"",OR(NOT(ISNUMBER($C311)),$C311&lt;1,$C311&gt;999,MOD($C311,1)&lt;&gt;0)),"Quantity; ","")&amp;IF($D311="","Recipient Name; ","")&amp;IF(LEN($D311)&gt;35,"Recipient Name; ","")&amp;IF($E311="","Recipient Phone; ","")&amp;IF(AND($E311&lt;&gt;"",OR(LEN($E311)&lt;6,LEN($E311)&gt;20,NOT(IFERROR(ISNUMBER(1*$E311),FALSE())))),"Recipient Phone; ","")&amp;IF(LEN($F311)&gt;35,"Recipient Company Name; ","")&amp;IF($G311="","Address Line 1; ","")&amp;IF(LEN($G311)&gt;35,"Address Line 1; ","")&amp;IF(LEN($H311)&gt;35,"Address Line 2; ","")&amp;IF(LEN($I311)&gt;35,"Address Line 3; ","")&amp;IF($J311="","Town; ","")&amp;IF(LEN($J311)&gt;35,"Town; ","")&amp;IF(AND($N311="IE",$K311=""),"County; ","")&amp;IF(LEN($AB311)&gt;35,"County; ","")&amp;IF(AND($L311="",AND($N311&lt;&gt;"AE",$N311&lt;&gt;"QA")),"Postcode; ","")&amp;IF(LEN($L311)&gt;35,"Postcode; ","")&amp;IF($AE311&lt;&gt;"","Postcode; ","")&amp;IF(LEN($O311)&gt;40,"Gift Message 1; ","")&amp;IF(LEN($P311)&gt;40,"Gift Message 2; ","")&amp;IF(LEN($Q311)&gt;40,"Gift Message 3; ","")&amp;IF(LEN($R311)&gt;40,"Gift Message 4; ","")&amp;IF(LEN($S311)&gt;40,"Gift Message 5; ","")&amp;IF(LEN($T311)&gt;40,"Gift Message 6; ","")&amp;IF(LEN($U311)&gt;40,"Gift Message 7; ",""))</f>
        <v/>
      </c>
      <c r="X311" s="44" t="str">
        <f ca="1">IF(COUNTA($A311,$D311:$M311,$O311:$U311)=0,"",IF($A311="","Enter the Item Code (hamper) - type it, paste it, or choose it from the dropdown. ","")&amp;IF(AND($A311&lt;&gt;"",ISNA(MATCH($AC311,'PRODUCT DATA'!$D$2:$D$394,0))),"This Item Code is not recognised. Check the code (case does not matter, but spelling and digits must match exactly) or choose it from the dropdown. ","")&amp;IF($M311="","Enter the Country after the Item Code - type or paste the name or the 2-letter code, or choose it from the dropdown. ","")&amp;IF(AND($M311&lt;&gt;"",NOT(OR(NOT(ISNA(MATCH(IF(UPPER($M311)="UK","GB",$M311),'PRODUCT DATA'!$A$2:$A$58,0))),NOT(ISNA(MATCH(IF(UPPER($M311)="UK","GB",$M311),'PRODUCT DATA'!$B$2:$B$58,0)))))),"This Country is not recognised as either a full name or a 2-letter code. Check the spelling (case does not matter) or choose it from the dropdown. ","")&amp;IF(AND($A311&lt;&gt;"",$M311&lt;&gt;"",NOT(ISNA(MATCH($AC311,'PRODUCT DATA'!$D$2:$D$394,0))),OR(NOT(ISNA(MATCH(IF(UPPER($M311)="UK","GB",$M311),'PRODUCT DATA'!$A$2:$A$58,0))),NOT(ISNA(MATCH(IF(UPPER($M311)="UK","GB",$M311),'PRODUCT DATA'!$B$2:$B$58,0)))),NOT(IFERROR(COUNTIF(OFFSET('PRODUCT DATA'!$F$2,0,MATCH($AC311,'PRODUCT DATA'!$F$1:$NN$1,0)-1,114,1),$N311)&gt;0,FALSE()))),IF(UPPER(IFERROR(OFFSET('PRODUCT DATA'!$C$2,MATCH($N311,'PRODUCT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"),"")&amp;IF($C311="","Enter Quantity. ","")&amp;IF(AND($C311&lt;&gt;"",OR(NOT(ISNUMBER($C311)),$C311&lt;1,$C311&gt;999,MOD($C311,1)&lt;&gt;0)),"Quantity must be a whole number from 1 to 999 (use a quantity above 1 only for a genuine bulk order of identical items to ONE address — otherwise use a separate row per recipient). ","")&amp;IF($D311="","Enter Recipient Name. ","")&amp;IF(LEN($D311)&gt;35,"Recipient Name exceeds 35 characters. ","")&amp;IF($E311="","Enter Recipient Phone. ","")&amp;IF(AND($E311&lt;&gt;"",OR(LEN($E311)&lt;6,LEN($E311)&gt;20,NOT(IFERROR(ISNUMBER(1*$E311),FALSE())))),"Phone must be the LOCAL number for the destination country: digits only, no +, spaces, or country code, 6 to 20 digits. ","")&amp;IF(LEN($F311)&gt;35,"Recipient Company Name exceeds 35 characters. ","")&amp;IF($G311="","Enter Address Line 1. ","")&amp;IF(LEN($G311)&gt;35,"Address Line 1 exceeds the 35-character SAP limit. ","")&amp;IF(LEN($H311)&gt;35,"Address Line 2 exceeds the 35-character SAP limit. ","")&amp;IF(LEN($I311)&gt;35,"Address Line 3 exceeds the 35-character SAP limit. ","")&amp;IF($J311="","Enter Town. This must never be left blank, even if there is no conventional town name. ","")&amp;IF(LEN($J311)&gt;35,"Town exceeds 35 characters. ","")&amp;IF(AND($N311="IE",$K311=""),"County is required for deliveries within the Republic of Ireland. ","")&amp;IF(LEN($AB311)&gt;35,"County exceeds 35 characters. ","")&amp;IF(AND($L311="",AND($N311&lt;&gt;"AE",$N311&lt;&gt;"QA")),"Postcode is required for the selected country. If there is genuinely no postcode, enter the first 3 characters of the area (e.g. D15). ","")&amp;IF(LEN($L311)&gt;35,"Postcode exceeds 35 characters. ","")&amp;IF($AE311&lt;&gt;"",$AE311,"")&amp;IF(LEN($O311)&gt;40,"Gift Message Line 1 exceeds 40 characters. ","")&amp;IF(LEN($P311)&gt;40,"Gift Message Line 2 exceeds 40 characters. ","")&amp;IF(LEN($Q311)&gt;40,"Gift Message Line 3 exceeds 40 characters. ","")&amp;IF(LEN($R311)&gt;40,"Gift Message Line 4 exceeds 40 characters. ","")&amp;IF(LEN($S311)&gt;40,"Gift Message Line 5 exceeds 40 characters. ","")&amp;IF(LEN($T311)&gt;40,"Gift Message Line 6 exceeds 40 characters. ","")&amp;IF(LEN($U311)&gt;40,"Gift Message Line 7 exceeds 40 characters. ",""))</f>
        <v/>
      </c>
      <c r="Y311" s="44" t="str">
        <f t="shared" si="17"/>
        <v/>
      </c>
      <c r="Z311" s="44"/>
      <c r="AA311" s="44"/>
      <c r="AB311" s="32" t="str">
        <f t="shared" si="18"/>
        <v/>
      </c>
      <c r="AC311" s="32" t="str">
        <f>IF($A311="","",IFERROR(LEFT(INDEX('PRODUCT DATA'!$NO$2:$NO$25,MATCH($A311,'PRODUCT DATA'!$NP$2:$NP$25,0)),FIND("|",INDEX('PRODUCT DATA'!$NO$2:$NO$25,MATCH($A311,'PRODUCT DATA'!$NP$2:$NP$25,0)))-1),$A311))</f>
        <v/>
      </c>
      <c r="AD311" s="45"/>
      <c r="AE311" s="45" t="str">
        <f t="shared" si="19"/>
        <v/>
      </c>
    </row>
    <row r="312" spans="1:31" ht="15" customHeight="1" x14ac:dyDescent="0.25">
      <c r="A312" s="40"/>
      <c r="B312" s="43" t="str">
        <f>IF($A312="","",IFERROR(VLOOKUP($AC312,'PRODUCT DATA'!$NR$2:$NS$374,2,FALSE()),"UNKNOWN ITEM CODE - please check"))</f>
        <v/>
      </c>
      <c r="C312" s="39">
        <v>1</v>
      </c>
      <c r="D312" s="39"/>
      <c r="E312" s="40"/>
      <c r="F312" s="41"/>
      <c r="G312" s="39"/>
      <c r="H312" s="41"/>
      <c r="I312" s="41"/>
      <c r="J312" s="39"/>
      <c r="K312" s="41"/>
      <c r="L312" s="40"/>
      <c r="M312" s="40"/>
      <c r="N312" s="42" t="str">
        <f>IF($M312="","",IFERROR(INDEX('PRODUCT DATA'!$B$2:$B$58,MATCH(IF(UPPER($M312)="UK","GB",$M312),'PRODUCT DATA'!$B$2:$B$58,0)),IFERROR(INDEX('PRODUCT DATA'!$B$2:$B$58,MATCH(IF(UPPER($M312)="UK","GB",$M312),'PRODUCT DATA'!$A$2:$A$58,0)),"UNKNOWN COUNTRY - please check")))</f>
        <v/>
      </c>
      <c r="O312" s="41"/>
      <c r="P312" s="41"/>
      <c r="Q312" s="41"/>
      <c r="R312" s="41"/>
      <c r="S312" s="41"/>
      <c r="T312" s="41"/>
      <c r="U312" s="41"/>
      <c r="V312" s="43" t="str">
        <f t="shared" si="16"/>
        <v/>
      </c>
      <c r="W312" s="44" t="str">
        <f ca="1">IF(COUNTA($A312,$D312:$M312,$O312:$U312)=0,"",IF($A312="","Item Code; ","")&amp;IF(AND($A312&lt;&gt;"",ISNA(MATCH($AC312,'PRODUCT DATA'!$D$2:$D$394,0))),"Item Code; ","")&amp;IF($M312="","Country; ","")&amp;IF(AND($M312&lt;&gt;"",NOT(OR(NOT(ISNA(MATCH(IF(UPPER($M312)="UK","GB",$M312),'PRODUCT DATA'!$A$2:$A$58,0))),NOT(ISNA(MATCH(IF(UPPER($M312)="UK","GB",$M312),'PRODUCT DATA'!$B$2:$B$58,0)))))),"Country; ","")&amp;IF(AND($A312&lt;&gt;"",$M312&lt;&gt;"",NOT(ISNA(MATCH($AC312,'PRODUCT DATA'!$D$2:$D$394,0))),OR(NOT(ISNA(MATCH(IF(UPPER($M312)="UK","GB",$M312),'PRODUCT DATA'!$A$2:$A$58,0))),NOT(ISNA(MATCH(IF(UPPER($M312)="UK","GB",$M312),'PRODUCT DATA'!$B$2:$B$58,0)))),NOT(IFERROR(COUNTIF(OFFSET('PRODUCT DATA'!$F$2,0,MATCH($AC312,'PRODUCT DATA'!$F$1:$NN$1,0)-1,114,1),$N312)&gt;0,FALSE()))),IF(UPPER(IFERROR(OFFSET('PRODUCT DATA'!$C$2,MATCH($N312,'PRODUCT DATA'!$B$2:$B$58,0)-1,0),""))="NO","Alcohol Restriction; ","Item Code / Country combination; "),"")&amp;IF($C312="","Quantity; ","")&amp;IF(AND($C312&lt;&gt;"",OR(NOT(ISNUMBER($C312)),$C312&lt;1,$C312&gt;999,MOD($C312,1)&lt;&gt;0)),"Quantity; ","")&amp;IF($D312="","Recipient Name; ","")&amp;IF(LEN($D312)&gt;35,"Recipient Name; ","")&amp;IF($E312="","Recipient Phone; ","")&amp;IF(AND($E312&lt;&gt;"",OR(LEN($E312)&lt;6,LEN($E312)&gt;20,NOT(IFERROR(ISNUMBER(1*$E312),FALSE())))),"Recipient Phone; ","")&amp;IF(LEN($F312)&gt;35,"Recipient Company Name; ","")&amp;IF($G312="","Address Line 1; ","")&amp;IF(LEN($G312)&gt;35,"Address Line 1; ","")&amp;IF(LEN($H312)&gt;35,"Address Line 2; ","")&amp;IF(LEN($I312)&gt;35,"Address Line 3; ","")&amp;IF($J312="","Town; ","")&amp;IF(LEN($J312)&gt;35,"Town; ","")&amp;IF(AND($N312="IE",$K312=""),"County; ","")&amp;IF(LEN($AB312)&gt;35,"County; ","")&amp;IF(AND($L312="",AND($N312&lt;&gt;"AE",$N312&lt;&gt;"QA")),"Postcode; ","")&amp;IF(LEN($L312)&gt;35,"Postcode; ","")&amp;IF($AE312&lt;&gt;"","Postcode; ","")&amp;IF(LEN($O312)&gt;40,"Gift Message 1; ","")&amp;IF(LEN($P312)&gt;40,"Gift Message 2; ","")&amp;IF(LEN($Q312)&gt;40,"Gift Message 3; ","")&amp;IF(LEN($R312)&gt;40,"Gift Message 4; ","")&amp;IF(LEN($S312)&gt;40,"Gift Message 5; ","")&amp;IF(LEN($T312)&gt;40,"Gift Message 6; ","")&amp;IF(LEN($U312)&gt;40,"Gift Message 7; ",""))</f>
        <v/>
      </c>
      <c r="X312" s="44" t="str">
        <f ca="1">IF(COUNTA($A312,$D312:$M312,$O312:$U312)=0,"",IF($A312="","Enter the Item Code (hamper) - type it, paste it, or choose it from the dropdown. ","")&amp;IF(AND($A312&lt;&gt;"",ISNA(MATCH($AC312,'PRODUCT DATA'!$D$2:$D$394,0))),"This Item Code is not recognised. Check the code (case does not matter, but spelling and digits must match exactly) or choose it from the dropdown. ","")&amp;IF($M312="","Enter the Country after the Item Code - type or paste the name or the 2-letter code, or choose it from the dropdown. ","")&amp;IF(AND($M312&lt;&gt;"",NOT(OR(NOT(ISNA(MATCH(IF(UPPER($M312)="UK","GB",$M312),'PRODUCT DATA'!$A$2:$A$58,0))),NOT(ISNA(MATCH(IF(UPPER($M312)="UK","GB",$M312),'PRODUCT DATA'!$B$2:$B$58,0)))))),"This Country is not recognised as either a full name or a 2-letter code. Check the spelling (case does not matter) or choose it from the dropdown. ","")&amp;IF(AND($A312&lt;&gt;"",$M312&lt;&gt;"",NOT(ISNA(MATCH($AC312,'PRODUCT DATA'!$D$2:$D$394,0))),OR(NOT(ISNA(MATCH(IF(UPPER($M312)="UK","GB",$M312),'PRODUCT DATA'!$A$2:$A$58,0))),NOT(ISNA(MATCH(IF(UPPER($M312)="UK","GB",$M312),'PRODUCT DATA'!$B$2:$B$58,0)))),NOT(IFERROR(COUNTIF(OFFSET('PRODUCT DATA'!$F$2,0,MATCH($AC312,'PRODUCT DATA'!$F$1:$NN$1,0)-1,114,1),$N312)&gt;0,FALSE()))),IF(UPPER(IFERROR(OFFSET('PRODUCT DATA'!$C$2,MATCH($N312,'PRODUCT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"),"")&amp;IF($C312="","Enter Quantity. ","")&amp;IF(AND($C312&lt;&gt;"",OR(NOT(ISNUMBER($C312)),$C312&lt;1,$C312&gt;999,MOD($C312,1)&lt;&gt;0)),"Quantity must be a whole number from 1 to 999 (use a quantity above 1 only for a genuine bulk order of identical items to ONE address — otherwise use a separate row per recipient). ","")&amp;IF($D312="","Enter Recipient Name. ","")&amp;IF(LEN($D312)&gt;35,"Recipient Name exceeds 35 characters. ","")&amp;IF($E312="","Enter Recipient Phone. ","")&amp;IF(AND($E312&lt;&gt;"",OR(LEN($E312)&lt;6,LEN($E312)&gt;20,NOT(IFERROR(ISNUMBER(1*$E312),FALSE())))),"Phone must be the LOCAL number for the destination country: digits only, no +, spaces, or country code, 6 to 20 digits. ","")&amp;IF(LEN($F312)&gt;35,"Recipient Company Name exceeds 35 characters. ","")&amp;IF($G312="","Enter Address Line 1. ","")&amp;IF(LEN($G312)&gt;35,"Address Line 1 exceeds the 35-character SAP limit. ","")&amp;IF(LEN($H312)&gt;35,"Address Line 2 exceeds the 35-character SAP limit. ","")&amp;IF(LEN($I312)&gt;35,"Address Line 3 exceeds the 35-character SAP limit. ","")&amp;IF($J312="","Enter Town. This must never be left blank, even if there is no conventional town name. ","")&amp;IF(LEN($J312)&gt;35,"Town exceeds 35 characters. ","")&amp;IF(AND($N312="IE",$K312=""),"County is required for deliveries within the Republic of Ireland. ","")&amp;IF(LEN($AB312)&gt;35,"County exceeds 35 characters. ","")&amp;IF(AND($L312="",AND($N312&lt;&gt;"AE",$N312&lt;&gt;"QA")),"Postcode is required for the selected country. If there is genuinely no postcode, enter the first 3 characters of the area (e.g. D15). ","")&amp;IF(LEN($L312)&gt;35,"Postcode exceeds 35 characters. ","")&amp;IF($AE312&lt;&gt;"",$AE312,"")&amp;IF(LEN($O312)&gt;40,"Gift Message Line 1 exceeds 40 characters. ","")&amp;IF(LEN($P312)&gt;40,"Gift Message Line 2 exceeds 40 characters. ","")&amp;IF(LEN($Q312)&gt;40,"Gift Message Line 3 exceeds 40 characters. ","")&amp;IF(LEN($R312)&gt;40,"Gift Message Line 4 exceeds 40 characters. ","")&amp;IF(LEN($S312)&gt;40,"Gift Message Line 5 exceeds 40 characters. ","")&amp;IF(LEN($T312)&gt;40,"Gift Message Line 6 exceeds 40 characters. ","")&amp;IF(LEN($U312)&gt;40,"Gift Message Line 7 exceeds 40 characters. ",""))</f>
        <v/>
      </c>
      <c r="Y312" s="44" t="str">
        <f t="shared" si="17"/>
        <v/>
      </c>
      <c r="Z312" s="44"/>
      <c r="AA312" s="44"/>
      <c r="AB312" s="32" t="str">
        <f t="shared" si="18"/>
        <v/>
      </c>
      <c r="AC312" s="32" t="str">
        <f>IF($A312="","",IFERROR(LEFT(INDEX('PRODUCT DATA'!$NO$2:$NO$25,MATCH($A312,'PRODUCT DATA'!$NP$2:$NP$25,0)),FIND("|",INDEX('PRODUCT DATA'!$NO$2:$NO$25,MATCH($A312,'PRODUCT DATA'!$NP$2:$NP$25,0)))-1),$A312))</f>
        <v/>
      </c>
      <c r="AD312" s="45"/>
      <c r="AE312" s="45" t="str">
        <f t="shared" si="19"/>
        <v/>
      </c>
    </row>
    <row r="313" spans="1:31" ht="15" customHeight="1" x14ac:dyDescent="0.25">
      <c r="A313" s="40"/>
      <c r="B313" s="43" t="str">
        <f>IF($A313="","",IFERROR(VLOOKUP($AC313,'PRODUCT DATA'!$NR$2:$NS$374,2,FALSE()),"UNKNOWN ITEM CODE - please check"))</f>
        <v/>
      </c>
      <c r="C313" s="39">
        <v>1</v>
      </c>
      <c r="D313" s="39"/>
      <c r="E313" s="40"/>
      <c r="F313" s="41"/>
      <c r="G313" s="39"/>
      <c r="H313" s="41"/>
      <c r="I313" s="41"/>
      <c r="J313" s="39"/>
      <c r="K313" s="41"/>
      <c r="L313" s="40"/>
      <c r="M313" s="40"/>
      <c r="N313" s="42" t="str">
        <f>IF($M313="","",IFERROR(INDEX('PRODUCT DATA'!$B$2:$B$58,MATCH(IF(UPPER($M313)="UK","GB",$M313),'PRODUCT DATA'!$B$2:$B$58,0)),IFERROR(INDEX('PRODUCT DATA'!$B$2:$B$58,MATCH(IF(UPPER($M313)="UK","GB",$M313),'PRODUCT DATA'!$A$2:$A$58,0)),"UNKNOWN COUNTRY - please check")))</f>
        <v/>
      </c>
      <c r="O313" s="41"/>
      <c r="P313" s="41"/>
      <c r="Q313" s="41"/>
      <c r="R313" s="41"/>
      <c r="S313" s="41"/>
      <c r="T313" s="41"/>
      <c r="U313" s="41"/>
      <c r="V313" s="43" t="str">
        <f t="shared" si="16"/>
        <v/>
      </c>
      <c r="W313" s="44" t="str">
        <f ca="1">IF(COUNTA($A313,$D313:$M313,$O313:$U313)=0,"",IF($A313="","Item Code; ","")&amp;IF(AND($A313&lt;&gt;"",ISNA(MATCH($AC313,'PRODUCT DATA'!$D$2:$D$394,0))),"Item Code; ","")&amp;IF($M313="","Country; ","")&amp;IF(AND($M313&lt;&gt;"",NOT(OR(NOT(ISNA(MATCH(IF(UPPER($M313)="UK","GB",$M313),'PRODUCT DATA'!$A$2:$A$58,0))),NOT(ISNA(MATCH(IF(UPPER($M313)="UK","GB",$M313),'PRODUCT DATA'!$B$2:$B$58,0)))))),"Country; ","")&amp;IF(AND($A313&lt;&gt;"",$M313&lt;&gt;"",NOT(ISNA(MATCH($AC313,'PRODUCT DATA'!$D$2:$D$394,0))),OR(NOT(ISNA(MATCH(IF(UPPER($M313)="UK","GB",$M313),'PRODUCT DATA'!$A$2:$A$58,0))),NOT(ISNA(MATCH(IF(UPPER($M313)="UK","GB",$M313),'PRODUCT DATA'!$B$2:$B$58,0)))),NOT(IFERROR(COUNTIF(OFFSET('PRODUCT DATA'!$F$2,0,MATCH($AC313,'PRODUCT DATA'!$F$1:$NN$1,0)-1,114,1),$N313)&gt;0,FALSE()))),IF(UPPER(IFERROR(OFFSET('PRODUCT DATA'!$C$2,MATCH($N313,'PRODUCT DATA'!$B$2:$B$58,0)-1,0),""))="NO","Alcohol Restriction; ","Item Code / Country combination; "),"")&amp;IF($C313="","Quantity; ","")&amp;IF(AND($C313&lt;&gt;"",OR(NOT(ISNUMBER($C313)),$C313&lt;1,$C313&gt;999,MOD($C313,1)&lt;&gt;0)),"Quantity; ","")&amp;IF($D313="","Recipient Name; ","")&amp;IF(LEN($D313)&gt;35,"Recipient Name; ","")&amp;IF($E313="","Recipient Phone; ","")&amp;IF(AND($E313&lt;&gt;"",OR(LEN($E313)&lt;6,LEN($E313)&gt;20,NOT(IFERROR(ISNUMBER(1*$E313),FALSE())))),"Recipient Phone; ","")&amp;IF(LEN($F313)&gt;35,"Recipient Company Name; ","")&amp;IF($G313="","Address Line 1; ","")&amp;IF(LEN($G313)&gt;35,"Address Line 1; ","")&amp;IF(LEN($H313)&gt;35,"Address Line 2; ","")&amp;IF(LEN($I313)&gt;35,"Address Line 3; ","")&amp;IF($J313="","Town; ","")&amp;IF(LEN($J313)&gt;35,"Town; ","")&amp;IF(AND($N313="IE",$K313=""),"County; ","")&amp;IF(LEN($AB313)&gt;35,"County; ","")&amp;IF(AND($L313="",AND($N313&lt;&gt;"AE",$N313&lt;&gt;"QA")),"Postcode; ","")&amp;IF(LEN($L313)&gt;35,"Postcode; ","")&amp;IF($AE313&lt;&gt;"","Postcode; ","")&amp;IF(LEN($O313)&gt;40,"Gift Message 1; ","")&amp;IF(LEN($P313)&gt;40,"Gift Message 2; ","")&amp;IF(LEN($Q313)&gt;40,"Gift Message 3; ","")&amp;IF(LEN($R313)&gt;40,"Gift Message 4; ","")&amp;IF(LEN($S313)&gt;40,"Gift Message 5; ","")&amp;IF(LEN($T313)&gt;40,"Gift Message 6; ","")&amp;IF(LEN($U313)&gt;40,"Gift Message 7; ",""))</f>
        <v/>
      </c>
      <c r="X313" s="44" t="str">
        <f ca="1">IF(COUNTA($A313,$D313:$M313,$O313:$U313)=0,"",IF($A313="","Enter the Item Code (hamper) - type it, paste it, or choose it from the dropdown. ","")&amp;IF(AND($A313&lt;&gt;"",ISNA(MATCH($AC313,'PRODUCT DATA'!$D$2:$D$394,0))),"This Item Code is not recognised. Check the code (case does not matter, but spelling and digits must match exactly) or choose it from the dropdown. ","")&amp;IF($M313="","Enter the Country after the Item Code - type or paste the name or the 2-letter code, or choose it from the dropdown. ","")&amp;IF(AND($M313&lt;&gt;"",NOT(OR(NOT(ISNA(MATCH(IF(UPPER($M313)="UK","GB",$M313),'PRODUCT DATA'!$A$2:$A$58,0))),NOT(ISNA(MATCH(IF(UPPER($M313)="UK","GB",$M313),'PRODUCT DATA'!$B$2:$B$58,0)))))),"This Country is not recognised as either a full name or a 2-letter code. Check the spelling (case does not matter) or choose it from the dropdown. ","")&amp;IF(AND($A313&lt;&gt;"",$M313&lt;&gt;"",NOT(ISNA(MATCH($AC313,'PRODUCT DATA'!$D$2:$D$394,0))),OR(NOT(ISNA(MATCH(IF(UPPER($M313)="UK","GB",$M313),'PRODUCT DATA'!$A$2:$A$58,0))),NOT(ISNA(MATCH(IF(UPPER($M313)="UK","GB",$M313),'PRODUCT DATA'!$B$2:$B$58,0)))),NOT(IFERROR(COUNTIF(OFFSET('PRODUCT DATA'!$F$2,0,MATCH($AC313,'PRODUCT DATA'!$F$1:$NN$1,0)-1,114,1),$N313)&gt;0,FALSE()))),IF(UPPER(IFERROR(OFFSET('PRODUCT DATA'!$C$2,MATCH($N313,'PRODUCT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"),"")&amp;IF($C313="","Enter Quantity. ","")&amp;IF(AND($C313&lt;&gt;"",OR(NOT(ISNUMBER($C313)),$C313&lt;1,$C313&gt;999,MOD($C313,1)&lt;&gt;0)),"Quantity must be a whole number from 1 to 999 (use a quantity above 1 only for a genuine bulk order of identical items to ONE address — otherwise use a separate row per recipient). ","")&amp;IF($D313="","Enter Recipient Name. ","")&amp;IF(LEN($D313)&gt;35,"Recipient Name exceeds 35 characters. ","")&amp;IF($E313="","Enter Recipient Phone. ","")&amp;IF(AND($E313&lt;&gt;"",OR(LEN($E313)&lt;6,LEN($E313)&gt;20,NOT(IFERROR(ISNUMBER(1*$E313),FALSE())))),"Phone must be the LOCAL number for the destination country: digits only, no +, spaces, or country code, 6 to 20 digits. ","")&amp;IF(LEN($F313)&gt;35,"Recipient Company Name exceeds 35 characters. ","")&amp;IF($G313="","Enter Address Line 1. ","")&amp;IF(LEN($G313)&gt;35,"Address Line 1 exceeds the 35-character SAP limit. ","")&amp;IF(LEN($H313)&gt;35,"Address Line 2 exceeds the 35-character SAP limit. ","")&amp;IF(LEN($I313)&gt;35,"Address Line 3 exceeds the 35-character SAP limit. ","")&amp;IF($J313="","Enter Town. This must never be left blank, even if there is no conventional town name. ","")&amp;IF(LEN($J313)&gt;35,"Town exceeds 35 characters. ","")&amp;IF(AND($N313="IE",$K313=""),"County is required for deliveries within the Republic of Ireland. ","")&amp;IF(LEN($AB313)&gt;35,"County exceeds 35 characters. ","")&amp;IF(AND($L313="",AND($N313&lt;&gt;"AE",$N313&lt;&gt;"QA")),"Postcode is required for the selected country. If there is genuinely no postcode, enter the first 3 characters of the area (e.g. D15). ","")&amp;IF(LEN($L313)&gt;35,"Postcode exceeds 35 characters. ","")&amp;IF($AE313&lt;&gt;"",$AE313,"")&amp;IF(LEN($O313)&gt;40,"Gift Message Line 1 exceeds 40 characters. ","")&amp;IF(LEN($P313)&gt;40,"Gift Message Line 2 exceeds 40 characters. ","")&amp;IF(LEN($Q313)&gt;40,"Gift Message Line 3 exceeds 40 characters. ","")&amp;IF(LEN($R313)&gt;40,"Gift Message Line 4 exceeds 40 characters. ","")&amp;IF(LEN($S313)&gt;40,"Gift Message Line 5 exceeds 40 characters. ","")&amp;IF(LEN($T313)&gt;40,"Gift Message Line 6 exceeds 40 characters. ","")&amp;IF(LEN($U313)&gt;40,"Gift Message Line 7 exceeds 40 characters. ",""))</f>
        <v/>
      </c>
      <c r="Y313" s="44" t="str">
        <f t="shared" si="17"/>
        <v/>
      </c>
      <c r="Z313" s="44"/>
      <c r="AA313" s="44"/>
      <c r="AB313" s="32" t="str">
        <f t="shared" si="18"/>
        <v/>
      </c>
      <c r="AC313" s="32" t="str">
        <f>IF($A313="","",IFERROR(LEFT(INDEX('PRODUCT DATA'!$NO$2:$NO$25,MATCH($A313,'PRODUCT DATA'!$NP$2:$NP$25,0)),FIND("|",INDEX('PRODUCT DATA'!$NO$2:$NO$25,MATCH($A313,'PRODUCT DATA'!$NP$2:$NP$25,0)))-1),$A313))</f>
        <v/>
      </c>
      <c r="AD313" s="45"/>
      <c r="AE313" s="45" t="str">
        <f t="shared" si="19"/>
        <v/>
      </c>
    </row>
    <row r="314" spans="1:31" ht="15" customHeight="1" x14ac:dyDescent="0.25">
      <c r="A314" s="40"/>
      <c r="B314" s="43" t="str">
        <f>IF($A314="","",IFERROR(VLOOKUP($AC314,'PRODUCT DATA'!$NR$2:$NS$374,2,FALSE()),"UNKNOWN ITEM CODE - please check"))</f>
        <v/>
      </c>
      <c r="C314" s="39">
        <v>1</v>
      </c>
      <c r="D314" s="39"/>
      <c r="E314" s="40"/>
      <c r="F314" s="41"/>
      <c r="G314" s="39"/>
      <c r="H314" s="41"/>
      <c r="I314" s="41"/>
      <c r="J314" s="39"/>
      <c r="K314" s="41"/>
      <c r="L314" s="40"/>
      <c r="M314" s="40"/>
      <c r="N314" s="42" t="str">
        <f>IF($M314="","",IFERROR(INDEX('PRODUCT DATA'!$B$2:$B$58,MATCH(IF(UPPER($M314)="UK","GB",$M314),'PRODUCT DATA'!$B$2:$B$58,0)),IFERROR(INDEX('PRODUCT DATA'!$B$2:$B$58,MATCH(IF(UPPER($M314)="UK","GB",$M314),'PRODUCT DATA'!$A$2:$A$58,0)),"UNKNOWN COUNTRY - please check")))</f>
        <v/>
      </c>
      <c r="O314" s="41"/>
      <c r="P314" s="41"/>
      <c r="Q314" s="41"/>
      <c r="R314" s="41"/>
      <c r="S314" s="41"/>
      <c r="T314" s="41"/>
      <c r="U314" s="41"/>
      <c r="V314" s="43" t="str">
        <f t="shared" si="16"/>
        <v/>
      </c>
      <c r="W314" s="44" t="str">
        <f ca="1">IF(COUNTA($A314,$D314:$M314,$O314:$U314)=0,"",IF($A314="","Item Code; ","")&amp;IF(AND($A314&lt;&gt;"",ISNA(MATCH($AC314,'PRODUCT DATA'!$D$2:$D$394,0))),"Item Code; ","")&amp;IF($M314="","Country; ","")&amp;IF(AND($M314&lt;&gt;"",NOT(OR(NOT(ISNA(MATCH(IF(UPPER($M314)="UK","GB",$M314),'PRODUCT DATA'!$A$2:$A$58,0))),NOT(ISNA(MATCH(IF(UPPER($M314)="UK","GB",$M314),'PRODUCT DATA'!$B$2:$B$58,0)))))),"Country; ","")&amp;IF(AND($A314&lt;&gt;"",$M314&lt;&gt;"",NOT(ISNA(MATCH($AC314,'PRODUCT DATA'!$D$2:$D$394,0))),OR(NOT(ISNA(MATCH(IF(UPPER($M314)="UK","GB",$M314),'PRODUCT DATA'!$A$2:$A$58,0))),NOT(ISNA(MATCH(IF(UPPER($M314)="UK","GB",$M314),'PRODUCT DATA'!$B$2:$B$58,0)))),NOT(IFERROR(COUNTIF(OFFSET('PRODUCT DATA'!$F$2,0,MATCH($AC314,'PRODUCT DATA'!$F$1:$NN$1,0)-1,114,1),$N314)&gt;0,FALSE()))),IF(UPPER(IFERROR(OFFSET('PRODUCT DATA'!$C$2,MATCH($N314,'PRODUCT DATA'!$B$2:$B$58,0)-1,0),""))="NO","Alcohol Restriction; ","Item Code / Country combination; "),"")&amp;IF($C314="","Quantity; ","")&amp;IF(AND($C314&lt;&gt;"",OR(NOT(ISNUMBER($C314)),$C314&lt;1,$C314&gt;999,MOD($C314,1)&lt;&gt;0)),"Quantity; ","")&amp;IF($D314="","Recipient Name; ","")&amp;IF(LEN($D314)&gt;35,"Recipient Name; ","")&amp;IF($E314="","Recipient Phone; ","")&amp;IF(AND($E314&lt;&gt;"",OR(LEN($E314)&lt;6,LEN($E314)&gt;20,NOT(IFERROR(ISNUMBER(1*$E314),FALSE())))),"Recipient Phone; ","")&amp;IF(LEN($F314)&gt;35,"Recipient Company Name; ","")&amp;IF($G314="","Address Line 1; ","")&amp;IF(LEN($G314)&gt;35,"Address Line 1; ","")&amp;IF(LEN($H314)&gt;35,"Address Line 2; ","")&amp;IF(LEN($I314)&gt;35,"Address Line 3; ","")&amp;IF($J314="","Town; ","")&amp;IF(LEN($J314)&gt;35,"Town; ","")&amp;IF(AND($N314="IE",$K314=""),"County; ","")&amp;IF(LEN($AB314)&gt;35,"County; ","")&amp;IF(AND($L314="",AND($N314&lt;&gt;"AE",$N314&lt;&gt;"QA")),"Postcode; ","")&amp;IF(LEN($L314)&gt;35,"Postcode; ","")&amp;IF($AE314&lt;&gt;"","Postcode; ","")&amp;IF(LEN($O314)&gt;40,"Gift Message 1; ","")&amp;IF(LEN($P314)&gt;40,"Gift Message 2; ","")&amp;IF(LEN($Q314)&gt;40,"Gift Message 3; ","")&amp;IF(LEN($R314)&gt;40,"Gift Message 4; ","")&amp;IF(LEN($S314)&gt;40,"Gift Message 5; ","")&amp;IF(LEN($T314)&gt;40,"Gift Message 6; ","")&amp;IF(LEN($U314)&gt;40,"Gift Message 7; ",""))</f>
        <v/>
      </c>
      <c r="X314" s="44" t="str">
        <f ca="1">IF(COUNTA($A314,$D314:$M314,$O314:$U314)=0,"",IF($A314="","Enter the Item Code (hamper) - type it, paste it, or choose it from the dropdown. ","")&amp;IF(AND($A314&lt;&gt;"",ISNA(MATCH($AC314,'PRODUCT DATA'!$D$2:$D$394,0))),"This Item Code is not recognised. Check the code (case does not matter, but spelling and digits must match exactly) or choose it from the dropdown. ","")&amp;IF($M314="","Enter the Country after the Item Code - type or paste the name or the 2-letter code, or choose it from the dropdown. ","")&amp;IF(AND($M314&lt;&gt;"",NOT(OR(NOT(ISNA(MATCH(IF(UPPER($M314)="UK","GB",$M314),'PRODUCT DATA'!$A$2:$A$58,0))),NOT(ISNA(MATCH(IF(UPPER($M314)="UK","GB",$M314),'PRODUCT DATA'!$B$2:$B$58,0)))))),"This Country is not recognised as either a full name or a 2-letter code. Check the spelling (case does not matter) or choose it from the dropdown. ","")&amp;IF(AND($A314&lt;&gt;"",$M314&lt;&gt;"",NOT(ISNA(MATCH($AC314,'PRODUCT DATA'!$D$2:$D$394,0))),OR(NOT(ISNA(MATCH(IF(UPPER($M314)="UK","GB",$M314),'PRODUCT DATA'!$A$2:$A$58,0))),NOT(ISNA(MATCH(IF(UPPER($M314)="UK","GB",$M314),'PRODUCT DATA'!$B$2:$B$58,0)))),NOT(IFERROR(COUNTIF(OFFSET('PRODUCT DATA'!$F$2,0,MATCH($AC314,'PRODUCT DATA'!$F$1:$NN$1,0)-1,114,1),$N314)&gt;0,FALSE()))),IF(UPPER(IFERROR(OFFSET('PRODUCT DATA'!$C$2,MATCH($N314,'PRODUCT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"),"")&amp;IF($C314="","Enter Quantity. ","")&amp;IF(AND($C314&lt;&gt;"",OR(NOT(ISNUMBER($C314)),$C314&lt;1,$C314&gt;999,MOD($C314,1)&lt;&gt;0)),"Quantity must be a whole number from 1 to 999 (use a quantity above 1 only for a genuine bulk order of identical items to ONE address — otherwise use a separate row per recipient). ","")&amp;IF($D314="","Enter Recipient Name. ","")&amp;IF(LEN($D314)&gt;35,"Recipient Name exceeds 35 characters. ","")&amp;IF($E314="","Enter Recipient Phone. ","")&amp;IF(AND($E314&lt;&gt;"",OR(LEN($E314)&lt;6,LEN($E314)&gt;20,NOT(IFERROR(ISNUMBER(1*$E314),FALSE())))),"Phone must be the LOCAL number for the destination country: digits only, no +, spaces, or country code, 6 to 20 digits. ","")&amp;IF(LEN($F314)&gt;35,"Recipient Company Name exceeds 35 characters. ","")&amp;IF($G314="","Enter Address Line 1. ","")&amp;IF(LEN($G314)&gt;35,"Address Line 1 exceeds the 35-character SAP limit. ","")&amp;IF(LEN($H314)&gt;35,"Address Line 2 exceeds the 35-character SAP limit. ","")&amp;IF(LEN($I314)&gt;35,"Address Line 3 exceeds the 35-character SAP limit. ","")&amp;IF($J314="","Enter Town. This must never be left blank, even if there is no conventional town name. ","")&amp;IF(LEN($J314)&gt;35,"Town exceeds 35 characters. ","")&amp;IF(AND($N314="IE",$K314=""),"County is required for deliveries within the Republic of Ireland. ","")&amp;IF(LEN($AB314)&gt;35,"County exceeds 35 characters. ","")&amp;IF(AND($L314="",AND($N314&lt;&gt;"AE",$N314&lt;&gt;"QA")),"Postcode is required for the selected country. If there is genuinely no postcode, enter the first 3 characters of the area (e.g. D15). ","")&amp;IF(LEN($L314)&gt;35,"Postcode exceeds 35 characters. ","")&amp;IF($AE314&lt;&gt;"",$AE314,"")&amp;IF(LEN($O314)&gt;40,"Gift Message Line 1 exceeds 40 characters. ","")&amp;IF(LEN($P314)&gt;40,"Gift Message Line 2 exceeds 40 characters. ","")&amp;IF(LEN($Q314)&gt;40,"Gift Message Line 3 exceeds 40 characters. ","")&amp;IF(LEN($R314)&gt;40,"Gift Message Line 4 exceeds 40 characters. ","")&amp;IF(LEN($S314)&gt;40,"Gift Message Line 5 exceeds 40 characters. ","")&amp;IF(LEN($T314)&gt;40,"Gift Message Line 6 exceeds 40 characters. ","")&amp;IF(LEN($U314)&gt;40,"Gift Message Line 7 exceeds 40 characters. ",""))</f>
        <v/>
      </c>
      <c r="Y314" s="44" t="str">
        <f t="shared" si="17"/>
        <v/>
      </c>
      <c r="Z314" s="44"/>
      <c r="AA314" s="44"/>
      <c r="AB314" s="32" t="str">
        <f t="shared" si="18"/>
        <v/>
      </c>
      <c r="AC314" s="32" t="str">
        <f>IF($A314="","",IFERROR(LEFT(INDEX('PRODUCT DATA'!$NO$2:$NO$25,MATCH($A314,'PRODUCT DATA'!$NP$2:$NP$25,0)),FIND("|",INDEX('PRODUCT DATA'!$NO$2:$NO$25,MATCH($A314,'PRODUCT DATA'!$NP$2:$NP$25,0)))-1),$A314))</f>
        <v/>
      </c>
      <c r="AD314" s="45"/>
      <c r="AE314" s="45" t="str">
        <f t="shared" si="19"/>
        <v/>
      </c>
    </row>
    <row r="315" spans="1:31" ht="15" customHeight="1" x14ac:dyDescent="0.25">
      <c r="A315" s="40"/>
      <c r="B315" s="43" t="str">
        <f>IF($A315="","",IFERROR(VLOOKUP($AC315,'PRODUCT DATA'!$NR$2:$NS$374,2,FALSE()),"UNKNOWN ITEM CODE - please check"))</f>
        <v/>
      </c>
      <c r="C315" s="39">
        <v>1</v>
      </c>
      <c r="D315" s="39"/>
      <c r="E315" s="40"/>
      <c r="F315" s="41"/>
      <c r="G315" s="39"/>
      <c r="H315" s="41"/>
      <c r="I315" s="41"/>
      <c r="J315" s="39"/>
      <c r="K315" s="41"/>
      <c r="L315" s="40"/>
      <c r="M315" s="40"/>
      <c r="N315" s="42" t="str">
        <f>IF($M315="","",IFERROR(INDEX('PRODUCT DATA'!$B$2:$B$58,MATCH(IF(UPPER($M315)="UK","GB",$M315),'PRODUCT DATA'!$B$2:$B$58,0)),IFERROR(INDEX('PRODUCT DATA'!$B$2:$B$58,MATCH(IF(UPPER($M315)="UK","GB",$M315),'PRODUCT DATA'!$A$2:$A$58,0)),"UNKNOWN COUNTRY - please check")))</f>
        <v/>
      </c>
      <c r="O315" s="41"/>
      <c r="P315" s="41"/>
      <c r="Q315" s="41"/>
      <c r="R315" s="41"/>
      <c r="S315" s="41"/>
      <c r="T315" s="41"/>
      <c r="U315" s="41"/>
      <c r="V315" s="43" t="str">
        <f t="shared" si="16"/>
        <v/>
      </c>
      <c r="W315" s="44" t="str">
        <f ca="1">IF(COUNTA($A315,$D315:$M315,$O315:$U315)=0,"",IF($A315="","Item Code; ","")&amp;IF(AND($A315&lt;&gt;"",ISNA(MATCH($AC315,'PRODUCT DATA'!$D$2:$D$394,0))),"Item Code; ","")&amp;IF($M315="","Country; ","")&amp;IF(AND($M315&lt;&gt;"",NOT(OR(NOT(ISNA(MATCH(IF(UPPER($M315)="UK","GB",$M315),'PRODUCT DATA'!$A$2:$A$58,0))),NOT(ISNA(MATCH(IF(UPPER($M315)="UK","GB",$M315),'PRODUCT DATA'!$B$2:$B$58,0)))))),"Country; ","")&amp;IF(AND($A315&lt;&gt;"",$M315&lt;&gt;"",NOT(ISNA(MATCH($AC315,'PRODUCT DATA'!$D$2:$D$394,0))),OR(NOT(ISNA(MATCH(IF(UPPER($M315)="UK","GB",$M315),'PRODUCT DATA'!$A$2:$A$58,0))),NOT(ISNA(MATCH(IF(UPPER($M315)="UK","GB",$M315),'PRODUCT DATA'!$B$2:$B$58,0)))),NOT(IFERROR(COUNTIF(OFFSET('PRODUCT DATA'!$F$2,0,MATCH($AC315,'PRODUCT DATA'!$F$1:$NN$1,0)-1,114,1),$N315)&gt;0,FALSE()))),IF(UPPER(IFERROR(OFFSET('PRODUCT DATA'!$C$2,MATCH($N315,'PRODUCT DATA'!$B$2:$B$58,0)-1,0),""))="NO","Alcohol Restriction; ","Item Code / Country combination; "),"")&amp;IF($C315="","Quantity; ","")&amp;IF(AND($C315&lt;&gt;"",OR(NOT(ISNUMBER($C315)),$C315&lt;1,$C315&gt;999,MOD($C315,1)&lt;&gt;0)),"Quantity; ","")&amp;IF($D315="","Recipient Name; ","")&amp;IF(LEN($D315)&gt;35,"Recipient Name; ","")&amp;IF($E315="","Recipient Phone; ","")&amp;IF(AND($E315&lt;&gt;"",OR(LEN($E315)&lt;6,LEN($E315)&gt;20,NOT(IFERROR(ISNUMBER(1*$E315),FALSE())))),"Recipient Phone; ","")&amp;IF(LEN($F315)&gt;35,"Recipient Company Name; ","")&amp;IF($G315="","Address Line 1; ","")&amp;IF(LEN($G315)&gt;35,"Address Line 1; ","")&amp;IF(LEN($H315)&gt;35,"Address Line 2; ","")&amp;IF(LEN($I315)&gt;35,"Address Line 3; ","")&amp;IF($J315="","Town; ","")&amp;IF(LEN($J315)&gt;35,"Town; ","")&amp;IF(AND($N315="IE",$K315=""),"County; ","")&amp;IF(LEN($AB315)&gt;35,"County; ","")&amp;IF(AND($L315="",AND($N315&lt;&gt;"AE",$N315&lt;&gt;"QA")),"Postcode; ","")&amp;IF(LEN($L315)&gt;35,"Postcode; ","")&amp;IF($AE315&lt;&gt;"","Postcode; ","")&amp;IF(LEN($O315)&gt;40,"Gift Message 1; ","")&amp;IF(LEN($P315)&gt;40,"Gift Message 2; ","")&amp;IF(LEN($Q315)&gt;40,"Gift Message 3; ","")&amp;IF(LEN($R315)&gt;40,"Gift Message 4; ","")&amp;IF(LEN($S315)&gt;40,"Gift Message 5; ","")&amp;IF(LEN($T315)&gt;40,"Gift Message 6; ","")&amp;IF(LEN($U315)&gt;40,"Gift Message 7; ",""))</f>
        <v/>
      </c>
      <c r="X315" s="44" t="str">
        <f ca="1">IF(COUNTA($A315,$D315:$M315,$O315:$U315)=0,"",IF($A315="","Enter the Item Code (hamper) - type it, paste it, or choose it from the dropdown. ","")&amp;IF(AND($A315&lt;&gt;"",ISNA(MATCH($AC315,'PRODUCT DATA'!$D$2:$D$394,0))),"This Item Code is not recognised. Check the code (case does not matter, but spelling and digits must match exactly) or choose it from the dropdown. ","")&amp;IF($M315="","Enter the Country after the Item Code - type or paste the name or the 2-letter code, or choose it from the dropdown. ","")&amp;IF(AND($M315&lt;&gt;"",NOT(OR(NOT(ISNA(MATCH(IF(UPPER($M315)="UK","GB",$M315),'PRODUCT DATA'!$A$2:$A$58,0))),NOT(ISNA(MATCH(IF(UPPER($M315)="UK","GB",$M315),'PRODUCT DATA'!$B$2:$B$58,0)))))),"This Country is not recognised as either a full name or a 2-letter code. Check the spelling (case does not matter) or choose it from the dropdown. ","")&amp;IF(AND($A315&lt;&gt;"",$M315&lt;&gt;"",NOT(ISNA(MATCH($AC315,'PRODUCT DATA'!$D$2:$D$394,0))),OR(NOT(ISNA(MATCH(IF(UPPER($M315)="UK","GB",$M315),'PRODUCT DATA'!$A$2:$A$58,0))),NOT(ISNA(MATCH(IF(UPPER($M315)="UK","GB",$M315),'PRODUCT DATA'!$B$2:$B$58,0)))),NOT(IFERROR(COUNTIF(OFFSET('PRODUCT DATA'!$F$2,0,MATCH($AC315,'PRODUCT DATA'!$F$1:$NN$1,0)-1,114,1),$N315)&gt;0,FALSE()))),IF(UPPER(IFERROR(OFFSET('PRODUCT DATA'!$C$2,MATCH($N315,'PRODUCT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"),"")&amp;IF($C315="","Enter Quantity. ","")&amp;IF(AND($C315&lt;&gt;"",OR(NOT(ISNUMBER($C315)),$C315&lt;1,$C315&gt;999,MOD($C315,1)&lt;&gt;0)),"Quantity must be a whole number from 1 to 999 (use a quantity above 1 only for a genuine bulk order of identical items to ONE address — otherwise use a separate row per recipient). ","")&amp;IF($D315="","Enter Recipient Name. ","")&amp;IF(LEN($D315)&gt;35,"Recipient Name exceeds 35 characters. ","")&amp;IF($E315="","Enter Recipient Phone. ","")&amp;IF(AND($E315&lt;&gt;"",OR(LEN($E315)&lt;6,LEN($E315)&gt;20,NOT(IFERROR(ISNUMBER(1*$E315),FALSE())))),"Phone must be the LOCAL number for the destination country: digits only, no +, spaces, or country code, 6 to 20 digits. ","")&amp;IF(LEN($F315)&gt;35,"Recipient Company Name exceeds 35 characters. ","")&amp;IF($G315="","Enter Address Line 1. ","")&amp;IF(LEN($G315)&gt;35,"Address Line 1 exceeds the 35-character SAP limit. ","")&amp;IF(LEN($H315)&gt;35,"Address Line 2 exceeds the 35-character SAP limit. ","")&amp;IF(LEN($I315)&gt;35,"Address Line 3 exceeds the 35-character SAP limit. ","")&amp;IF($J315="","Enter Town. This must never be left blank, even if there is no conventional town name. ","")&amp;IF(LEN($J315)&gt;35,"Town exceeds 35 characters. ","")&amp;IF(AND($N315="IE",$K315=""),"County is required for deliveries within the Republic of Ireland. ","")&amp;IF(LEN($AB315)&gt;35,"County exceeds 35 characters. ","")&amp;IF(AND($L315="",AND($N315&lt;&gt;"AE",$N315&lt;&gt;"QA")),"Postcode is required for the selected country. If there is genuinely no postcode, enter the first 3 characters of the area (e.g. D15). ","")&amp;IF(LEN($L315)&gt;35,"Postcode exceeds 35 characters. ","")&amp;IF($AE315&lt;&gt;"",$AE315,"")&amp;IF(LEN($O315)&gt;40,"Gift Message Line 1 exceeds 40 characters. ","")&amp;IF(LEN($P315)&gt;40,"Gift Message Line 2 exceeds 40 characters. ","")&amp;IF(LEN($Q315)&gt;40,"Gift Message Line 3 exceeds 40 characters. ","")&amp;IF(LEN($R315)&gt;40,"Gift Message Line 4 exceeds 40 characters. ","")&amp;IF(LEN($S315)&gt;40,"Gift Message Line 5 exceeds 40 characters. ","")&amp;IF(LEN($T315)&gt;40,"Gift Message Line 6 exceeds 40 characters. ","")&amp;IF(LEN($U315)&gt;40,"Gift Message Line 7 exceeds 40 characters. ",""))</f>
        <v/>
      </c>
      <c r="Y315" s="44" t="str">
        <f t="shared" si="17"/>
        <v/>
      </c>
      <c r="Z315" s="44"/>
      <c r="AA315" s="44"/>
      <c r="AB315" s="32" t="str">
        <f t="shared" si="18"/>
        <v/>
      </c>
      <c r="AC315" s="32" t="str">
        <f>IF($A315="","",IFERROR(LEFT(INDEX('PRODUCT DATA'!$NO$2:$NO$25,MATCH($A315,'PRODUCT DATA'!$NP$2:$NP$25,0)),FIND("|",INDEX('PRODUCT DATA'!$NO$2:$NO$25,MATCH($A315,'PRODUCT DATA'!$NP$2:$NP$25,0)))-1),$A315))</f>
        <v/>
      </c>
      <c r="AD315" s="45"/>
      <c r="AE315" s="45" t="str">
        <f t="shared" si="19"/>
        <v/>
      </c>
    </row>
    <row r="316" spans="1:31" ht="15" customHeight="1" x14ac:dyDescent="0.25">
      <c r="A316" s="40"/>
      <c r="B316" s="43" t="str">
        <f>IF($A316="","",IFERROR(VLOOKUP($AC316,'PRODUCT DATA'!$NR$2:$NS$374,2,FALSE()),"UNKNOWN ITEM CODE - please check"))</f>
        <v/>
      </c>
      <c r="C316" s="39">
        <v>1</v>
      </c>
      <c r="D316" s="39"/>
      <c r="E316" s="40"/>
      <c r="F316" s="41"/>
      <c r="G316" s="39"/>
      <c r="H316" s="41"/>
      <c r="I316" s="41"/>
      <c r="J316" s="39"/>
      <c r="K316" s="41"/>
      <c r="L316" s="40"/>
      <c r="M316" s="40"/>
      <c r="N316" s="42" t="str">
        <f>IF($M316="","",IFERROR(INDEX('PRODUCT DATA'!$B$2:$B$58,MATCH(IF(UPPER($M316)="UK","GB",$M316),'PRODUCT DATA'!$B$2:$B$58,0)),IFERROR(INDEX('PRODUCT DATA'!$B$2:$B$58,MATCH(IF(UPPER($M316)="UK","GB",$M316),'PRODUCT DATA'!$A$2:$A$58,0)),"UNKNOWN COUNTRY - please check")))</f>
        <v/>
      </c>
      <c r="O316" s="41"/>
      <c r="P316" s="41"/>
      <c r="Q316" s="41"/>
      <c r="R316" s="41"/>
      <c r="S316" s="41"/>
      <c r="T316" s="41"/>
      <c r="U316" s="41"/>
      <c r="V316" s="43" t="str">
        <f t="shared" si="16"/>
        <v/>
      </c>
      <c r="W316" s="44" t="str">
        <f ca="1">IF(COUNTA($A316,$D316:$M316,$O316:$U316)=0,"",IF($A316="","Item Code; ","")&amp;IF(AND($A316&lt;&gt;"",ISNA(MATCH($AC316,'PRODUCT DATA'!$D$2:$D$394,0))),"Item Code; ","")&amp;IF($M316="","Country; ","")&amp;IF(AND($M316&lt;&gt;"",NOT(OR(NOT(ISNA(MATCH(IF(UPPER($M316)="UK","GB",$M316),'PRODUCT DATA'!$A$2:$A$58,0))),NOT(ISNA(MATCH(IF(UPPER($M316)="UK","GB",$M316),'PRODUCT DATA'!$B$2:$B$58,0)))))),"Country; ","")&amp;IF(AND($A316&lt;&gt;"",$M316&lt;&gt;"",NOT(ISNA(MATCH($AC316,'PRODUCT DATA'!$D$2:$D$394,0))),OR(NOT(ISNA(MATCH(IF(UPPER($M316)="UK","GB",$M316),'PRODUCT DATA'!$A$2:$A$58,0))),NOT(ISNA(MATCH(IF(UPPER($M316)="UK","GB",$M316),'PRODUCT DATA'!$B$2:$B$58,0)))),NOT(IFERROR(COUNTIF(OFFSET('PRODUCT DATA'!$F$2,0,MATCH($AC316,'PRODUCT DATA'!$F$1:$NN$1,0)-1,114,1),$N316)&gt;0,FALSE()))),IF(UPPER(IFERROR(OFFSET('PRODUCT DATA'!$C$2,MATCH($N316,'PRODUCT DATA'!$B$2:$B$58,0)-1,0),""))="NO","Alcohol Restriction; ","Item Code / Country combination; "),"")&amp;IF($C316="","Quantity; ","")&amp;IF(AND($C316&lt;&gt;"",OR(NOT(ISNUMBER($C316)),$C316&lt;1,$C316&gt;999,MOD($C316,1)&lt;&gt;0)),"Quantity; ","")&amp;IF($D316="","Recipient Name; ","")&amp;IF(LEN($D316)&gt;35,"Recipient Name; ","")&amp;IF($E316="","Recipient Phone; ","")&amp;IF(AND($E316&lt;&gt;"",OR(LEN($E316)&lt;6,LEN($E316)&gt;20,NOT(IFERROR(ISNUMBER(1*$E316),FALSE())))),"Recipient Phone; ","")&amp;IF(LEN($F316)&gt;35,"Recipient Company Name; ","")&amp;IF($G316="","Address Line 1; ","")&amp;IF(LEN($G316)&gt;35,"Address Line 1; ","")&amp;IF(LEN($H316)&gt;35,"Address Line 2; ","")&amp;IF(LEN($I316)&gt;35,"Address Line 3; ","")&amp;IF($J316="","Town; ","")&amp;IF(LEN($J316)&gt;35,"Town; ","")&amp;IF(AND($N316="IE",$K316=""),"County; ","")&amp;IF(LEN($AB316)&gt;35,"County; ","")&amp;IF(AND($L316="",AND($N316&lt;&gt;"AE",$N316&lt;&gt;"QA")),"Postcode; ","")&amp;IF(LEN($L316)&gt;35,"Postcode; ","")&amp;IF($AE316&lt;&gt;"","Postcode; ","")&amp;IF(LEN($O316)&gt;40,"Gift Message 1; ","")&amp;IF(LEN($P316)&gt;40,"Gift Message 2; ","")&amp;IF(LEN($Q316)&gt;40,"Gift Message 3; ","")&amp;IF(LEN($R316)&gt;40,"Gift Message 4; ","")&amp;IF(LEN($S316)&gt;40,"Gift Message 5; ","")&amp;IF(LEN($T316)&gt;40,"Gift Message 6; ","")&amp;IF(LEN($U316)&gt;40,"Gift Message 7; ",""))</f>
        <v/>
      </c>
      <c r="X316" s="44" t="str">
        <f ca="1">IF(COUNTA($A316,$D316:$M316,$O316:$U316)=0,"",IF($A316="","Enter the Item Code (hamper) - type it, paste it, or choose it from the dropdown. ","")&amp;IF(AND($A316&lt;&gt;"",ISNA(MATCH($AC316,'PRODUCT DATA'!$D$2:$D$394,0))),"This Item Code is not recognised. Check the code (case does not matter, but spelling and digits must match exactly) or choose it from the dropdown. ","")&amp;IF($M316="","Enter the Country after the Item Code - type or paste the name or the 2-letter code, or choose it from the dropdown. ","")&amp;IF(AND($M316&lt;&gt;"",NOT(OR(NOT(ISNA(MATCH(IF(UPPER($M316)="UK","GB",$M316),'PRODUCT DATA'!$A$2:$A$58,0))),NOT(ISNA(MATCH(IF(UPPER($M316)="UK","GB",$M316),'PRODUCT DATA'!$B$2:$B$58,0)))))),"This Country is not recognised as either a full name or a 2-letter code. Check the spelling (case does not matter) or choose it from the dropdown. ","")&amp;IF(AND($A316&lt;&gt;"",$M316&lt;&gt;"",NOT(ISNA(MATCH($AC316,'PRODUCT DATA'!$D$2:$D$394,0))),OR(NOT(ISNA(MATCH(IF(UPPER($M316)="UK","GB",$M316),'PRODUCT DATA'!$A$2:$A$58,0))),NOT(ISNA(MATCH(IF(UPPER($M316)="UK","GB",$M316),'PRODUCT DATA'!$B$2:$B$58,0)))),NOT(IFERROR(COUNTIF(OFFSET('PRODUCT DATA'!$F$2,0,MATCH($AC316,'PRODUCT DATA'!$F$1:$NN$1,0)-1,114,1),$N316)&gt;0,FALSE()))),IF(UPPER(IFERROR(OFFSET('PRODUCT DATA'!$C$2,MATCH($N316,'PRODUCT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"),"")&amp;IF($C316="","Enter Quantity. ","")&amp;IF(AND($C316&lt;&gt;"",OR(NOT(ISNUMBER($C316)),$C316&lt;1,$C316&gt;999,MOD($C316,1)&lt;&gt;0)),"Quantity must be a whole number from 1 to 999 (use a quantity above 1 only for a genuine bulk order of identical items to ONE address — otherwise use a separate row per recipient). ","")&amp;IF($D316="","Enter Recipient Name. ","")&amp;IF(LEN($D316)&gt;35,"Recipient Name exceeds 35 characters. ","")&amp;IF($E316="","Enter Recipient Phone. ","")&amp;IF(AND($E316&lt;&gt;"",OR(LEN($E316)&lt;6,LEN($E316)&gt;20,NOT(IFERROR(ISNUMBER(1*$E316),FALSE())))),"Phone must be the LOCAL number for the destination country: digits only, no +, spaces, or country code, 6 to 20 digits. ","")&amp;IF(LEN($F316)&gt;35,"Recipient Company Name exceeds 35 characters. ","")&amp;IF($G316="","Enter Address Line 1. ","")&amp;IF(LEN($G316)&gt;35,"Address Line 1 exceeds the 35-character SAP limit. ","")&amp;IF(LEN($H316)&gt;35,"Address Line 2 exceeds the 35-character SAP limit. ","")&amp;IF(LEN($I316)&gt;35,"Address Line 3 exceeds the 35-character SAP limit. ","")&amp;IF($J316="","Enter Town. This must never be left blank, even if there is no conventional town name. ","")&amp;IF(LEN($J316)&gt;35,"Town exceeds 35 characters. ","")&amp;IF(AND($N316="IE",$K316=""),"County is required for deliveries within the Republic of Ireland. ","")&amp;IF(LEN($AB316)&gt;35,"County exceeds 35 characters. ","")&amp;IF(AND($L316="",AND($N316&lt;&gt;"AE",$N316&lt;&gt;"QA")),"Postcode is required for the selected country. If there is genuinely no postcode, enter the first 3 characters of the area (e.g. D15). ","")&amp;IF(LEN($L316)&gt;35,"Postcode exceeds 35 characters. ","")&amp;IF($AE316&lt;&gt;"",$AE316,"")&amp;IF(LEN($O316)&gt;40,"Gift Message Line 1 exceeds 40 characters. ","")&amp;IF(LEN($P316)&gt;40,"Gift Message Line 2 exceeds 40 characters. ","")&amp;IF(LEN($Q316)&gt;40,"Gift Message Line 3 exceeds 40 characters. ","")&amp;IF(LEN($R316)&gt;40,"Gift Message Line 4 exceeds 40 characters. ","")&amp;IF(LEN($S316)&gt;40,"Gift Message Line 5 exceeds 40 characters. ","")&amp;IF(LEN($T316)&gt;40,"Gift Message Line 6 exceeds 40 characters. ","")&amp;IF(LEN($U316)&gt;40,"Gift Message Line 7 exceeds 40 characters. ",""))</f>
        <v/>
      </c>
      <c r="Y316" s="44" t="str">
        <f t="shared" si="17"/>
        <v/>
      </c>
      <c r="Z316" s="44"/>
      <c r="AA316" s="44"/>
      <c r="AB316" s="32" t="str">
        <f t="shared" si="18"/>
        <v/>
      </c>
      <c r="AC316" s="32" t="str">
        <f>IF($A316="","",IFERROR(LEFT(INDEX('PRODUCT DATA'!$NO$2:$NO$25,MATCH($A316,'PRODUCT DATA'!$NP$2:$NP$25,0)),FIND("|",INDEX('PRODUCT DATA'!$NO$2:$NO$25,MATCH($A316,'PRODUCT DATA'!$NP$2:$NP$25,0)))-1),$A316))</f>
        <v/>
      </c>
      <c r="AD316" s="45"/>
      <c r="AE316" s="45" t="str">
        <f t="shared" si="19"/>
        <v/>
      </c>
    </row>
    <row r="317" spans="1:31" ht="15" customHeight="1" x14ac:dyDescent="0.25">
      <c r="A317" s="40"/>
      <c r="B317" s="43" t="str">
        <f>IF($A317="","",IFERROR(VLOOKUP($AC317,'PRODUCT DATA'!$NR$2:$NS$374,2,FALSE()),"UNKNOWN ITEM CODE - please check"))</f>
        <v/>
      </c>
      <c r="C317" s="39">
        <v>1</v>
      </c>
      <c r="D317" s="39"/>
      <c r="E317" s="40"/>
      <c r="F317" s="41"/>
      <c r="G317" s="39"/>
      <c r="H317" s="41"/>
      <c r="I317" s="41"/>
      <c r="J317" s="39"/>
      <c r="K317" s="41"/>
      <c r="L317" s="40"/>
      <c r="M317" s="40"/>
      <c r="N317" s="42" t="str">
        <f>IF($M317="","",IFERROR(INDEX('PRODUCT DATA'!$B$2:$B$58,MATCH(IF(UPPER($M317)="UK","GB",$M317),'PRODUCT DATA'!$B$2:$B$58,0)),IFERROR(INDEX('PRODUCT DATA'!$B$2:$B$58,MATCH(IF(UPPER($M317)="UK","GB",$M317),'PRODUCT DATA'!$A$2:$A$58,0)),"UNKNOWN COUNTRY - please check")))</f>
        <v/>
      </c>
      <c r="O317" s="41"/>
      <c r="P317" s="41"/>
      <c r="Q317" s="41"/>
      <c r="R317" s="41"/>
      <c r="S317" s="41"/>
      <c r="T317" s="41"/>
      <c r="U317" s="41"/>
      <c r="V317" s="43" t="str">
        <f t="shared" si="16"/>
        <v/>
      </c>
      <c r="W317" s="44" t="str">
        <f ca="1">IF(COUNTA($A317,$D317:$M317,$O317:$U317)=0,"",IF($A317="","Item Code; ","")&amp;IF(AND($A317&lt;&gt;"",ISNA(MATCH($AC317,'PRODUCT DATA'!$D$2:$D$394,0))),"Item Code; ","")&amp;IF($M317="","Country; ","")&amp;IF(AND($M317&lt;&gt;"",NOT(OR(NOT(ISNA(MATCH(IF(UPPER($M317)="UK","GB",$M317),'PRODUCT DATA'!$A$2:$A$58,0))),NOT(ISNA(MATCH(IF(UPPER($M317)="UK","GB",$M317),'PRODUCT DATA'!$B$2:$B$58,0)))))),"Country; ","")&amp;IF(AND($A317&lt;&gt;"",$M317&lt;&gt;"",NOT(ISNA(MATCH($AC317,'PRODUCT DATA'!$D$2:$D$394,0))),OR(NOT(ISNA(MATCH(IF(UPPER($M317)="UK","GB",$M317),'PRODUCT DATA'!$A$2:$A$58,0))),NOT(ISNA(MATCH(IF(UPPER($M317)="UK","GB",$M317),'PRODUCT DATA'!$B$2:$B$58,0)))),NOT(IFERROR(COUNTIF(OFFSET('PRODUCT DATA'!$F$2,0,MATCH($AC317,'PRODUCT DATA'!$F$1:$NN$1,0)-1,114,1),$N317)&gt;0,FALSE()))),IF(UPPER(IFERROR(OFFSET('PRODUCT DATA'!$C$2,MATCH($N317,'PRODUCT DATA'!$B$2:$B$58,0)-1,0),""))="NO","Alcohol Restriction; ","Item Code / Country combination; "),"")&amp;IF($C317="","Quantity; ","")&amp;IF(AND($C317&lt;&gt;"",OR(NOT(ISNUMBER($C317)),$C317&lt;1,$C317&gt;999,MOD($C317,1)&lt;&gt;0)),"Quantity; ","")&amp;IF($D317="","Recipient Name; ","")&amp;IF(LEN($D317)&gt;35,"Recipient Name; ","")&amp;IF($E317="","Recipient Phone; ","")&amp;IF(AND($E317&lt;&gt;"",OR(LEN($E317)&lt;6,LEN($E317)&gt;20,NOT(IFERROR(ISNUMBER(1*$E317),FALSE())))),"Recipient Phone; ","")&amp;IF(LEN($F317)&gt;35,"Recipient Company Name; ","")&amp;IF($G317="","Address Line 1; ","")&amp;IF(LEN($G317)&gt;35,"Address Line 1; ","")&amp;IF(LEN($H317)&gt;35,"Address Line 2; ","")&amp;IF(LEN($I317)&gt;35,"Address Line 3; ","")&amp;IF($J317="","Town; ","")&amp;IF(LEN($J317)&gt;35,"Town; ","")&amp;IF(AND($N317="IE",$K317=""),"County; ","")&amp;IF(LEN($AB317)&gt;35,"County; ","")&amp;IF(AND($L317="",AND($N317&lt;&gt;"AE",$N317&lt;&gt;"QA")),"Postcode; ","")&amp;IF(LEN($L317)&gt;35,"Postcode; ","")&amp;IF($AE317&lt;&gt;"","Postcode; ","")&amp;IF(LEN($O317)&gt;40,"Gift Message 1; ","")&amp;IF(LEN($P317)&gt;40,"Gift Message 2; ","")&amp;IF(LEN($Q317)&gt;40,"Gift Message 3; ","")&amp;IF(LEN($R317)&gt;40,"Gift Message 4; ","")&amp;IF(LEN($S317)&gt;40,"Gift Message 5; ","")&amp;IF(LEN($T317)&gt;40,"Gift Message 6; ","")&amp;IF(LEN($U317)&gt;40,"Gift Message 7; ",""))</f>
        <v/>
      </c>
      <c r="X317" s="44" t="str">
        <f ca="1">IF(COUNTA($A317,$D317:$M317,$O317:$U317)=0,"",IF($A317="","Enter the Item Code (hamper) - type it, paste it, or choose it from the dropdown. ","")&amp;IF(AND($A317&lt;&gt;"",ISNA(MATCH($AC317,'PRODUCT DATA'!$D$2:$D$394,0))),"This Item Code is not recognised. Check the code (case does not matter, but spelling and digits must match exactly) or choose it from the dropdown. ","")&amp;IF($M317="","Enter the Country after the Item Code - type or paste the name or the 2-letter code, or choose it from the dropdown. ","")&amp;IF(AND($M317&lt;&gt;"",NOT(OR(NOT(ISNA(MATCH(IF(UPPER($M317)="UK","GB",$M317),'PRODUCT DATA'!$A$2:$A$58,0))),NOT(ISNA(MATCH(IF(UPPER($M317)="UK","GB",$M317),'PRODUCT DATA'!$B$2:$B$58,0)))))),"This Country is not recognised as either a full name or a 2-letter code. Check the spelling (case does not matter) or choose it from the dropdown. ","")&amp;IF(AND($A317&lt;&gt;"",$M317&lt;&gt;"",NOT(ISNA(MATCH($AC317,'PRODUCT DATA'!$D$2:$D$394,0))),OR(NOT(ISNA(MATCH(IF(UPPER($M317)="UK","GB",$M317),'PRODUCT DATA'!$A$2:$A$58,0))),NOT(ISNA(MATCH(IF(UPPER($M317)="UK","GB",$M317),'PRODUCT DATA'!$B$2:$B$58,0)))),NOT(IFERROR(COUNTIF(OFFSET('PRODUCT DATA'!$F$2,0,MATCH($AC317,'PRODUCT DATA'!$F$1:$NN$1,0)-1,114,1),$N317)&gt;0,FALSE()))),IF(UPPER(IFERROR(OFFSET('PRODUCT DATA'!$C$2,MATCH($N317,'PRODUCT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"),"")&amp;IF($C317="","Enter Quantity. ","")&amp;IF(AND($C317&lt;&gt;"",OR(NOT(ISNUMBER($C317)),$C317&lt;1,$C317&gt;999,MOD($C317,1)&lt;&gt;0)),"Quantity must be a whole number from 1 to 999 (use a quantity above 1 only for a genuine bulk order of identical items to ONE address — otherwise use a separate row per recipient). ","")&amp;IF($D317="","Enter Recipient Name. ","")&amp;IF(LEN($D317)&gt;35,"Recipient Name exceeds 35 characters. ","")&amp;IF($E317="","Enter Recipient Phone. ","")&amp;IF(AND($E317&lt;&gt;"",OR(LEN($E317)&lt;6,LEN($E317)&gt;20,NOT(IFERROR(ISNUMBER(1*$E317),FALSE())))),"Phone must be the LOCAL number for the destination country: digits only, no +, spaces, or country code, 6 to 20 digits. ","")&amp;IF(LEN($F317)&gt;35,"Recipient Company Name exceeds 35 characters. ","")&amp;IF($G317="","Enter Address Line 1. ","")&amp;IF(LEN($G317)&gt;35,"Address Line 1 exceeds the 35-character SAP limit. ","")&amp;IF(LEN($H317)&gt;35,"Address Line 2 exceeds the 35-character SAP limit. ","")&amp;IF(LEN($I317)&gt;35,"Address Line 3 exceeds the 35-character SAP limit. ","")&amp;IF($J317="","Enter Town. This must never be left blank, even if there is no conventional town name. ","")&amp;IF(LEN($J317)&gt;35,"Town exceeds 35 characters. ","")&amp;IF(AND($N317="IE",$K317=""),"County is required for deliveries within the Republic of Ireland. ","")&amp;IF(LEN($AB317)&gt;35,"County exceeds 35 characters. ","")&amp;IF(AND($L317="",AND($N317&lt;&gt;"AE",$N317&lt;&gt;"QA")),"Postcode is required for the selected country. If there is genuinely no postcode, enter the first 3 characters of the area (e.g. D15). ","")&amp;IF(LEN($L317)&gt;35,"Postcode exceeds 35 characters. ","")&amp;IF($AE317&lt;&gt;"",$AE317,"")&amp;IF(LEN($O317)&gt;40,"Gift Message Line 1 exceeds 40 characters. ","")&amp;IF(LEN($P317)&gt;40,"Gift Message Line 2 exceeds 40 characters. ","")&amp;IF(LEN($Q317)&gt;40,"Gift Message Line 3 exceeds 40 characters. ","")&amp;IF(LEN($R317)&gt;40,"Gift Message Line 4 exceeds 40 characters. ","")&amp;IF(LEN($S317)&gt;40,"Gift Message Line 5 exceeds 40 characters. ","")&amp;IF(LEN($T317)&gt;40,"Gift Message Line 6 exceeds 40 characters. ","")&amp;IF(LEN($U317)&gt;40,"Gift Message Line 7 exceeds 40 characters. ",""))</f>
        <v/>
      </c>
      <c r="Y317" s="44" t="str">
        <f t="shared" si="17"/>
        <v/>
      </c>
      <c r="Z317" s="44"/>
      <c r="AA317" s="44"/>
      <c r="AB317" s="32" t="str">
        <f t="shared" si="18"/>
        <v/>
      </c>
      <c r="AC317" s="32" t="str">
        <f>IF($A317="","",IFERROR(LEFT(INDEX('PRODUCT DATA'!$NO$2:$NO$25,MATCH($A317,'PRODUCT DATA'!$NP$2:$NP$25,0)),FIND("|",INDEX('PRODUCT DATA'!$NO$2:$NO$25,MATCH($A317,'PRODUCT DATA'!$NP$2:$NP$25,0)))-1),$A317))</f>
        <v/>
      </c>
      <c r="AD317" s="45"/>
      <c r="AE317" s="45" t="str">
        <f t="shared" si="19"/>
        <v/>
      </c>
    </row>
    <row r="318" spans="1:31" ht="15" customHeight="1" x14ac:dyDescent="0.25">
      <c r="A318" s="40"/>
      <c r="B318" s="43" t="str">
        <f>IF($A318="","",IFERROR(VLOOKUP($AC318,'PRODUCT DATA'!$NR$2:$NS$374,2,FALSE()),"UNKNOWN ITEM CODE - please check"))</f>
        <v/>
      </c>
      <c r="C318" s="39">
        <v>1</v>
      </c>
      <c r="D318" s="39"/>
      <c r="E318" s="40"/>
      <c r="F318" s="41"/>
      <c r="G318" s="39"/>
      <c r="H318" s="41"/>
      <c r="I318" s="41"/>
      <c r="J318" s="39"/>
      <c r="K318" s="41"/>
      <c r="L318" s="40"/>
      <c r="M318" s="40"/>
      <c r="N318" s="42" t="str">
        <f>IF($M318="","",IFERROR(INDEX('PRODUCT DATA'!$B$2:$B$58,MATCH(IF(UPPER($M318)="UK","GB",$M318),'PRODUCT DATA'!$B$2:$B$58,0)),IFERROR(INDEX('PRODUCT DATA'!$B$2:$B$58,MATCH(IF(UPPER($M318)="UK","GB",$M318),'PRODUCT DATA'!$A$2:$A$58,0)),"UNKNOWN COUNTRY - please check")))</f>
        <v/>
      </c>
      <c r="O318" s="41"/>
      <c r="P318" s="41"/>
      <c r="Q318" s="41"/>
      <c r="R318" s="41"/>
      <c r="S318" s="41"/>
      <c r="T318" s="41"/>
      <c r="U318" s="41"/>
      <c r="V318" s="43" t="str">
        <f t="shared" si="16"/>
        <v/>
      </c>
      <c r="W318" s="44" t="str">
        <f ca="1">IF(COUNTA($A318,$D318:$M318,$O318:$U318)=0,"",IF($A318="","Item Code; ","")&amp;IF(AND($A318&lt;&gt;"",ISNA(MATCH($AC318,'PRODUCT DATA'!$D$2:$D$394,0))),"Item Code; ","")&amp;IF($M318="","Country; ","")&amp;IF(AND($M318&lt;&gt;"",NOT(OR(NOT(ISNA(MATCH(IF(UPPER($M318)="UK","GB",$M318),'PRODUCT DATA'!$A$2:$A$58,0))),NOT(ISNA(MATCH(IF(UPPER($M318)="UK","GB",$M318),'PRODUCT DATA'!$B$2:$B$58,0)))))),"Country; ","")&amp;IF(AND($A318&lt;&gt;"",$M318&lt;&gt;"",NOT(ISNA(MATCH($AC318,'PRODUCT DATA'!$D$2:$D$394,0))),OR(NOT(ISNA(MATCH(IF(UPPER($M318)="UK","GB",$M318),'PRODUCT DATA'!$A$2:$A$58,0))),NOT(ISNA(MATCH(IF(UPPER($M318)="UK","GB",$M318),'PRODUCT DATA'!$B$2:$B$58,0)))),NOT(IFERROR(COUNTIF(OFFSET('PRODUCT DATA'!$F$2,0,MATCH($AC318,'PRODUCT DATA'!$F$1:$NN$1,0)-1,114,1),$N318)&gt;0,FALSE()))),IF(UPPER(IFERROR(OFFSET('PRODUCT DATA'!$C$2,MATCH($N318,'PRODUCT DATA'!$B$2:$B$58,0)-1,0),""))="NO","Alcohol Restriction; ","Item Code / Country combination; "),"")&amp;IF($C318="","Quantity; ","")&amp;IF(AND($C318&lt;&gt;"",OR(NOT(ISNUMBER($C318)),$C318&lt;1,$C318&gt;999,MOD($C318,1)&lt;&gt;0)),"Quantity; ","")&amp;IF($D318="","Recipient Name; ","")&amp;IF(LEN($D318)&gt;35,"Recipient Name; ","")&amp;IF($E318="","Recipient Phone; ","")&amp;IF(AND($E318&lt;&gt;"",OR(LEN($E318)&lt;6,LEN($E318)&gt;20,NOT(IFERROR(ISNUMBER(1*$E318),FALSE())))),"Recipient Phone; ","")&amp;IF(LEN($F318)&gt;35,"Recipient Company Name; ","")&amp;IF($G318="","Address Line 1; ","")&amp;IF(LEN($G318)&gt;35,"Address Line 1; ","")&amp;IF(LEN($H318)&gt;35,"Address Line 2; ","")&amp;IF(LEN($I318)&gt;35,"Address Line 3; ","")&amp;IF($J318="","Town; ","")&amp;IF(LEN($J318)&gt;35,"Town; ","")&amp;IF(AND($N318="IE",$K318=""),"County; ","")&amp;IF(LEN($AB318)&gt;35,"County; ","")&amp;IF(AND($L318="",AND($N318&lt;&gt;"AE",$N318&lt;&gt;"QA")),"Postcode; ","")&amp;IF(LEN($L318)&gt;35,"Postcode; ","")&amp;IF($AE318&lt;&gt;"","Postcode; ","")&amp;IF(LEN($O318)&gt;40,"Gift Message 1; ","")&amp;IF(LEN($P318)&gt;40,"Gift Message 2; ","")&amp;IF(LEN($Q318)&gt;40,"Gift Message 3; ","")&amp;IF(LEN($R318)&gt;40,"Gift Message 4; ","")&amp;IF(LEN($S318)&gt;40,"Gift Message 5; ","")&amp;IF(LEN($T318)&gt;40,"Gift Message 6; ","")&amp;IF(LEN($U318)&gt;40,"Gift Message 7; ",""))</f>
        <v/>
      </c>
      <c r="X318" s="44" t="str">
        <f ca="1">IF(COUNTA($A318,$D318:$M318,$O318:$U318)=0,"",IF($A318="","Enter the Item Code (hamper) - type it, paste it, or choose it from the dropdown. ","")&amp;IF(AND($A318&lt;&gt;"",ISNA(MATCH($AC318,'PRODUCT DATA'!$D$2:$D$394,0))),"This Item Code is not recognised. Check the code (case does not matter, but spelling and digits must match exactly) or choose it from the dropdown. ","")&amp;IF($M318="","Enter the Country after the Item Code - type or paste the name or the 2-letter code, or choose it from the dropdown. ","")&amp;IF(AND($M318&lt;&gt;"",NOT(OR(NOT(ISNA(MATCH(IF(UPPER($M318)="UK","GB",$M318),'PRODUCT DATA'!$A$2:$A$58,0))),NOT(ISNA(MATCH(IF(UPPER($M318)="UK","GB",$M318),'PRODUCT DATA'!$B$2:$B$58,0)))))),"This Country is not recognised as either a full name or a 2-letter code. Check the spelling (case does not matter) or choose it from the dropdown. ","")&amp;IF(AND($A318&lt;&gt;"",$M318&lt;&gt;"",NOT(ISNA(MATCH($AC318,'PRODUCT DATA'!$D$2:$D$394,0))),OR(NOT(ISNA(MATCH(IF(UPPER($M318)="UK","GB",$M318),'PRODUCT DATA'!$A$2:$A$58,0))),NOT(ISNA(MATCH(IF(UPPER($M318)="UK","GB",$M318),'PRODUCT DATA'!$B$2:$B$58,0)))),NOT(IFERROR(COUNTIF(OFFSET('PRODUCT DATA'!$F$2,0,MATCH($AC318,'PRODUCT DATA'!$F$1:$NN$1,0)-1,114,1),$N318)&gt;0,FALSE()))),IF(UPPER(IFERROR(OFFSET('PRODUCT DATA'!$C$2,MATCH($N318,'PRODUCT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"),"")&amp;IF($C318="","Enter Quantity. ","")&amp;IF(AND($C318&lt;&gt;"",OR(NOT(ISNUMBER($C318)),$C318&lt;1,$C318&gt;999,MOD($C318,1)&lt;&gt;0)),"Quantity must be a whole number from 1 to 999 (use a quantity above 1 only for a genuine bulk order of identical items to ONE address — otherwise use a separate row per recipient). ","")&amp;IF($D318="","Enter Recipient Name. ","")&amp;IF(LEN($D318)&gt;35,"Recipient Name exceeds 35 characters. ","")&amp;IF($E318="","Enter Recipient Phone. ","")&amp;IF(AND($E318&lt;&gt;"",OR(LEN($E318)&lt;6,LEN($E318)&gt;20,NOT(IFERROR(ISNUMBER(1*$E318),FALSE())))),"Phone must be the LOCAL number for the destination country: digits only, no +, spaces, or country code, 6 to 20 digits. ","")&amp;IF(LEN($F318)&gt;35,"Recipient Company Name exceeds 35 characters. ","")&amp;IF($G318="","Enter Address Line 1. ","")&amp;IF(LEN($G318)&gt;35,"Address Line 1 exceeds the 35-character SAP limit. ","")&amp;IF(LEN($H318)&gt;35,"Address Line 2 exceeds the 35-character SAP limit. ","")&amp;IF(LEN($I318)&gt;35,"Address Line 3 exceeds the 35-character SAP limit. ","")&amp;IF($J318="","Enter Town. This must never be left blank, even if there is no conventional town name. ","")&amp;IF(LEN($J318)&gt;35,"Town exceeds 35 characters. ","")&amp;IF(AND($N318="IE",$K318=""),"County is required for deliveries within the Republic of Ireland. ","")&amp;IF(LEN($AB318)&gt;35,"County exceeds 35 characters. ","")&amp;IF(AND($L318="",AND($N318&lt;&gt;"AE",$N318&lt;&gt;"QA")),"Postcode is required for the selected country. If there is genuinely no postcode, enter the first 3 characters of the area (e.g. D15). ","")&amp;IF(LEN($L318)&gt;35,"Postcode exceeds 35 characters. ","")&amp;IF($AE318&lt;&gt;"",$AE318,"")&amp;IF(LEN($O318)&gt;40,"Gift Message Line 1 exceeds 40 characters. ","")&amp;IF(LEN($P318)&gt;40,"Gift Message Line 2 exceeds 40 characters. ","")&amp;IF(LEN($Q318)&gt;40,"Gift Message Line 3 exceeds 40 characters. ","")&amp;IF(LEN($R318)&gt;40,"Gift Message Line 4 exceeds 40 characters. ","")&amp;IF(LEN($S318)&gt;40,"Gift Message Line 5 exceeds 40 characters. ","")&amp;IF(LEN($T318)&gt;40,"Gift Message Line 6 exceeds 40 characters. ","")&amp;IF(LEN($U318)&gt;40,"Gift Message Line 7 exceeds 40 characters. ",""))</f>
        <v/>
      </c>
      <c r="Y318" s="44" t="str">
        <f t="shared" si="17"/>
        <v/>
      </c>
      <c r="Z318" s="44"/>
      <c r="AA318" s="44"/>
      <c r="AB318" s="32" t="str">
        <f t="shared" si="18"/>
        <v/>
      </c>
      <c r="AC318" s="32" t="str">
        <f>IF($A318="","",IFERROR(LEFT(INDEX('PRODUCT DATA'!$NO$2:$NO$25,MATCH($A318,'PRODUCT DATA'!$NP$2:$NP$25,0)),FIND("|",INDEX('PRODUCT DATA'!$NO$2:$NO$25,MATCH($A318,'PRODUCT DATA'!$NP$2:$NP$25,0)))-1),$A318))</f>
        <v/>
      </c>
      <c r="AD318" s="45"/>
      <c r="AE318" s="45" t="str">
        <f t="shared" si="19"/>
        <v/>
      </c>
    </row>
    <row r="319" spans="1:31" ht="15" customHeight="1" x14ac:dyDescent="0.25">
      <c r="A319" s="40"/>
      <c r="B319" s="43" t="str">
        <f>IF($A319="","",IFERROR(VLOOKUP($AC319,'PRODUCT DATA'!$NR$2:$NS$374,2,FALSE()),"UNKNOWN ITEM CODE - please check"))</f>
        <v/>
      </c>
      <c r="C319" s="39">
        <v>1</v>
      </c>
      <c r="D319" s="39"/>
      <c r="E319" s="40"/>
      <c r="F319" s="41"/>
      <c r="G319" s="39"/>
      <c r="H319" s="41"/>
      <c r="I319" s="41"/>
      <c r="J319" s="39"/>
      <c r="K319" s="41"/>
      <c r="L319" s="40"/>
      <c r="M319" s="40"/>
      <c r="N319" s="42" t="str">
        <f>IF($M319="","",IFERROR(INDEX('PRODUCT DATA'!$B$2:$B$58,MATCH(IF(UPPER($M319)="UK","GB",$M319),'PRODUCT DATA'!$B$2:$B$58,0)),IFERROR(INDEX('PRODUCT DATA'!$B$2:$B$58,MATCH(IF(UPPER($M319)="UK","GB",$M319),'PRODUCT DATA'!$A$2:$A$58,0)),"UNKNOWN COUNTRY - please check")))</f>
        <v/>
      </c>
      <c r="O319" s="41"/>
      <c r="P319" s="41"/>
      <c r="Q319" s="41"/>
      <c r="R319" s="41"/>
      <c r="S319" s="41"/>
      <c r="T319" s="41"/>
      <c r="U319" s="41"/>
      <c r="V319" s="43" t="str">
        <f t="shared" si="16"/>
        <v/>
      </c>
      <c r="W319" s="44" t="str">
        <f ca="1">IF(COUNTA($A319,$D319:$M319,$O319:$U319)=0,"",IF($A319="","Item Code; ","")&amp;IF(AND($A319&lt;&gt;"",ISNA(MATCH($AC319,'PRODUCT DATA'!$D$2:$D$394,0))),"Item Code; ","")&amp;IF($M319="","Country; ","")&amp;IF(AND($M319&lt;&gt;"",NOT(OR(NOT(ISNA(MATCH(IF(UPPER($M319)="UK","GB",$M319),'PRODUCT DATA'!$A$2:$A$58,0))),NOT(ISNA(MATCH(IF(UPPER($M319)="UK","GB",$M319),'PRODUCT DATA'!$B$2:$B$58,0)))))),"Country; ","")&amp;IF(AND($A319&lt;&gt;"",$M319&lt;&gt;"",NOT(ISNA(MATCH($AC319,'PRODUCT DATA'!$D$2:$D$394,0))),OR(NOT(ISNA(MATCH(IF(UPPER($M319)="UK","GB",$M319),'PRODUCT DATA'!$A$2:$A$58,0))),NOT(ISNA(MATCH(IF(UPPER($M319)="UK","GB",$M319),'PRODUCT DATA'!$B$2:$B$58,0)))),NOT(IFERROR(COUNTIF(OFFSET('PRODUCT DATA'!$F$2,0,MATCH($AC319,'PRODUCT DATA'!$F$1:$NN$1,0)-1,114,1),$N319)&gt;0,FALSE()))),IF(UPPER(IFERROR(OFFSET('PRODUCT DATA'!$C$2,MATCH($N319,'PRODUCT DATA'!$B$2:$B$58,0)-1,0),""))="NO","Alcohol Restriction; ","Item Code / Country combination; "),"")&amp;IF($C319="","Quantity; ","")&amp;IF(AND($C319&lt;&gt;"",OR(NOT(ISNUMBER($C319)),$C319&lt;1,$C319&gt;999,MOD($C319,1)&lt;&gt;0)),"Quantity; ","")&amp;IF($D319="","Recipient Name; ","")&amp;IF(LEN($D319)&gt;35,"Recipient Name; ","")&amp;IF($E319="","Recipient Phone; ","")&amp;IF(AND($E319&lt;&gt;"",OR(LEN($E319)&lt;6,LEN($E319)&gt;20,NOT(IFERROR(ISNUMBER(1*$E319),FALSE())))),"Recipient Phone; ","")&amp;IF(LEN($F319)&gt;35,"Recipient Company Name; ","")&amp;IF($G319="","Address Line 1; ","")&amp;IF(LEN($G319)&gt;35,"Address Line 1; ","")&amp;IF(LEN($H319)&gt;35,"Address Line 2; ","")&amp;IF(LEN($I319)&gt;35,"Address Line 3; ","")&amp;IF($J319="","Town; ","")&amp;IF(LEN($J319)&gt;35,"Town; ","")&amp;IF(AND($N319="IE",$K319=""),"County; ","")&amp;IF(LEN($AB319)&gt;35,"County; ","")&amp;IF(AND($L319="",AND($N319&lt;&gt;"AE",$N319&lt;&gt;"QA")),"Postcode; ","")&amp;IF(LEN($L319)&gt;35,"Postcode; ","")&amp;IF($AE319&lt;&gt;"","Postcode; ","")&amp;IF(LEN($O319)&gt;40,"Gift Message 1; ","")&amp;IF(LEN($P319)&gt;40,"Gift Message 2; ","")&amp;IF(LEN($Q319)&gt;40,"Gift Message 3; ","")&amp;IF(LEN($R319)&gt;40,"Gift Message 4; ","")&amp;IF(LEN($S319)&gt;40,"Gift Message 5; ","")&amp;IF(LEN($T319)&gt;40,"Gift Message 6; ","")&amp;IF(LEN($U319)&gt;40,"Gift Message 7; ",""))</f>
        <v/>
      </c>
      <c r="X319" s="44" t="str">
        <f ca="1">IF(COUNTA($A319,$D319:$M319,$O319:$U319)=0,"",IF($A319="","Enter the Item Code (hamper) - type it, paste it, or choose it from the dropdown. ","")&amp;IF(AND($A319&lt;&gt;"",ISNA(MATCH($AC319,'PRODUCT DATA'!$D$2:$D$394,0))),"This Item Code is not recognised. Check the code (case does not matter, but spelling and digits must match exactly) or choose it from the dropdown. ","")&amp;IF($M319="","Enter the Country after the Item Code - type or paste the name or the 2-letter code, or choose it from the dropdown. ","")&amp;IF(AND($M319&lt;&gt;"",NOT(OR(NOT(ISNA(MATCH(IF(UPPER($M319)="UK","GB",$M319),'PRODUCT DATA'!$A$2:$A$58,0))),NOT(ISNA(MATCH(IF(UPPER($M319)="UK","GB",$M319),'PRODUCT DATA'!$B$2:$B$58,0)))))),"This Country is not recognised as either a full name or a 2-letter code. Check the spelling (case does not matter) or choose it from the dropdown. ","")&amp;IF(AND($A319&lt;&gt;"",$M319&lt;&gt;"",NOT(ISNA(MATCH($AC319,'PRODUCT DATA'!$D$2:$D$394,0))),OR(NOT(ISNA(MATCH(IF(UPPER($M319)="UK","GB",$M319),'PRODUCT DATA'!$A$2:$A$58,0))),NOT(ISNA(MATCH(IF(UPPER($M319)="UK","GB",$M319),'PRODUCT DATA'!$B$2:$B$58,0)))),NOT(IFERROR(COUNTIF(OFFSET('PRODUCT DATA'!$F$2,0,MATCH($AC319,'PRODUCT DATA'!$F$1:$NN$1,0)-1,114,1),$N319)&gt;0,FALSE()))),IF(UPPER(IFERROR(OFFSET('PRODUCT DATA'!$C$2,MATCH($N319,'PRODUCT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"),"")&amp;IF($C319="","Enter Quantity. ","")&amp;IF(AND($C319&lt;&gt;"",OR(NOT(ISNUMBER($C319)),$C319&lt;1,$C319&gt;999,MOD($C319,1)&lt;&gt;0)),"Quantity must be a whole number from 1 to 999 (use a quantity above 1 only for a genuine bulk order of identical items to ONE address — otherwise use a separate row per recipient). ","")&amp;IF($D319="","Enter Recipient Name. ","")&amp;IF(LEN($D319)&gt;35,"Recipient Name exceeds 35 characters. ","")&amp;IF($E319="","Enter Recipient Phone. ","")&amp;IF(AND($E319&lt;&gt;"",OR(LEN($E319)&lt;6,LEN($E319)&gt;20,NOT(IFERROR(ISNUMBER(1*$E319),FALSE())))),"Phone must be the LOCAL number for the destination country: digits only, no +, spaces, or country code, 6 to 20 digits. ","")&amp;IF(LEN($F319)&gt;35,"Recipient Company Name exceeds 35 characters. ","")&amp;IF($G319="","Enter Address Line 1. ","")&amp;IF(LEN($G319)&gt;35,"Address Line 1 exceeds the 35-character SAP limit. ","")&amp;IF(LEN($H319)&gt;35,"Address Line 2 exceeds the 35-character SAP limit. ","")&amp;IF(LEN($I319)&gt;35,"Address Line 3 exceeds the 35-character SAP limit. ","")&amp;IF($J319="","Enter Town. This must never be left blank, even if there is no conventional town name. ","")&amp;IF(LEN($J319)&gt;35,"Town exceeds 35 characters. ","")&amp;IF(AND($N319="IE",$K319=""),"County is required for deliveries within the Republic of Ireland. ","")&amp;IF(LEN($AB319)&gt;35,"County exceeds 35 characters. ","")&amp;IF(AND($L319="",AND($N319&lt;&gt;"AE",$N319&lt;&gt;"QA")),"Postcode is required for the selected country. If there is genuinely no postcode, enter the first 3 characters of the area (e.g. D15). ","")&amp;IF(LEN($L319)&gt;35,"Postcode exceeds 35 characters. ","")&amp;IF($AE319&lt;&gt;"",$AE319,"")&amp;IF(LEN($O319)&gt;40,"Gift Message Line 1 exceeds 40 characters. ","")&amp;IF(LEN($P319)&gt;40,"Gift Message Line 2 exceeds 40 characters. ","")&amp;IF(LEN($Q319)&gt;40,"Gift Message Line 3 exceeds 40 characters. ","")&amp;IF(LEN($R319)&gt;40,"Gift Message Line 4 exceeds 40 characters. ","")&amp;IF(LEN($S319)&gt;40,"Gift Message Line 5 exceeds 40 characters. ","")&amp;IF(LEN($T319)&gt;40,"Gift Message Line 6 exceeds 40 characters. ","")&amp;IF(LEN($U319)&gt;40,"Gift Message Line 7 exceeds 40 characters. ",""))</f>
        <v/>
      </c>
      <c r="Y319" s="44" t="str">
        <f t="shared" si="17"/>
        <v/>
      </c>
      <c r="Z319" s="44"/>
      <c r="AA319" s="44"/>
      <c r="AB319" s="32" t="str">
        <f t="shared" si="18"/>
        <v/>
      </c>
      <c r="AC319" s="32" t="str">
        <f>IF($A319="","",IFERROR(LEFT(INDEX('PRODUCT DATA'!$NO$2:$NO$25,MATCH($A319,'PRODUCT DATA'!$NP$2:$NP$25,0)),FIND("|",INDEX('PRODUCT DATA'!$NO$2:$NO$25,MATCH($A319,'PRODUCT DATA'!$NP$2:$NP$25,0)))-1),$A319))</f>
        <v/>
      </c>
      <c r="AD319" s="45"/>
      <c r="AE319" s="45" t="str">
        <f t="shared" si="19"/>
        <v/>
      </c>
    </row>
    <row r="320" spans="1:31" ht="15" customHeight="1" x14ac:dyDescent="0.25">
      <c r="A320" s="40"/>
      <c r="B320" s="43" t="str">
        <f>IF($A320="","",IFERROR(VLOOKUP($AC320,'PRODUCT DATA'!$NR$2:$NS$374,2,FALSE()),"UNKNOWN ITEM CODE - please check"))</f>
        <v/>
      </c>
      <c r="C320" s="39">
        <v>1</v>
      </c>
      <c r="D320" s="39"/>
      <c r="E320" s="40"/>
      <c r="F320" s="41"/>
      <c r="G320" s="39"/>
      <c r="H320" s="41"/>
      <c r="I320" s="41"/>
      <c r="J320" s="39"/>
      <c r="K320" s="41"/>
      <c r="L320" s="40"/>
      <c r="M320" s="40"/>
      <c r="N320" s="42" t="str">
        <f>IF($M320="","",IFERROR(INDEX('PRODUCT DATA'!$B$2:$B$58,MATCH(IF(UPPER($M320)="UK","GB",$M320),'PRODUCT DATA'!$B$2:$B$58,0)),IFERROR(INDEX('PRODUCT DATA'!$B$2:$B$58,MATCH(IF(UPPER($M320)="UK","GB",$M320),'PRODUCT DATA'!$A$2:$A$58,0)),"UNKNOWN COUNTRY - please check")))</f>
        <v/>
      </c>
      <c r="O320" s="41"/>
      <c r="P320" s="41"/>
      <c r="Q320" s="41"/>
      <c r="R320" s="41"/>
      <c r="S320" s="41"/>
      <c r="T320" s="41"/>
      <c r="U320" s="41"/>
      <c r="V320" s="43" t="str">
        <f t="shared" si="16"/>
        <v/>
      </c>
      <c r="W320" s="44" t="str">
        <f ca="1">IF(COUNTA($A320,$D320:$M320,$O320:$U320)=0,"",IF($A320="","Item Code; ","")&amp;IF(AND($A320&lt;&gt;"",ISNA(MATCH($AC320,'PRODUCT DATA'!$D$2:$D$394,0))),"Item Code; ","")&amp;IF($M320="","Country; ","")&amp;IF(AND($M320&lt;&gt;"",NOT(OR(NOT(ISNA(MATCH(IF(UPPER($M320)="UK","GB",$M320),'PRODUCT DATA'!$A$2:$A$58,0))),NOT(ISNA(MATCH(IF(UPPER($M320)="UK","GB",$M320),'PRODUCT DATA'!$B$2:$B$58,0)))))),"Country; ","")&amp;IF(AND($A320&lt;&gt;"",$M320&lt;&gt;"",NOT(ISNA(MATCH($AC320,'PRODUCT DATA'!$D$2:$D$394,0))),OR(NOT(ISNA(MATCH(IF(UPPER($M320)="UK","GB",$M320),'PRODUCT DATA'!$A$2:$A$58,0))),NOT(ISNA(MATCH(IF(UPPER($M320)="UK","GB",$M320),'PRODUCT DATA'!$B$2:$B$58,0)))),NOT(IFERROR(COUNTIF(OFFSET('PRODUCT DATA'!$F$2,0,MATCH($AC320,'PRODUCT DATA'!$F$1:$NN$1,0)-1,114,1),$N320)&gt;0,FALSE()))),IF(UPPER(IFERROR(OFFSET('PRODUCT DATA'!$C$2,MATCH($N320,'PRODUCT DATA'!$B$2:$B$58,0)-1,0),""))="NO","Alcohol Restriction; ","Item Code / Country combination; "),"")&amp;IF($C320="","Quantity; ","")&amp;IF(AND($C320&lt;&gt;"",OR(NOT(ISNUMBER($C320)),$C320&lt;1,$C320&gt;999,MOD($C320,1)&lt;&gt;0)),"Quantity; ","")&amp;IF($D320="","Recipient Name; ","")&amp;IF(LEN($D320)&gt;35,"Recipient Name; ","")&amp;IF($E320="","Recipient Phone; ","")&amp;IF(AND($E320&lt;&gt;"",OR(LEN($E320)&lt;6,LEN($E320)&gt;20,NOT(IFERROR(ISNUMBER(1*$E320),FALSE())))),"Recipient Phone; ","")&amp;IF(LEN($F320)&gt;35,"Recipient Company Name; ","")&amp;IF($G320="","Address Line 1; ","")&amp;IF(LEN($G320)&gt;35,"Address Line 1; ","")&amp;IF(LEN($H320)&gt;35,"Address Line 2; ","")&amp;IF(LEN($I320)&gt;35,"Address Line 3; ","")&amp;IF($J320="","Town; ","")&amp;IF(LEN($J320)&gt;35,"Town; ","")&amp;IF(AND($N320="IE",$K320=""),"County; ","")&amp;IF(LEN($AB320)&gt;35,"County; ","")&amp;IF(AND($L320="",AND($N320&lt;&gt;"AE",$N320&lt;&gt;"QA")),"Postcode; ","")&amp;IF(LEN($L320)&gt;35,"Postcode; ","")&amp;IF($AE320&lt;&gt;"","Postcode; ","")&amp;IF(LEN($O320)&gt;40,"Gift Message 1; ","")&amp;IF(LEN($P320)&gt;40,"Gift Message 2; ","")&amp;IF(LEN($Q320)&gt;40,"Gift Message 3; ","")&amp;IF(LEN($R320)&gt;40,"Gift Message 4; ","")&amp;IF(LEN($S320)&gt;40,"Gift Message 5; ","")&amp;IF(LEN($T320)&gt;40,"Gift Message 6; ","")&amp;IF(LEN($U320)&gt;40,"Gift Message 7; ",""))</f>
        <v/>
      </c>
      <c r="X320" s="44" t="str">
        <f ca="1">IF(COUNTA($A320,$D320:$M320,$O320:$U320)=0,"",IF($A320="","Enter the Item Code (hamper) - type it, paste it, or choose it from the dropdown. ","")&amp;IF(AND($A320&lt;&gt;"",ISNA(MATCH($AC320,'PRODUCT DATA'!$D$2:$D$394,0))),"This Item Code is not recognised. Check the code (case does not matter, but spelling and digits must match exactly) or choose it from the dropdown. ","")&amp;IF($M320="","Enter the Country after the Item Code - type or paste the name or the 2-letter code, or choose it from the dropdown. ","")&amp;IF(AND($M320&lt;&gt;"",NOT(OR(NOT(ISNA(MATCH(IF(UPPER($M320)="UK","GB",$M320),'PRODUCT DATA'!$A$2:$A$58,0))),NOT(ISNA(MATCH(IF(UPPER($M320)="UK","GB",$M320),'PRODUCT DATA'!$B$2:$B$58,0)))))),"This Country is not recognised as either a full name or a 2-letter code. Check the spelling (case does not matter) or choose it from the dropdown. ","")&amp;IF(AND($A320&lt;&gt;"",$M320&lt;&gt;"",NOT(ISNA(MATCH($AC320,'PRODUCT DATA'!$D$2:$D$394,0))),OR(NOT(ISNA(MATCH(IF(UPPER($M320)="UK","GB",$M320),'PRODUCT DATA'!$A$2:$A$58,0))),NOT(ISNA(MATCH(IF(UPPER($M320)="UK","GB",$M320),'PRODUCT DATA'!$B$2:$B$58,0)))),NOT(IFERROR(COUNTIF(OFFSET('PRODUCT DATA'!$F$2,0,MATCH($AC320,'PRODUCT DATA'!$F$1:$NN$1,0)-1,114,1),$N320)&gt;0,FALSE()))),IF(UPPER(IFERROR(OFFSET('PRODUCT DATA'!$C$2,MATCH($N320,'PRODUCT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"),"")&amp;IF($C320="","Enter Quantity. ","")&amp;IF(AND($C320&lt;&gt;"",OR(NOT(ISNUMBER($C320)),$C320&lt;1,$C320&gt;999,MOD($C320,1)&lt;&gt;0)),"Quantity must be a whole number from 1 to 999 (use a quantity above 1 only for a genuine bulk order of identical items to ONE address — otherwise use a separate row per recipient). ","")&amp;IF($D320="","Enter Recipient Name. ","")&amp;IF(LEN($D320)&gt;35,"Recipient Name exceeds 35 characters. ","")&amp;IF($E320="","Enter Recipient Phone. ","")&amp;IF(AND($E320&lt;&gt;"",OR(LEN($E320)&lt;6,LEN($E320)&gt;20,NOT(IFERROR(ISNUMBER(1*$E320),FALSE())))),"Phone must be the LOCAL number for the destination country: digits only, no +, spaces, or country code, 6 to 20 digits. ","")&amp;IF(LEN($F320)&gt;35,"Recipient Company Name exceeds 35 characters. ","")&amp;IF($G320="","Enter Address Line 1. ","")&amp;IF(LEN($G320)&gt;35,"Address Line 1 exceeds the 35-character SAP limit. ","")&amp;IF(LEN($H320)&gt;35,"Address Line 2 exceeds the 35-character SAP limit. ","")&amp;IF(LEN($I320)&gt;35,"Address Line 3 exceeds the 35-character SAP limit. ","")&amp;IF($J320="","Enter Town. This must never be left blank, even if there is no conventional town name. ","")&amp;IF(LEN($J320)&gt;35,"Town exceeds 35 characters. ","")&amp;IF(AND($N320="IE",$K320=""),"County is required for deliveries within the Republic of Ireland. ","")&amp;IF(LEN($AB320)&gt;35,"County exceeds 35 characters. ","")&amp;IF(AND($L320="",AND($N320&lt;&gt;"AE",$N320&lt;&gt;"QA")),"Postcode is required for the selected country. If there is genuinely no postcode, enter the first 3 characters of the area (e.g. D15). ","")&amp;IF(LEN($L320)&gt;35,"Postcode exceeds 35 characters. ","")&amp;IF($AE320&lt;&gt;"",$AE320,"")&amp;IF(LEN($O320)&gt;40,"Gift Message Line 1 exceeds 40 characters. ","")&amp;IF(LEN($P320)&gt;40,"Gift Message Line 2 exceeds 40 characters. ","")&amp;IF(LEN($Q320)&gt;40,"Gift Message Line 3 exceeds 40 characters. ","")&amp;IF(LEN($R320)&gt;40,"Gift Message Line 4 exceeds 40 characters. ","")&amp;IF(LEN($S320)&gt;40,"Gift Message Line 5 exceeds 40 characters. ","")&amp;IF(LEN($T320)&gt;40,"Gift Message Line 6 exceeds 40 characters. ","")&amp;IF(LEN($U320)&gt;40,"Gift Message Line 7 exceeds 40 characters. ",""))</f>
        <v/>
      </c>
      <c r="Y320" s="44" t="str">
        <f t="shared" si="17"/>
        <v/>
      </c>
      <c r="Z320" s="44"/>
      <c r="AA320" s="44"/>
      <c r="AB320" s="32" t="str">
        <f t="shared" si="18"/>
        <v/>
      </c>
      <c r="AC320" s="32" t="str">
        <f>IF($A320="","",IFERROR(LEFT(INDEX('PRODUCT DATA'!$NO$2:$NO$25,MATCH($A320,'PRODUCT DATA'!$NP$2:$NP$25,0)),FIND("|",INDEX('PRODUCT DATA'!$NO$2:$NO$25,MATCH($A320,'PRODUCT DATA'!$NP$2:$NP$25,0)))-1),$A320))</f>
        <v/>
      </c>
      <c r="AD320" s="45"/>
      <c r="AE320" s="45" t="str">
        <f t="shared" si="19"/>
        <v/>
      </c>
    </row>
    <row r="321" spans="1:31" ht="15" customHeight="1" x14ac:dyDescent="0.25">
      <c r="A321" s="40"/>
      <c r="B321" s="43" t="str">
        <f>IF($A321="","",IFERROR(VLOOKUP($AC321,'PRODUCT DATA'!$NR$2:$NS$374,2,FALSE()),"UNKNOWN ITEM CODE - please check"))</f>
        <v/>
      </c>
      <c r="C321" s="39">
        <v>1</v>
      </c>
      <c r="D321" s="39"/>
      <c r="E321" s="40"/>
      <c r="F321" s="41"/>
      <c r="G321" s="39"/>
      <c r="H321" s="41"/>
      <c r="I321" s="41"/>
      <c r="J321" s="39"/>
      <c r="K321" s="41"/>
      <c r="L321" s="40"/>
      <c r="M321" s="40"/>
      <c r="N321" s="42" t="str">
        <f>IF($M321="","",IFERROR(INDEX('PRODUCT DATA'!$B$2:$B$58,MATCH(IF(UPPER($M321)="UK","GB",$M321),'PRODUCT DATA'!$B$2:$B$58,0)),IFERROR(INDEX('PRODUCT DATA'!$B$2:$B$58,MATCH(IF(UPPER($M321)="UK","GB",$M321),'PRODUCT DATA'!$A$2:$A$58,0)),"UNKNOWN COUNTRY - please check")))</f>
        <v/>
      </c>
      <c r="O321" s="41"/>
      <c r="P321" s="41"/>
      <c r="Q321" s="41"/>
      <c r="R321" s="41"/>
      <c r="S321" s="41"/>
      <c r="T321" s="41"/>
      <c r="U321" s="41"/>
      <c r="V321" s="43" t="str">
        <f t="shared" si="16"/>
        <v/>
      </c>
      <c r="W321" s="44" t="str">
        <f ca="1">IF(COUNTA($A321,$D321:$M321,$O321:$U321)=0,"",IF($A321="","Item Code; ","")&amp;IF(AND($A321&lt;&gt;"",ISNA(MATCH($AC321,'PRODUCT DATA'!$D$2:$D$394,0))),"Item Code; ","")&amp;IF($M321="","Country; ","")&amp;IF(AND($M321&lt;&gt;"",NOT(OR(NOT(ISNA(MATCH(IF(UPPER($M321)="UK","GB",$M321),'PRODUCT DATA'!$A$2:$A$58,0))),NOT(ISNA(MATCH(IF(UPPER($M321)="UK","GB",$M321),'PRODUCT DATA'!$B$2:$B$58,0)))))),"Country; ","")&amp;IF(AND($A321&lt;&gt;"",$M321&lt;&gt;"",NOT(ISNA(MATCH($AC321,'PRODUCT DATA'!$D$2:$D$394,0))),OR(NOT(ISNA(MATCH(IF(UPPER($M321)="UK","GB",$M321),'PRODUCT DATA'!$A$2:$A$58,0))),NOT(ISNA(MATCH(IF(UPPER($M321)="UK","GB",$M321),'PRODUCT DATA'!$B$2:$B$58,0)))),NOT(IFERROR(COUNTIF(OFFSET('PRODUCT DATA'!$F$2,0,MATCH($AC321,'PRODUCT DATA'!$F$1:$NN$1,0)-1,114,1),$N321)&gt;0,FALSE()))),IF(UPPER(IFERROR(OFFSET('PRODUCT DATA'!$C$2,MATCH($N321,'PRODUCT DATA'!$B$2:$B$58,0)-1,0),""))="NO","Alcohol Restriction; ","Item Code / Country combination; "),"")&amp;IF($C321="","Quantity; ","")&amp;IF(AND($C321&lt;&gt;"",OR(NOT(ISNUMBER($C321)),$C321&lt;1,$C321&gt;999,MOD($C321,1)&lt;&gt;0)),"Quantity; ","")&amp;IF($D321="","Recipient Name; ","")&amp;IF(LEN($D321)&gt;35,"Recipient Name; ","")&amp;IF($E321="","Recipient Phone; ","")&amp;IF(AND($E321&lt;&gt;"",OR(LEN($E321)&lt;6,LEN($E321)&gt;20,NOT(IFERROR(ISNUMBER(1*$E321),FALSE())))),"Recipient Phone; ","")&amp;IF(LEN($F321)&gt;35,"Recipient Company Name; ","")&amp;IF($G321="","Address Line 1; ","")&amp;IF(LEN($G321)&gt;35,"Address Line 1; ","")&amp;IF(LEN($H321)&gt;35,"Address Line 2; ","")&amp;IF(LEN($I321)&gt;35,"Address Line 3; ","")&amp;IF($J321="","Town; ","")&amp;IF(LEN($J321)&gt;35,"Town; ","")&amp;IF(AND($N321="IE",$K321=""),"County; ","")&amp;IF(LEN($AB321)&gt;35,"County; ","")&amp;IF(AND($L321="",AND($N321&lt;&gt;"AE",$N321&lt;&gt;"QA")),"Postcode; ","")&amp;IF(LEN($L321)&gt;35,"Postcode; ","")&amp;IF($AE321&lt;&gt;"","Postcode; ","")&amp;IF(LEN($O321)&gt;40,"Gift Message 1; ","")&amp;IF(LEN($P321)&gt;40,"Gift Message 2; ","")&amp;IF(LEN($Q321)&gt;40,"Gift Message 3; ","")&amp;IF(LEN($R321)&gt;40,"Gift Message 4; ","")&amp;IF(LEN($S321)&gt;40,"Gift Message 5; ","")&amp;IF(LEN($T321)&gt;40,"Gift Message 6; ","")&amp;IF(LEN($U321)&gt;40,"Gift Message 7; ",""))</f>
        <v/>
      </c>
      <c r="X321" s="44" t="str">
        <f ca="1">IF(COUNTA($A321,$D321:$M321,$O321:$U321)=0,"",IF($A321="","Enter the Item Code (hamper) - type it, paste it, or choose it from the dropdown. ","")&amp;IF(AND($A321&lt;&gt;"",ISNA(MATCH($AC321,'PRODUCT DATA'!$D$2:$D$394,0))),"This Item Code is not recognised. Check the code (case does not matter, but spelling and digits must match exactly) or choose it from the dropdown. ","")&amp;IF($M321="","Enter the Country after the Item Code - type or paste the name or the 2-letter code, or choose it from the dropdown. ","")&amp;IF(AND($M321&lt;&gt;"",NOT(OR(NOT(ISNA(MATCH(IF(UPPER($M321)="UK","GB",$M321),'PRODUCT DATA'!$A$2:$A$58,0))),NOT(ISNA(MATCH(IF(UPPER($M321)="UK","GB",$M321),'PRODUCT DATA'!$B$2:$B$58,0)))))),"This Country is not recognised as either a full name or a 2-letter code. Check the spelling (case does not matter) or choose it from the dropdown. ","")&amp;IF(AND($A321&lt;&gt;"",$M321&lt;&gt;"",NOT(ISNA(MATCH($AC321,'PRODUCT DATA'!$D$2:$D$394,0))),OR(NOT(ISNA(MATCH(IF(UPPER($M321)="UK","GB",$M321),'PRODUCT DATA'!$A$2:$A$58,0))),NOT(ISNA(MATCH(IF(UPPER($M321)="UK","GB",$M321),'PRODUCT DATA'!$B$2:$B$58,0)))),NOT(IFERROR(COUNTIF(OFFSET('PRODUCT DATA'!$F$2,0,MATCH($AC321,'PRODUCT DATA'!$F$1:$NN$1,0)-1,114,1),$N321)&gt;0,FALSE()))),IF(UPPER(IFERROR(OFFSET('PRODUCT DATA'!$C$2,MATCH($N321,'PRODUCT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"),"")&amp;IF($C321="","Enter Quantity. ","")&amp;IF(AND($C321&lt;&gt;"",OR(NOT(ISNUMBER($C321)),$C321&lt;1,$C321&gt;999,MOD($C321,1)&lt;&gt;0)),"Quantity must be a whole number from 1 to 999 (use a quantity above 1 only for a genuine bulk order of identical items to ONE address — otherwise use a separate row per recipient). ","")&amp;IF($D321="","Enter Recipient Name. ","")&amp;IF(LEN($D321)&gt;35,"Recipient Name exceeds 35 characters. ","")&amp;IF($E321="","Enter Recipient Phone. ","")&amp;IF(AND($E321&lt;&gt;"",OR(LEN($E321)&lt;6,LEN($E321)&gt;20,NOT(IFERROR(ISNUMBER(1*$E321),FALSE())))),"Phone must be the LOCAL number for the destination country: digits only, no +, spaces, or country code, 6 to 20 digits. ","")&amp;IF(LEN($F321)&gt;35,"Recipient Company Name exceeds 35 characters. ","")&amp;IF($G321="","Enter Address Line 1. ","")&amp;IF(LEN($G321)&gt;35,"Address Line 1 exceeds the 35-character SAP limit. ","")&amp;IF(LEN($H321)&gt;35,"Address Line 2 exceeds the 35-character SAP limit. ","")&amp;IF(LEN($I321)&gt;35,"Address Line 3 exceeds the 35-character SAP limit. ","")&amp;IF($J321="","Enter Town. This must never be left blank, even if there is no conventional town name. ","")&amp;IF(LEN($J321)&gt;35,"Town exceeds 35 characters. ","")&amp;IF(AND($N321="IE",$K321=""),"County is required for deliveries within the Republic of Ireland. ","")&amp;IF(LEN($AB321)&gt;35,"County exceeds 35 characters. ","")&amp;IF(AND($L321="",AND($N321&lt;&gt;"AE",$N321&lt;&gt;"QA")),"Postcode is required for the selected country. If there is genuinely no postcode, enter the first 3 characters of the area (e.g. D15). ","")&amp;IF(LEN($L321)&gt;35,"Postcode exceeds 35 characters. ","")&amp;IF($AE321&lt;&gt;"",$AE321,"")&amp;IF(LEN($O321)&gt;40,"Gift Message Line 1 exceeds 40 characters. ","")&amp;IF(LEN($P321)&gt;40,"Gift Message Line 2 exceeds 40 characters. ","")&amp;IF(LEN($Q321)&gt;40,"Gift Message Line 3 exceeds 40 characters. ","")&amp;IF(LEN($R321)&gt;40,"Gift Message Line 4 exceeds 40 characters. ","")&amp;IF(LEN($S321)&gt;40,"Gift Message Line 5 exceeds 40 characters. ","")&amp;IF(LEN($T321)&gt;40,"Gift Message Line 6 exceeds 40 characters. ","")&amp;IF(LEN($U321)&gt;40,"Gift Message Line 7 exceeds 40 characters. ",""))</f>
        <v/>
      </c>
      <c r="Y321" s="44" t="str">
        <f t="shared" si="17"/>
        <v/>
      </c>
      <c r="Z321" s="44"/>
      <c r="AA321" s="44"/>
      <c r="AB321" s="32" t="str">
        <f t="shared" si="18"/>
        <v/>
      </c>
      <c r="AC321" s="32" t="str">
        <f>IF($A321="","",IFERROR(LEFT(INDEX('PRODUCT DATA'!$NO$2:$NO$25,MATCH($A321,'PRODUCT DATA'!$NP$2:$NP$25,0)),FIND("|",INDEX('PRODUCT DATA'!$NO$2:$NO$25,MATCH($A321,'PRODUCT DATA'!$NP$2:$NP$25,0)))-1),$A321))</f>
        <v/>
      </c>
      <c r="AD321" s="45"/>
      <c r="AE321" s="45" t="str">
        <f t="shared" si="19"/>
        <v/>
      </c>
    </row>
    <row r="322" spans="1:31" ht="15" customHeight="1" x14ac:dyDescent="0.25">
      <c r="A322" s="40"/>
      <c r="B322" s="43" t="str">
        <f>IF($A322="","",IFERROR(VLOOKUP($AC322,'PRODUCT DATA'!$NR$2:$NS$374,2,FALSE()),"UNKNOWN ITEM CODE - please check"))</f>
        <v/>
      </c>
      <c r="C322" s="39">
        <v>1</v>
      </c>
      <c r="D322" s="39"/>
      <c r="E322" s="40"/>
      <c r="F322" s="41"/>
      <c r="G322" s="39"/>
      <c r="H322" s="41"/>
      <c r="I322" s="41"/>
      <c r="J322" s="39"/>
      <c r="K322" s="41"/>
      <c r="L322" s="40"/>
      <c r="M322" s="40"/>
      <c r="N322" s="42" t="str">
        <f>IF($M322="","",IFERROR(INDEX('PRODUCT DATA'!$B$2:$B$58,MATCH(IF(UPPER($M322)="UK","GB",$M322),'PRODUCT DATA'!$B$2:$B$58,0)),IFERROR(INDEX('PRODUCT DATA'!$B$2:$B$58,MATCH(IF(UPPER($M322)="UK","GB",$M322),'PRODUCT DATA'!$A$2:$A$58,0)),"UNKNOWN COUNTRY - please check")))</f>
        <v/>
      </c>
      <c r="O322" s="41"/>
      <c r="P322" s="41"/>
      <c r="Q322" s="41"/>
      <c r="R322" s="41"/>
      <c r="S322" s="41"/>
      <c r="T322" s="41"/>
      <c r="U322" s="41"/>
      <c r="V322" s="43" t="str">
        <f t="shared" si="16"/>
        <v/>
      </c>
      <c r="W322" s="44" t="str">
        <f ca="1">IF(COUNTA($A322,$D322:$M322,$O322:$U322)=0,"",IF($A322="","Item Code; ","")&amp;IF(AND($A322&lt;&gt;"",ISNA(MATCH($AC322,'PRODUCT DATA'!$D$2:$D$394,0))),"Item Code; ","")&amp;IF($M322="","Country; ","")&amp;IF(AND($M322&lt;&gt;"",NOT(OR(NOT(ISNA(MATCH(IF(UPPER($M322)="UK","GB",$M322),'PRODUCT DATA'!$A$2:$A$58,0))),NOT(ISNA(MATCH(IF(UPPER($M322)="UK","GB",$M322),'PRODUCT DATA'!$B$2:$B$58,0)))))),"Country; ","")&amp;IF(AND($A322&lt;&gt;"",$M322&lt;&gt;"",NOT(ISNA(MATCH($AC322,'PRODUCT DATA'!$D$2:$D$394,0))),OR(NOT(ISNA(MATCH(IF(UPPER($M322)="UK","GB",$M322),'PRODUCT DATA'!$A$2:$A$58,0))),NOT(ISNA(MATCH(IF(UPPER($M322)="UK","GB",$M322),'PRODUCT DATA'!$B$2:$B$58,0)))),NOT(IFERROR(COUNTIF(OFFSET('PRODUCT DATA'!$F$2,0,MATCH($AC322,'PRODUCT DATA'!$F$1:$NN$1,0)-1,114,1),$N322)&gt;0,FALSE()))),IF(UPPER(IFERROR(OFFSET('PRODUCT DATA'!$C$2,MATCH($N322,'PRODUCT DATA'!$B$2:$B$58,0)-1,0),""))="NO","Alcohol Restriction; ","Item Code / Country combination; "),"")&amp;IF($C322="","Quantity; ","")&amp;IF(AND($C322&lt;&gt;"",OR(NOT(ISNUMBER($C322)),$C322&lt;1,$C322&gt;999,MOD($C322,1)&lt;&gt;0)),"Quantity; ","")&amp;IF($D322="","Recipient Name; ","")&amp;IF(LEN($D322)&gt;35,"Recipient Name; ","")&amp;IF($E322="","Recipient Phone; ","")&amp;IF(AND($E322&lt;&gt;"",OR(LEN($E322)&lt;6,LEN($E322)&gt;20,NOT(IFERROR(ISNUMBER(1*$E322),FALSE())))),"Recipient Phone; ","")&amp;IF(LEN($F322)&gt;35,"Recipient Company Name; ","")&amp;IF($G322="","Address Line 1; ","")&amp;IF(LEN($G322)&gt;35,"Address Line 1; ","")&amp;IF(LEN($H322)&gt;35,"Address Line 2; ","")&amp;IF(LEN($I322)&gt;35,"Address Line 3; ","")&amp;IF($J322="","Town; ","")&amp;IF(LEN($J322)&gt;35,"Town; ","")&amp;IF(AND($N322="IE",$K322=""),"County; ","")&amp;IF(LEN($AB322)&gt;35,"County; ","")&amp;IF(AND($L322="",AND($N322&lt;&gt;"AE",$N322&lt;&gt;"QA")),"Postcode; ","")&amp;IF(LEN($L322)&gt;35,"Postcode; ","")&amp;IF($AE322&lt;&gt;"","Postcode; ","")&amp;IF(LEN($O322)&gt;40,"Gift Message 1; ","")&amp;IF(LEN($P322)&gt;40,"Gift Message 2; ","")&amp;IF(LEN($Q322)&gt;40,"Gift Message 3; ","")&amp;IF(LEN($R322)&gt;40,"Gift Message 4; ","")&amp;IF(LEN($S322)&gt;40,"Gift Message 5; ","")&amp;IF(LEN($T322)&gt;40,"Gift Message 6; ","")&amp;IF(LEN($U322)&gt;40,"Gift Message 7; ",""))</f>
        <v/>
      </c>
      <c r="X322" s="44" t="str">
        <f ca="1">IF(COUNTA($A322,$D322:$M322,$O322:$U322)=0,"",IF($A322="","Enter the Item Code (hamper) - type it, paste it, or choose it from the dropdown. ","")&amp;IF(AND($A322&lt;&gt;"",ISNA(MATCH($AC322,'PRODUCT DATA'!$D$2:$D$394,0))),"This Item Code is not recognised. Check the code (case does not matter, but spelling and digits must match exactly) or choose it from the dropdown. ","")&amp;IF($M322="","Enter the Country after the Item Code - type or paste the name or the 2-letter code, or choose it from the dropdown. ","")&amp;IF(AND($M322&lt;&gt;"",NOT(OR(NOT(ISNA(MATCH(IF(UPPER($M322)="UK","GB",$M322),'PRODUCT DATA'!$A$2:$A$58,0))),NOT(ISNA(MATCH(IF(UPPER($M322)="UK","GB",$M322),'PRODUCT DATA'!$B$2:$B$58,0)))))),"This Country is not recognised as either a full name or a 2-letter code. Check the spelling (case does not matter) or choose it from the dropdown. ","")&amp;IF(AND($A322&lt;&gt;"",$M322&lt;&gt;"",NOT(ISNA(MATCH($AC322,'PRODUCT DATA'!$D$2:$D$394,0))),OR(NOT(ISNA(MATCH(IF(UPPER($M322)="UK","GB",$M322),'PRODUCT DATA'!$A$2:$A$58,0))),NOT(ISNA(MATCH(IF(UPPER($M322)="UK","GB",$M322),'PRODUCT DATA'!$B$2:$B$58,0)))),NOT(IFERROR(COUNTIF(OFFSET('PRODUCT DATA'!$F$2,0,MATCH($AC322,'PRODUCT DATA'!$F$1:$NN$1,0)-1,114,1),$N322)&gt;0,FALSE()))),IF(UPPER(IFERROR(OFFSET('PRODUCT DATA'!$C$2,MATCH($N322,'PRODUCT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"),"")&amp;IF($C322="","Enter Quantity. ","")&amp;IF(AND($C322&lt;&gt;"",OR(NOT(ISNUMBER($C322)),$C322&lt;1,$C322&gt;999,MOD($C322,1)&lt;&gt;0)),"Quantity must be a whole number from 1 to 999 (use a quantity above 1 only for a genuine bulk order of identical items to ONE address — otherwise use a separate row per recipient). ","")&amp;IF($D322="","Enter Recipient Name. ","")&amp;IF(LEN($D322)&gt;35,"Recipient Name exceeds 35 characters. ","")&amp;IF($E322="","Enter Recipient Phone. ","")&amp;IF(AND($E322&lt;&gt;"",OR(LEN($E322)&lt;6,LEN($E322)&gt;20,NOT(IFERROR(ISNUMBER(1*$E322),FALSE())))),"Phone must be the LOCAL number for the destination country: digits only, no +, spaces, or country code, 6 to 20 digits. ","")&amp;IF(LEN($F322)&gt;35,"Recipient Company Name exceeds 35 characters. ","")&amp;IF($G322="","Enter Address Line 1. ","")&amp;IF(LEN($G322)&gt;35,"Address Line 1 exceeds the 35-character SAP limit. ","")&amp;IF(LEN($H322)&gt;35,"Address Line 2 exceeds the 35-character SAP limit. ","")&amp;IF(LEN($I322)&gt;35,"Address Line 3 exceeds the 35-character SAP limit. ","")&amp;IF($J322="","Enter Town. This must never be left blank, even if there is no conventional town name. ","")&amp;IF(LEN($J322)&gt;35,"Town exceeds 35 characters. ","")&amp;IF(AND($N322="IE",$K322=""),"County is required for deliveries within the Republic of Ireland. ","")&amp;IF(LEN($AB322)&gt;35,"County exceeds 35 characters. ","")&amp;IF(AND($L322="",AND($N322&lt;&gt;"AE",$N322&lt;&gt;"QA")),"Postcode is required for the selected country. If there is genuinely no postcode, enter the first 3 characters of the area (e.g. D15). ","")&amp;IF(LEN($L322)&gt;35,"Postcode exceeds 35 characters. ","")&amp;IF($AE322&lt;&gt;"",$AE322,"")&amp;IF(LEN($O322)&gt;40,"Gift Message Line 1 exceeds 40 characters. ","")&amp;IF(LEN($P322)&gt;40,"Gift Message Line 2 exceeds 40 characters. ","")&amp;IF(LEN($Q322)&gt;40,"Gift Message Line 3 exceeds 40 characters. ","")&amp;IF(LEN($R322)&gt;40,"Gift Message Line 4 exceeds 40 characters. ","")&amp;IF(LEN($S322)&gt;40,"Gift Message Line 5 exceeds 40 characters. ","")&amp;IF(LEN($T322)&gt;40,"Gift Message Line 6 exceeds 40 characters. ","")&amp;IF(LEN($U322)&gt;40,"Gift Message Line 7 exceeds 40 characters. ",""))</f>
        <v/>
      </c>
      <c r="Y322" s="44" t="str">
        <f t="shared" si="17"/>
        <v/>
      </c>
      <c r="Z322" s="44"/>
      <c r="AA322" s="44"/>
      <c r="AB322" s="32" t="str">
        <f t="shared" si="18"/>
        <v/>
      </c>
      <c r="AC322" s="32" t="str">
        <f>IF($A322="","",IFERROR(LEFT(INDEX('PRODUCT DATA'!$NO$2:$NO$25,MATCH($A322,'PRODUCT DATA'!$NP$2:$NP$25,0)),FIND("|",INDEX('PRODUCT DATA'!$NO$2:$NO$25,MATCH($A322,'PRODUCT DATA'!$NP$2:$NP$25,0)))-1),$A322))</f>
        <v/>
      </c>
      <c r="AD322" s="45"/>
      <c r="AE322" s="45" t="str">
        <f t="shared" si="19"/>
        <v/>
      </c>
    </row>
    <row r="323" spans="1:31" ht="15" customHeight="1" x14ac:dyDescent="0.25">
      <c r="A323" s="40"/>
      <c r="B323" s="43" t="str">
        <f>IF($A323="","",IFERROR(VLOOKUP($AC323,'PRODUCT DATA'!$NR$2:$NS$374,2,FALSE()),"UNKNOWN ITEM CODE - please check"))</f>
        <v/>
      </c>
      <c r="C323" s="39">
        <v>1</v>
      </c>
      <c r="D323" s="39"/>
      <c r="E323" s="40"/>
      <c r="F323" s="41"/>
      <c r="G323" s="39"/>
      <c r="H323" s="41"/>
      <c r="I323" s="41"/>
      <c r="J323" s="39"/>
      <c r="K323" s="41"/>
      <c r="L323" s="40"/>
      <c r="M323" s="40"/>
      <c r="N323" s="42" t="str">
        <f>IF($M323="","",IFERROR(INDEX('PRODUCT DATA'!$B$2:$B$58,MATCH(IF(UPPER($M323)="UK","GB",$M323),'PRODUCT DATA'!$B$2:$B$58,0)),IFERROR(INDEX('PRODUCT DATA'!$B$2:$B$58,MATCH(IF(UPPER($M323)="UK","GB",$M323),'PRODUCT DATA'!$A$2:$A$58,0)),"UNKNOWN COUNTRY - please check")))</f>
        <v/>
      </c>
      <c r="O323" s="41"/>
      <c r="P323" s="41"/>
      <c r="Q323" s="41"/>
      <c r="R323" s="41"/>
      <c r="S323" s="41"/>
      <c r="T323" s="41"/>
      <c r="U323" s="41"/>
      <c r="V323" s="43" t="str">
        <f t="shared" si="16"/>
        <v/>
      </c>
      <c r="W323" s="44" t="str">
        <f ca="1">IF(COUNTA($A323,$D323:$M323,$O323:$U323)=0,"",IF($A323="","Item Code; ","")&amp;IF(AND($A323&lt;&gt;"",ISNA(MATCH($AC323,'PRODUCT DATA'!$D$2:$D$394,0))),"Item Code; ","")&amp;IF($M323="","Country; ","")&amp;IF(AND($M323&lt;&gt;"",NOT(OR(NOT(ISNA(MATCH(IF(UPPER($M323)="UK","GB",$M323),'PRODUCT DATA'!$A$2:$A$58,0))),NOT(ISNA(MATCH(IF(UPPER($M323)="UK","GB",$M323),'PRODUCT DATA'!$B$2:$B$58,0)))))),"Country; ","")&amp;IF(AND($A323&lt;&gt;"",$M323&lt;&gt;"",NOT(ISNA(MATCH($AC323,'PRODUCT DATA'!$D$2:$D$394,0))),OR(NOT(ISNA(MATCH(IF(UPPER($M323)="UK","GB",$M323),'PRODUCT DATA'!$A$2:$A$58,0))),NOT(ISNA(MATCH(IF(UPPER($M323)="UK","GB",$M323),'PRODUCT DATA'!$B$2:$B$58,0)))),NOT(IFERROR(COUNTIF(OFFSET('PRODUCT DATA'!$F$2,0,MATCH($AC323,'PRODUCT DATA'!$F$1:$NN$1,0)-1,114,1),$N323)&gt;0,FALSE()))),IF(UPPER(IFERROR(OFFSET('PRODUCT DATA'!$C$2,MATCH($N323,'PRODUCT DATA'!$B$2:$B$58,0)-1,0),""))="NO","Alcohol Restriction; ","Item Code / Country combination; "),"")&amp;IF($C323="","Quantity; ","")&amp;IF(AND($C323&lt;&gt;"",OR(NOT(ISNUMBER($C323)),$C323&lt;1,$C323&gt;999,MOD($C323,1)&lt;&gt;0)),"Quantity; ","")&amp;IF($D323="","Recipient Name; ","")&amp;IF(LEN($D323)&gt;35,"Recipient Name; ","")&amp;IF($E323="","Recipient Phone; ","")&amp;IF(AND($E323&lt;&gt;"",OR(LEN($E323)&lt;6,LEN($E323)&gt;20,NOT(IFERROR(ISNUMBER(1*$E323),FALSE())))),"Recipient Phone; ","")&amp;IF(LEN($F323)&gt;35,"Recipient Company Name; ","")&amp;IF($G323="","Address Line 1; ","")&amp;IF(LEN($G323)&gt;35,"Address Line 1; ","")&amp;IF(LEN($H323)&gt;35,"Address Line 2; ","")&amp;IF(LEN($I323)&gt;35,"Address Line 3; ","")&amp;IF($J323="","Town; ","")&amp;IF(LEN($J323)&gt;35,"Town; ","")&amp;IF(AND($N323="IE",$K323=""),"County; ","")&amp;IF(LEN($AB323)&gt;35,"County; ","")&amp;IF(AND($L323="",AND($N323&lt;&gt;"AE",$N323&lt;&gt;"QA")),"Postcode; ","")&amp;IF(LEN($L323)&gt;35,"Postcode; ","")&amp;IF($AE323&lt;&gt;"","Postcode; ","")&amp;IF(LEN($O323)&gt;40,"Gift Message 1; ","")&amp;IF(LEN($P323)&gt;40,"Gift Message 2; ","")&amp;IF(LEN($Q323)&gt;40,"Gift Message 3; ","")&amp;IF(LEN($R323)&gt;40,"Gift Message 4; ","")&amp;IF(LEN($S323)&gt;40,"Gift Message 5; ","")&amp;IF(LEN($T323)&gt;40,"Gift Message 6; ","")&amp;IF(LEN($U323)&gt;40,"Gift Message 7; ",""))</f>
        <v/>
      </c>
      <c r="X323" s="44" t="str">
        <f ca="1">IF(COUNTA($A323,$D323:$M323,$O323:$U323)=0,"",IF($A323="","Enter the Item Code (hamper) - type it, paste it, or choose it from the dropdown. ","")&amp;IF(AND($A323&lt;&gt;"",ISNA(MATCH($AC323,'PRODUCT DATA'!$D$2:$D$394,0))),"This Item Code is not recognised. Check the code (case does not matter, but spelling and digits must match exactly) or choose it from the dropdown. ","")&amp;IF($M323="","Enter the Country after the Item Code - type or paste the name or the 2-letter code, or choose it from the dropdown. ","")&amp;IF(AND($M323&lt;&gt;"",NOT(OR(NOT(ISNA(MATCH(IF(UPPER($M323)="UK","GB",$M323),'PRODUCT DATA'!$A$2:$A$58,0))),NOT(ISNA(MATCH(IF(UPPER($M323)="UK","GB",$M323),'PRODUCT DATA'!$B$2:$B$58,0)))))),"This Country is not recognised as either a full name or a 2-letter code. Check the spelling (case does not matter) or choose it from the dropdown. ","")&amp;IF(AND($A323&lt;&gt;"",$M323&lt;&gt;"",NOT(ISNA(MATCH($AC323,'PRODUCT DATA'!$D$2:$D$394,0))),OR(NOT(ISNA(MATCH(IF(UPPER($M323)="UK","GB",$M323),'PRODUCT DATA'!$A$2:$A$58,0))),NOT(ISNA(MATCH(IF(UPPER($M323)="UK","GB",$M323),'PRODUCT DATA'!$B$2:$B$58,0)))),NOT(IFERROR(COUNTIF(OFFSET('PRODUCT DATA'!$F$2,0,MATCH($AC323,'PRODUCT DATA'!$F$1:$NN$1,0)-1,114,1),$N323)&gt;0,FALSE()))),IF(UPPER(IFERROR(OFFSET('PRODUCT DATA'!$C$2,MATCH($N323,'PRODUCT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"),"")&amp;IF($C323="","Enter Quantity. ","")&amp;IF(AND($C323&lt;&gt;"",OR(NOT(ISNUMBER($C323)),$C323&lt;1,$C323&gt;999,MOD($C323,1)&lt;&gt;0)),"Quantity must be a whole number from 1 to 999 (use a quantity above 1 only for a genuine bulk order of identical items to ONE address — otherwise use a separate row per recipient). ","")&amp;IF($D323="","Enter Recipient Name. ","")&amp;IF(LEN($D323)&gt;35,"Recipient Name exceeds 35 characters. ","")&amp;IF($E323="","Enter Recipient Phone. ","")&amp;IF(AND($E323&lt;&gt;"",OR(LEN($E323)&lt;6,LEN($E323)&gt;20,NOT(IFERROR(ISNUMBER(1*$E323),FALSE())))),"Phone must be the LOCAL number for the destination country: digits only, no +, spaces, or country code, 6 to 20 digits. ","")&amp;IF(LEN($F323)&gt;35,"Recipient Company Name exceeds 35 characters. ","")&amp;IF($G323="","Enter Address Line 1. ","")&amp;IF(LEN($G323)&gt;35,"Address Line 1 exceeds the 35-character SAP limit. ","")&amp;IF(LEN($H323)&gt;35,"Address Line 2 exceeds the 35-character SAP limit. ","")&amp;IF(LEN($I323)&gt;35,"Address Line 3 exceeds the 35-character SAP limit. ","")&amp;IF($J323="","Enter Town. This must never be left blank, even if there is no conventional town name. ","")&amp;IF(LEN($J323)&gt;35,"Town exceeds 35 characters. ","")&amp;IF(AND($N323="IE",$K323=""),"County is required for deliveries within the Republic of Ireland. ","")&amp;IF(LEN($AB323)&gt;35,"County exceeds 35 characters. ","")&amp;IF(AND($L323="",AND($N323&lt;&gt;"AE",$N323&lt;&gt;"QA")),"Postcode is required for the selected country. If there is genuinely no postcode, enter the first 3 characters of the area (e.g. D15). ","")&amp;IF(LEN($L323)&gt;35,"Postcode exceeds 35 characters. ","")&amp;IF($AE323&lt;&gt;"",$AE323,"")&amp;IF(LEN($O323)&gt;40,"Gift Message Line 1 exceeds 40 characters. ","")&amp;IF(LEN($P323)&gt;40,"Gift Message Line 2 exceeds 40 characters. ","")&amp;IF(LEN($Q323)&gt;40,"Gift Message Line 3 exceeds 40 characters. ","")&amp;IF(LEN($R323)&gt;40,"Gift Message Line 4 exceeds 40 characters. ","")&amp;IF(LEN($S323)&gt;40,"Gift Message Line 5 exceeds 40 characters. ","")&amp;IF(LEN($T323)&gt;40,"Gift Message Line 6 exceeds 40 characters. ","")&amp;IF(LEN($U323)&gt;40,"Gift Message Line 7 exceeds 40 characters. ",""))</f>
        <v/>
      </c>
      <c r="Y323" s="44" t="str">
        <f t="shared" si="17"/>
        <v/>
      </c>
      <c r="Z323" s="44"/>
      <c r="AA323" s="44"/>
      <c r="AB323" s="32" t="str">
        <f t="shared" si="18"/>
        <v/>
      </c>
      <c r="AC323" s="32" t="str">
        <f>IF($A323="","",IFERROR(LEFT(INDEX('PRODUCT DATA'!$NO$2:$NO$25,MATCH($A323,'PRODUCT DATA'!$NP$2:$NP$25,0)),FIND("|",INDEX('PRODUCT DATA'!$NO$2:$NO$25,MATCH($A323,'PRODUCT DATA'!$NP$2:$NP$25,0)))-1),$A323))</f>
        <v/>
      </c>
      <c r="AD323" s="45"/>
      <c r="AE323" s="45" t="str">
        <f t="shared" si="19"/>
        <v/>
      </c>
    </row>
    <row r="324" spans="1:31" ht="15" customHeight="1" x14ac:dyDescent="0.25">
      <c r="A324" s="40"/>
      <c r="B324" s="43" t="str">
        <f>IF($A324="","",IFERROR(VLOOKUP($AC324,'PRODUCT DATA'!$NR$2:$NS$374,2,FALSE()),"UNKNOWN ITEM CODE - please check"))</f>
        <v/>
      </c>
      <c r="C324" s="39">
        <v>1</v>
      </c>
      <c r="D324" s="39"/>
      <c r="E324" s="40"/>
      <c r="F324" s="41"/>
      <c r="G324" s="39"/>
      <c r="H324" s="41"/>
      <c r="I324" s="41"/>
      <c r="J324" s="39"/>
      <c r="K324" s="41"/>
      <c r="L324" s="40"/>
      <c r="M324" s="40"/>
      <c r="N324" s="42" t="str">
        <f>IF($M324="","",IFERROR(INDEX('PRODUCT DATA'!$B$2:$B$58,MATCH(IF(UPPER($M324)="UK","GB",$M324),'PRODUCT DATA'!$B$2:$B$58,0)),IFERROR(INDEX('PRODUCT DATA'!$B$2:$B$58,MATCH(IF(UPPER($M324)="UK","GB",$M324),'PRODUCT DATA'!$A$2:$A$58,0)),"UNKNOWN COUNTRY - please check")))</f>
        <v/>
      </c>
      <c r="O324" s="41"/>
      <c r="P324" s="41"/>
      <c r="Q324" s="41"/>
      <c r="R324" s="41"/>
      <c r="S324" s="41"/>
      <c r="T324" s="41"/>
      <c r="U324" s="41"/>
      <c r="V324" s="43" t="str">
        <f t="shared" si="16"/>
        <v/>
      </c>
      <c r="W324" s="44" t="str">
        <f ca="1">IF(COUNTA($A324,$D324:$M324,$O324:$U324)=0,"",IF($A324="","Item Code; ","")&amp;IF(AND($A324&lt;&gt;"",ISNA(MATCH($AC324,'PRODUCT DATA'!$D$2:$D$394,0))),"Item Code; ","")&amp;IF($M324="","Country; ","")&amp;IF(AND($M324&lt;&gt;"",NOT(OR(NOT(ISNA(MATCH(IF(UPPER($M324)="UK","GB",$M324),'PRODUCT DATA'!$A$2:$A$58,0))),NOT(ISNA(MATCH(IF(UPPER($M324)="UK","GB",$M324),'PRODUCT DATA'!$B$2:$B$58,0)))))),"Country; ","")&amp;IF(AND($A324&lt;&gt;"",$M324&lt;&gt;"",NOT(ISNA(MATCH($AC324,'PRODUCT DATA'!$D$2:$D$394,0))),OR(NOT(ISNA(MATCH(IF(UPPER($M324)="UK","GB",$M324),'PRODUCT DATA'!$A$2:$A$58,0))),NOT(ISNA(MATCH(IF(UPPER($M324)="UK","GB",$M324),'PRODUCT DATA'!$B$2:$B$58,0)))),NOT(IFERROR(COUNTIF(OFFSET('PRODUCT DATA'!$F$2,0,MATCH($AC324,'PRODUCT DATA'!$F$1:$NN$1,0)-1,114,1),$N324)&gt;0,FALSE()))),IF(UPPER(IFERROR(OFFSET('PRODUCT DATA'!$C$2,MATCH($N324,'PRODUCT DATA'!$B$2:$B$58,0)-1,0),""))="NO","Alcohol Restriction; ","Item Code / Country combination; "),"")&amp;IF($C324="","Quantity; ","")&amp;IF(AND($C324&lt;&gt;"",OR(NOT(ISNUMBER($C324)),$C324&lt;1,$C324&gt;999,MOD($C324,1)&lt;&gt;0)),"Quantity; ","")&amp;IF($D324="","Recipient Name; ","")&amp;IF(LEN($D324)&gt;35,"Recipient Name; ","")&amp;IF($E324="","Recipient Phone; ","")&amp;IF(AND($E324&lt;&gt;"",OR(LEN($E324)&lt;6,LEN($E324)&gt;20,NOT(IFERROR(ISNUMBER(1*$E324),FALSE())))),"Recipient Phone; ","")&amp;IF(LEN($F324)&gt;35,"Recipient Company Name; ","")&amp;IF($G324="","Address Line 1; ","")&amp;IF(LEN($G324)&gt;35,"Address Line 1; ","")&amp;IF(LEN($H324)&gt;35,"Address Line 2; ","")&amp;IF(LEN($I324)&gt;35,"Address Line 3; ","")&amp;IF($J324="","Town; ","")&amp;IF(LEN($J324)&gt;35,"Town; ","")&amp;IF(AND($N324="IE",$K324=""),"County; ","")&amp;IF(LEN($AB324)&gt;35,"County; ","")&amp;IF(AND($L324="",AND($N324&lt;&gt;"AE",$N324&lt;&gt;"QA")),"Postcode; ","")&amp;IF(LEN($L324)&gt;35,"Postcode; ","")&amp;IF($AE324&lt;&gt;"","Postcode; ","")&amp;IF(LEN($O324)&gt;40,"Gift Message 1; ","")&amp;IF(LEN($P324)&gt;40,"Gift Message 2; ","")&amp;IF(LEN($Q324)&gt;40,"Gift Message 3; ","")&amp;IF(LEN($R324)&gt;40,"Gift Message 4; ","")&amp;IF(LEN($S324)&gt;40,"Gift Message 5; ","")&amp;IF(LEN($T324)&gt;40,"Gift Message 6; ","")&amp;IF(LEN($U324)&gt;40,"Gift Message 7; ",""))</f>
        <v/>
      </c>
      <c r="X324" s="44" t="str">
        <f ca="1">IF(COUNTA($A324,$D324:$M324,$O324:$U324)=0,"",IF($A324="","Enter the Item Code (hamper) - type it, paste it, or choose it from the dropdown. ","")&amp;IF(AND($A324&lt;&gt;"",ISNA(MATCH($AC324,'PRODUCT DATA'!$D$2:$D$394,0))),"This Item Code is not recognised. Check the code (case does not matter, but spelling and digits must match exactly) or choose it from the dropdown. ","")&amp;IF($M324="","Enter the Country after the Item Code - type or paste the name or the 2-letter code, or choose it from the dropdown. ","")&amp;IF(AND($M324&lt;&gt;"",NOT(OR(NOT(ISNA(MATCH(IF(UPPER($M324)="UK","GB",$M324),'PRODUCT DATA'!$A$2:$A$58,0))),NOT(ISNA(MATCH(IF(UPPER($M324)="UK","GB",$M324),'PRODUCT DATA'!$B$2:$B$58,0)))))),"This Country is not recognised as either a full name or a 2-letter code. Check the spelling (case does not matter) or choose it from the dropdown. ","")&amp;IF(AND($A324&lt;&gt;"",$M324&lt;&gt;"",NOT(ISNA(MATCH($AC324,'PRODUCT DATA'!$D$2:$D$394,0))),OR(NOT(ISNA(MATCH(IF(UPPER($M324)="UK","GB",$M324),'PRODUCT DATA'!$A$2:$A$58,0))),NOT(ISNA(MATCH(IF(UPPER($M324)="UK","GB",$M324),'PRODUCT DATA'!$B$2:$B$58,0)))),NOT(IFERROR(COUNTIF(OFFSET('PRODUCT DATA'!$F$2,0,MATCH($AC324,'PRODUCT DATA'!$F$1:$NN$1,0)-1,114,1),$N324)&gt;0,FALSE()))),IF(UPPER(IFERROR(OFFSET('PRODUCT DATA'!$C$2,MATCH($N324,'PRODUCT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"),"")&amp;IF($C324="","Enter Quantity. ","")&amp;IF(AND($C324&lt;&gt;"",OR(NOT(ISNUMBER($C324)),$C324&lt;1,$C324&gt;999,MOD($C324,1)&lt;&gt;0)),"Quantity must be a whole number from 1 to 999 (use a quantity above 1 only for a genuine bulk order of identical items to ONE address — otherwise use a separate row per recipient). ","")&amp;IF($D324="","Enter Recipient Name. ","")&amp;IF(LEN($D324)&gt;35,"Recipient Name exceeds 35 characters. ","")&amp;IF($E324="","Enter Recipient Phone. ","")&amp;IF(AND($E324&lt;&gt;"",OR(LEN($E324)&lt;6,LEN($E324)&gt;20,NOT(IFERROR(ISNUMBER(1*$E324),FALSE())))),"Phone must be the LOCAL number for the destination country: digits only, no +, spaces, or country code, 6 to 20 digits. ","")&amp;IF(LEN($F324)&gt;35,"Recipient Company Name exceeds 35 characters. ","")&amp;IF($G324="","Enter Address Line 1. ","")&amp;IF(LEN($G324)&gt;35,"Address Line 1 exceeds the 35-character SAP limit. ","")&amp;IF(LEN($H324)&gt;35,"Address Line 2 exceeds the 35-character SAP limit. ","")&amp;IF(LEN($I324)&gt;35,"Address Line 3 exceeds the 35-character SAP limit. ","")&amp;IF($J324="","Enter Town. This must never be left blank, even if there is no conventional town name. ","")&amp;IF(LEN($J324)&gt;35,"Town exceeds 35 characters. ","")&amp;IF(AND($N324="IE",$K324=""),"County is required for deliveries within the Republic of Ireland. ","")&amp;IF(LEN($AB324)&gt;35,"County exceeds 35 characters. ","")&amp;IF(AND($L324="",AND($N324&lt;&gt;"AE",$N324&lt;&gt;"QA")),"Postcode is required for the selected country. If there is genuinely no postcode, enter the first 3 characters of the area (e.g. D15). ","")&amp;IF(LEN($L324)&gt;35,"Postcode exceeds 35 characters. ","")&amp;IF($AE324&lt;&gt;"",$AE324,"")&amp;IF(LEN($O324)&gt;40,"Gift Message Line 1 exceeds 40 characters. ","")&amp;IF(LEN($P324)&gt;40,"Gift Message Line 2 exceeds 40 characters. ","")&amp;IF(LEN($Q324)&gt;40,"Gift Message Line 3 exceeds 40 characters. ","")&amp;IF(LEN($R324)&gt;40,"Gift Message Line 4 exceeds 40 characters. ","")&amp;IF(LEN($S324)&gt;40,"Gift Message Line 5 exceeds 40 characters. ","")&amp;IF(LEN($T324)&gt;40,"Gift Message Line 6 exceeds 40 characters. ","")&amp;IF(LEN($U324)&gt;40,"Gift Message Line 7 exceeds 40 characters. ",""))</f>
        <v/>
      </c>
      <c r="Y324" s="44" t="str">
        <f t="shared" si="17"/>
        <v/>
      </c>
      <c r="Z324" s="44"/>
      <c r="AA324" s="44"/>
      <c r="AB324" s="32" t="str">
        <f t="shared" si="18"/>
        <v/>
      </c>
      <c r="AC324" s="32" t="str">
        <f>IF($A324="","",IFERROR(LEFT(INDEX('PRODUCT DATA'!$NO$2:$NO$25,MATCH($A324,'PRODUCT DATA'!$NP$2:$NP$25,0)),FIND("|",INDEX('PRODUCT DATA'!$NO$2:$NO$25,MATCH($A324,'PRODUCT DATA'!$NP$2:$NP$25,0)))-1),$A324))</f>
        <v/>
      </c>
      <c r="AD324" s="45"/>
      <c r="AE324" s="45" t="str">
        <f t="shared" si="19"/>
        <v/>
      </c>
    </row>
    <row r="325" spans="1:31" ht="15" customHeight="1" x14ac:dyDescent="0.25">
      <c r="A325" s="40"/>
      <c r="B325" s="43" t="str">
        <f>IF($A325="","",IFERROR(VLOOKUP($AC325,'PRODUCT DATA'!$NR$2:$NS$374,2,FALSE()),"UNKNOWN ITEM CODE - please check"))</f>
        <v/>
      </c>
      <c r="C325" s="39">
        <v>1</v>
      </c>
      <c r="D325" s="39"/>
      <c r="E325" s="40"/>
      <c r="F325" s="41"/>
      <c r="G325" s="39"/>
      <c r="H325" s="41"/>
      <c r="I325" s="41"/>
      <c r="J325" s="39"/>
      <c r="K325" s="41"/>
      <c r="L325" s="40"/>
      <c r="M325" s="40"/>
      <c r="N325" s="42" t="str">
        <f>IF($M325="","",IFERROR(INDEX('PRODUCT DATA'!$B$2:$B$58,MATCH(IF(UPPER($M325)="UK","GB",$M325),'PRODUCT DATA'!$B$2:$B$58,0)),IFERROR(INDEX('PRODUCT DATA'!$B$2:$B$58,MATCH(IF(UPPER($M325)="UK","GB",$M325),'PRODUCT DATA'!$A$2:$A$58,0)),"UNKNOWN COUNTRY - please check")))</f>
        <v/>
      </c>
      <c r="O325" s="41"/>
      <c r="P325" s="41"/>
      <c r="Q325" s="41"/>
      <c r="R325" s="41"/>
      <c r="S325" s="41"/>
      <c r="T325" s="41"/>
      <c r="U325" s="41"/>
      <c r="V325" s="43" t="str">
        <f t="shared" si="16"/>
        <v/>
      </c>
      <c r="W325" s="44" t="str">
        <f ca="1">IF(COUNTA($A325,$D325:$M325,$O325:$U325)=0,"",IF($A325="","Item Code; ","")&amp;IF(AND($A325&lt;&gt;"",ISNA(MATCH($AC325,'PRODUCT DATA'!$D$2:$D$394,0))),"Item Code; ","")&amp;IF($M325="","Country; ","")&amp;IF(AND($M325&lt;&gt;"",NOT(OR(NOT(ISNA(MATCH(IF(UPPER($M325)="UK","GB",$M325),'PRODUCT DATA'!$A$2:$A$58,0))),NOT(ISNA(MATCH(IF(UPPER($M325)="UK","GB",$M325),'PRODUCT DATA'!$B$2:$B$58,0)))))),"Country; ","")&amp;IF(AND($A325&lt;&gt;"",$M325&lt;&gt;"",NOT(ISNA(MATCH($AC325,'PRODUCT DATA'!$D$2:$D$394,0))),OR(NOT(ISNA(MATCH(IF(UPPER($M325)="UK","GB",$M325),'PRODUCT DATA'!$A$2:$A$58,0))),NOT(ISNA(MATCH(IF(UPPER($M325)="UK","GB",$M325),'PRODUCT DATA'!$B$2:$B$58,0)))),NOT(IFERROR(COUNTIF(OFFSET('PRODUCT DATA'!$F$2,0,MATCH($AC325,'PRODUCT DATA'!$F$1:$NN$1,0)-1,114,1),$N325)&gt;0,FALSE()))),IF(UPPER(IFERROR(OFFSET('PRODUCT DATA'!$C$2,MATCH($N325,'PRODUCT DATA'!$B$2:$B$58,0)-1,0),""))="NO","Alcohol Restriction; ","Item Code / Country combination; "),"")&amp;IF($C325="","Quantity; ","")&amp;IF(AND($C325&lt;&gt;"",OR(NOT(ISNUMBER($C325)),$C325&lt;1,$C325&gt;999,MOD($C325,1)&lt;&gt;0)),"Quantity; ","")&amp;IF($D325="","Recipient Name; ","")&amp;IF(LEN($D325)&gt;35,"Recipient Name; ","")&amp;IF($E325="","Recipient Phone; ","")&amp;IF(AND($E325&lt;&gt;"",OR(LEN($E325)&lt;6,LEN($E325)&gt;20,NOT(IFERROR(ISNUMBER(1*$E325),FALSE())))),"Recipient Phone; ","")&amp;IF(LEN($F325)&gt;35,"Recipient Company Name; ","")&amp;IF($G325="","Address Line 1; ","")&amp;IF(LEN($G325)&gt;35,"Address Line 1; ","")&amp;IF(LEN($H325)&gt;35,"Address Line 2; ","")&amp;IF(LEN($I325)&gt;35,"Address Line 3; ","")&amp;IF($J325="","Town; ","")&amp;IF(LEN($J325)&gt;35,"Town; ","")&amp;IF(AND($N325="IE",$K325=""),"County; ","")&amp;IF(LEN($AB325)&gt;35,"County; ","")&amp;IF(AND($L325="",AND($N325&lt;&gt;"AE",$N325&lt;&gt;"QA")),"Postcode; ","")&amp;IF(LEN($L325)&gt;35,"Postcode; ","")&amp;IF($AE325&lt;&gt;"","Postcode; ","")&amp;IF(LEN($O325)&gt;40,"Gift Message 1; ","")&amp;IF(LEN($P325)&gt;40,"Gift Message 2; ","")&amp;IF(LEN($Q325)&gt;40,"Gift Message 3; ","")&amp;IF(LEN($R325)&gt;40,"Gift Message 4; ","")&amp;IF(LEN($S325)&gt;40,"Gift Message 5; ","")&amp;IF(LEN($T325)&gt;40,"Gift Message 6; ","")&amp;IF(LEN($U325)&gt;40,"Gift Message 7; ",""))</f>
        <v/>
      </c>
      <c r="X325" s="44" t="str">
        <f ca="1">IF(COUNTA($A325,$D325:$M325,$O325:$U325)=0,"",IF($A325="","Enter the Item Code (hamper) - type it, paste it, or choose it from the dropdown. ","")&amp;IF(AND($A325&lt;&gt;"",ISNA(MATCH($AC325,'PRODUCT DATA'!$D$2:$D$394,0))),"This Item Code is not recognised. Check the code (case does not matter, but spelling and digits must match exactly) or choose it from the dropdown. ","")&amp;IF($M325="","Enter the Country after the Item Code - type or paste the name or the 2-letter code, or choose it from the dropdown. ","")&amp;IF(AND($M325&lt;&gt;"",NOT(OR(NOT(ISNA(MATCH(IF(UPPER($M325)="UK","GB",$M325),'PRODUCT DATA'!$A$2:$A$58,0))),NOT(ISNA(MATCH(IF(UPPER($M325)="UK","GB",$M325),'PRODUCT DATA'!$B$2:$B$58,0)))))),"This Country is not recognised as either a full name or a 2-letter code. Check the spelling (case does not matter) or choose it from the dropdown. ","")&amp;IF(AND($A325&lt;&gt;"",$M325&lt;&gt;"",NOT(ISNA(MATCH($AC325,'PRODUCT DATA'!$D$2:$D$394,0))),OR(NOT(ISNA(MATCH(IF(UPPER($M325)="UK","GB",$M325),'PRODUCT DATA'!$A$2:$A$58,0))),NOT(ISNA(MATCH(IF(UPPER($M325)="UK","GB",$M325),'PRODUCT DATA'!$B$2:$B$58,0)))),NOT(IFERROR(COUNTIF(OFFSET('PRODUCT DATA'!$F$2,0,MATCH($AC325,'PRODUCT DATA'!$F$1:$NN$1,0)-1,114,1),$N325)&gt;0,FALSE()))),IF(UPPER(IFERROR(OFFSET('PRODUCT DATA'!$C$2,MATCH($N325,'PRODUCT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"),"")&amp;IF($C325="","Enter Quantity. ","")&amp;IF(AND($C325&lt;&gt;"",OR(NOT(ISNUMBER($C325)),$C325&lt;1,$C325&gt;999,MOD($C325,1)&lt;&gt;0)),"Quantity must be a whole number from 1 to 999 (use a quantity above 1 only for a genuine bulk order of identical items to ONE address — otherwise use a separate row per recipient). ","")&amp;IF($D325="","Enter Recipient Name. ","")&amp;IF(LEN($D325)&gt;35,"Recipient Name exceeds 35 characters. ","")&amp;IF($E325="","Enter Recipient Phone. ","")&amp;IF(AND($E325&lt;&gt;"",OR(LEN($E325)&lt;6,LEN($E325)&gt;20,NOT(IFERROR(ISNUMBER(1*$E325),FALSE())))),"Phone must be the LOCAL number for the destination country: digits only, no +, spaces, or country code, 6 to 20 digits. ","")&amp;IF(LEN($F325)&gt;35,"Recipient Company Name exceeds 35 characters. ","")&amp;IF($G325="","Enter Address Line 1. ","")&amp;IF(LEN($G325)&gt;35,"Address Line 1 exceeds the 35-character SAP limit. ","")&amp;IF(LEN($H325)&gt;35,"Address Line 2 exceeds the 35-character SAP limit. ","")&amp;IF(LEN($I325)&gt;35,"Address Line 3 exceeds the 35-character SAP limit. ","")&amp;IF($J325="","Enter Town. This must never be left blank, even if there is no conventional town name. ","")&amp;IF(LEN($J325)&gt;35,"Town exceeds 35 characters. ","")&amp;IF(AND($N325="IE",$K325=""),"County is required for deliveries within the Republic of Ireland. ","")&amp;IF(LEN($AB325)&gt;35,"County exceeds 35 characters. ","")&amp;IF(AND($L325="",AND($N325&lt;&gt;"AE",$N325&lt;&gt;"QA")),"Postcode is required for the selected country. If there is genuinely no postcode, enter the first 3 characters of the area (e.g. D15). ","")&amp;IF(LEN($L325)&gt;35,"Postcode exceeds 35 characters. ","")&amp;IF($AE325&lt;&gt;"",$AE325,"")&amp;IF(LEN($O325)&gt;40,"Gift Message Line 1 exceeds 40 characters. ","")&amp;IF(LEN($P325)&gt;40,"Gift Message Line 2 exceeds 40 characters. ","")&amp;IF(LEN($Q325)&gt;40,"Gift Message Line 3 exceeds 40 characters. ","")&amp;IF(LEN($R325)&gt;40,"Gift Message Line 4 exceeds 40 characters. ","")&amp;IF(LEN($S325)&gt;40,"Gift Message Line 5 exceeds 40 characters. ","")&amp;IF(LEN($T325)&gt;40,"Gift Message Line 6 exceeds 40 characters. ","")&amp;IF(LEN($U325)&gt;40,"Gift Message Line 7 exceeds 40 characters. ",""))</f>
        <v/>
      </c>
      <c r="Y325" s="44" t="str">
        <f t="shared" si="17"/>
        <v/>
      </c>
      <c r="Z325" s="44"/>
      <c r="AA325" s="44"/>
      <c r="AB325" s="32" t="str">
        <f t="shared" si="18"/>
        <v/>
      </c>
      <c r="AC325" s="32" t="str">
        <f>IF($A325="","",IFERROR(LEFT(INDEX('PRODUCT DATA'!$NO$2:$NO$25,MATCH($A325,'PRODUCT DATA'!$NP$2:$NP$25,0)),FIND("|",INDEX('PRODUCT DATA'!$NO$2:$NO$25,MATCH($A325,'PRODUCT DATA'!$NP$2:$NP$25,0)))-1),$A325))</f>
        <v/>
      </c>
      <c r="AD325" s="45"/>
      <c r="AE325" s="45" t="str">
        <f t="shared" si="19"/>
        <v/>
      </c>
    </row>
    <row r="326" spans="1:31" ht="15" customHeight="1" x14ac:dyDescent="0.25">
      <c r="A326" s="40"/>
      <c r="B326" s="43" t="str">
        <f>IF($A326="","",IFERROR(VLOOKUP($AC326,'PRODUCT DATA'!$NR$2:$NS$374,2,FALSE()),"UNKNOWN ITEM CODE - please check"))</f>
        <v/>
      </c>
      <c r="C326" s="39">
        <v>1</v>
      </c>
      <c r="D326" s="39"/>
      <c r="E326" s="40"/>
      <c r="F326" s="41"/>
      <c r="G326" s="39"/>
      <c r="H326" s="41"/>
      <c r="I326" s="41"/>
      <c r="J326" s="39"/>
      <c r="K326" s="41"/>
      <c r="L326" s="40"/>
      <c r="M326" s="40"/>
      <c r="N326" s="42" t="str">
        <f>IF($M326="","",IFERROR(INDEX('PRODUCT DATA'!$B$2:$B$58,MATCH(IF(UPPER($M326)="UK","GB",$M326),'PRODUCT DATA'!$B$2:$B$58,0)),IFERROR(INDEX('PRODUCT DATA'!$B$2:$B$58,MATCH(IF(UPPER($M326)="UK","GB",$M326),'PRODUCT DATA'!$A$2:$A$58,0)),"UNKNOWN COUNTRY - please check")))</f>
        <v/>
      </c>
      <c r="O326" s="41"/>
      <c r="P326" s="41"/>
      <c r="Q326" s="41"/>
      <c r="R326" s="41"/>
      <c r="S326" s="41"/>
      <c r="T326" s="41"/>
      <c r="U326" s="41"/>
      <c r="V326" s="43" t="str">
        <f t="shared" ref="V326:V355" si="20">IF(COUNTA($A326,$D326:$M326,$O326:$U326)=0,"",IF($X326="","OK","FIX"))</f>
        <v/>
      </c>
      <c r="W326" s="44" t="str">
        <f ca="1">IF(COUNTA($A326,$D326:$M326,$O326:$U326)=0,"",IF($A326="","Item Code; ","")&amp;IF(AND($A326&lt;&gt;"",ISNA(MATCH($AC326,'PRODUCT DATA'!$D$2:$D$394,0))),"Item Code; ","")&amp;IF($M326="","Country; ","")&amp;IF(AND($M326&lt;&gt;"",NOT(OR(NOT(ISNA(MATCH(IF(UPPER($M326)="UK","GB",$M326),'PRODUCT DATA'!$A$2:$A$58,0))),NOT(ISNA(MATCH(IF(UPPER($M326)="UK","GB",$M326),'PRODUCT DATA'!$B$2:$B$58,0)))))),"Country; ","")&amp;IF(AND($A326&lt;&gt;"",$M326&lt;&gt;"",NOT(ISNA(MATCH($AC326,'PRODUCT DATA'!$D$2:$D$394,0))),OR(NOT(ISNA(MATCH(IF(UPPER($M326)="UK","GB",$M326),'PRODUCT DATA'!$A$2:$A$58,0))),NOT(ISNA(MATCH(IF(UPPER($M326)="UK","GB",$M326),'PRODUCT DATA'!$B$2:$B$58,0)))),NOT(IFERROR(COUNTIF(OFFSET('PRODUCT DATA'!$F$2,0,MATCH($AC326,'PRODUCT DATA'!$F$1:$NN$1,0)-1,114,1),$N326)&gt;0,FALSE()))),IF(UPPER(IFERROR(OFFSET('PRODUCT DATA'!$C$2,MATCH($N326,'PRODUCT DATA'!$B$2:$B$58,0)-1,0),""))="NO","Alcohol Restriction; ","Item Code / Country combination; "),"")&amp;IF($C326="","Quantity; ","")&amp;IF(AND($C326&lt;&gt;"",OR(NOT(ISNUMBER($C326)),$C326&lt;1,$C326&gt;999,MOD($C326,1)&lt;&gt;0)),"Quantity; ","")&amp;IF($D326="","Recipient Name; ","")&amp;IF(LEN($D326)&gt;35,"Recipient Name; ","")&amp;IF($E326="","Recipient Phone; ","")&amp;IF(AND($E326&lt;&gt;"",OR(LEN($E326)&lt;6,LEN($E326)&gt;20,NOT(IFERROR(ISNUMBER(1*$E326),FALSE())))),"Recipient Phone; ","")&amp;IF(LEN($F326)&gt;35,"Recipient Company Name; ","")&amp;IF($G326="","Address Line 1; ","")&amp;IF(LEN($G326)&gt;35,"Address Line 1; ","")&amp;IF(LEN($H326)&gt;35,"Address Line 2; ","")&amp;IF(LEN($I326)&gt;35,"Address Line 3; ","")&amp;IF($J326="","Town; ","")&amp;IF(LEN($J326)&gt;35,"Town; ","")&amp;IF(AND($N326="IE",$K326=""),"County; ","")&amp;IF(LEN($AB326)&gt;35,"County; ","")&amp;IF(AND($L326="",AND($N326&lt;&gt;"AE",$N326&lt;&gt;"QA")),"Postcode; ","")&amp;IF(LEN($L326)&gt;35,"Postcode; ","")&amp;IF($AE326&lt;&gt;"","Postcode; ","")&amp;IF(LEN($O326)&gt;40,"Gift Message 1; ","")&amp;IF(LEN($P326)&gt;40,"Gift Message 2; ","")&amp;IF(LEN($Q326)&gt;40,"Gift Message 3; ","")&amp;IF(LEN($R326)&gt;40,"Gift Message 4; ","")&amp;IF(LEN($S326)&gt;40,"Gift Message 5; ","")&amp;IF(LEN($T326)&gt;40,"Gift Message 6; ","")&amp;IF(LEN($U326)&gt;40,"Gift Message 7; ",""))</f>
        <v/>
      </c>
      <c r="X326" s="44" t="str">
        <f ca="1">IF(COUNTA($A326,$D326:$M326,$O326:$U326)=0,"",IF($A326="","Enter the Item Code (hamper) - type it, paste it, or choose it from the dropdown. ","")&amp;IF(AND($A326&lt;&gt;"",ISNA(MATCH($AC326,'PRODUCT DATA'!$D$2:$D$394,0))),"This Item Code is not recognised. Check the code (case does not matter, but spelling and digits must match exactly) or choose it from the dropdown. ","")&amp;IF($M326="","Enter the Country after the Item Code - type or paste the name or the 2-letter code, or choose it from the dropdown. ","")&amp;IF(AND($M326&lt;&gt;"",NOT(OR(NOT(ISNA(MATCH(IF(UPPER($M326)="UK","GB",$M326),'PRODUCT DATA'!$A$2:$A$58,0))),NOT(ISNA(MATCH(IF(UPPER($M326)="UK","GB",$M326),'PRODUCT DATA'!$B$2:$B$58,0)))))),"This Country is not recognised as either a full name or a 2-letter code. Check the spelling (case does not matter) or choose it from the dropdown. ","")&amp;IF(AND($A326&lt;&gt;"",$M326&lt;&gt;"",NOT(ISNA(MATCH($AC326,'PRODUCT DATA'!$D$2:$D$394,0))),OR(NOT(ISNA(MATCH(IF(UPPER($M326)="UK","GB",$M326),'PRODUCT DATA'!$A$2:$A$58,0))),NOT(ISNA(MATCH(IF(UPPER($M326)="UK","GB",$M326),'PRODUCT DATA'!$B$2:$B$58,0)))),NOT(IFERROR(COUNTIF(OFFSET('PRODUCT DATA'!$F$2,0,MATCH($AC326,'PRODUCT DATA'!$F$1:$NN$1,0)-1,114,1),$N326)&gt;0,FALSE()))),IF(UPPER(IFERROR(OFFSET('PRODUCT DATA'!$C$2,MATCH($N326,'PRODUCT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"),"")&amp;IF($C326="","Enter Quantity. ","")&amp;IF(AND($C326&lt;&gt;"",OR(NOT(ISNUMBER($C326)),$C326&lt;1,$C326&gt;999,MOD($C326,1)&lt;&gt;0)),"Quantity must be a whole number from 1 to 999 (use a quantity above 1 only for a genuine bulk order of identical items to ONE address — otherwise use a separate row per recipient). ","")&amp;IF($D326="","Enter Recipient Name. ","")&amp;IF(LEN($D326)&gt;35,"Recipient Name exceeds 35 characters. ","")&amp;IF($E326="","Enter Recipient Phone. ","")&amp;IF(AND($E326&lt;&gt;"",OR(LEN($E326)&lt;6,LEN($E326)&gt;20,NOT(IFERROR(ISNUMBER(1*$E326),FALSE())))),"Phone must be the LOCAL number for the destination country: digits only, no +, spaces, or country code, 6 to 20 digits. ","")&amp;IF(LEN($F326)&gt;35,"Recipient Company Name exceeds 35 characters. ","")&amp;IF($G326="","Enter Address Line 1. ","")&amp;IF(LEN($G326)&gt;35,"Address Line 1 exceeds the 35-character SAP limit. ","")&amp;IF(LEN($H326)&gt;35,"Address Line 2 exceeds the 35-character SAP limit. ","")&amp;IF(LEN($I326)&gt;35,"Address Line 3 exceeds the 35-character SAP limit. ","")&amp;IF($J326="","Enter Town. This must never be left blank, even if there is no conventional town name. ","")&amp;IF(LEN($J326)&gt;35,"Town exceeds 35 characters. ","")&amp;IF(AND($N326="IE",$K326=""),"County is required for deliveries within the Republic of Ireland. ","")&amp;IF(LEN($AB326)&gt;35,"County exceeds 35 characters. ","")&amp;IF(AND($L326="",AND($N326&lt;&gt;"AE",$N326&lt;&gt;"QA")),"Postcode is required for the selected country. If there is genuinely no postcode, enter the first 3 characters of the area (e.g. D15). ","")&amp;IF(LEN($L326)&gt;35,"Postcode exceeds 35 characters. ","")&amp;IF($AE326&lt;&gt;"",$AE326,"")&amp;IF(LEN($O326)&gt;40,"Gift Message Line 1 exceeds 40 characters. ","")&amp;IF(LEN($P326)&gt;40,"Gift Message Line 2 exceeds 40 characters. ","")&amp;IF(LEN($Q326)&gt;40,"Gift Message Line 3 exceeds 40 characters. ","")&amp;IF(LEN($R326)&gt;40,"Gift Message Line 4 exceeds 40 characters. ","")&amp;IF(LEN($S326)&gt;40,"Gift Message Line 5 exceeds 40 characters. ","")&amp;IF(LEN($T326)&gt;40,"Gift Message Line 6 exceeds 40 characters. ","")&amp;IF(LEN($U326)&gt;40,"Gift Message Line 7 exceeds 40 characters. ",""))</f>
        <v/>
      </c>
      <c r="Y326" s="44" t="str">
        <f t="shared" ref="Y326:Y355" si="21">IF(AND(NOT(COUNTA($A326,$D326:$M326,$O326:$U326)=0),ISNUMBER($C326),$C326&gt;1),"Quantity is more than 1 - confirm this is a genuine bulk order to ONE address before SAP entry. ","")&amp;IF(AND(NOT(COUNTA($A326,$D326:$M326,$O326:$U326)=0),AND($O326="",$P326="",$Q326="",$R326="",$S326="",$T326="",$U326="")),"No gift message entered - add our standard message before this goes to SAP. ","")&amp;IF(AND(NOT(COUNTA($A326,$D326:$M326,$O326:$U326)=0),AND($N326&lt;&gt;"AT",$N326&lt;&gt;"BE",$N326&lt;&gt;"BG",$N326&lt;&gt;"CY",$N326&lt;&gt;"CZ",$N326&lt;&gt;"DE",$N326&lt;&gt;"DK",$N326&lt;&gt;"EE",$N326&lt;&gt;"ES",$N326&lt;&gt;"FI",$N326&lt;&gt;"FR",$N326&lt;&gt;"GB",$N326&lt;&gt;"GR",$N326&lt;&gt;"HR",$N326&lt;&gt;"HU",$N326&lt;&gt;"IC",$N326&lt;&gt;"IE",$N326&lt;&gt;"IT",$N326&lt;&gt;"LT",$N326&lt;&gt;"LU",$N326&lt;&gt;"LV",$N326&lt;&gt;"MT",$N326&lt;&gt;"NL",$N326&lt;&gt;"PL",$N326&lt;&gt;"PT",$N326&lt;&gt;"RO",$N326&lt;&gt;"SE",$N326&lt;&gt;"SI",$N326&lt;&gt;"SK",$N326&lt;&gt;"VA"),$K326&lt;&gt;""),"Non-EU/UK/Ireland delivery with County filled in - check the SAP Town/Address-3 field-swap rule (State goes in Town, City goes in Address Line 3) before SAP entry. ","")&amp;IF($AA326&lt;&gt;"",$AA326&amp;" ","")</f>
        <v/>
      </c>
      <c r="Z326" s="44"/>
      <c r="AA326" s="44"/>
      <c r="AB326" s="32" t="str">
        <f t="shared" ref="AB326:AB355" si="22">IF(TRIM($K326)="","",IF(LEFT(UPPER(TRIM($K326)),4)="CO. ",TRIM(MID(TRIM($K326),5,255)),IF(LEFT(UPPER(TRIM($K326)),3)="CO ",TRIM(MID(TRIM($K326),4,255)),IF(LEFT(UPPER(TRIM($K326)),7)="COUNTY ",TRIM(MID(TRIM($K326),8,255)),TRIM($K326)))))</f>
        <v/>
      </c>
      <c r="AC326" s="32" t="str">
        <f>IF($A326="","",IFERROR(LEFT(INDEX('PRODUCT DATA'!$NO$2:$NO$25,MATCH($A326,'PRODUCT DATA'!$NP$2:$NP$25,0)),FIND("|",INDEX('PRODUCT DATA'!$NO$2:$NO$25,MATCH($A326,'PRODUCT DATA'!$NP$2:$NP$25,0)))-1),$A326))</f>
        <v/>
      </c>
      <c r="AD326" s="45"/>
      <c r="AE326" s="45" t="str">
        <f t="shared" ref="AE326:AE355" si="23">IF(OR($L326="",$N326=""),"",IF($N326="US",IF(OR(AND(LEN((SUBSTITUTE(TRIM($L326)," ","")))=5,ISNUMBER(VALUE((SUBSTITUTE(TRIM($L326)," ",""))))),AND(LEN((SUBSTITUTE(TRIM($L326)," ","")))=9,ISNUMBER(VALUE((SUBSTITUTE(TRIM($L326)," ",""))))),AND(LEN((SUBSTITUTE(TRIM($L326)," ","")))=10,MID((SUBSTITUTE(TRIM($L326)," ","")),6,1)="-",ISNUMBER(VALUE(LEFT((SUBSTITUTE(TRIM($L326)," ","")),5))),ISNUMBER(VALUE(RIGHT((SUBSTITUTE(TRIM($L326)," ","")),4))))),"","Postcode '"&amp;$L326&amp;"' doesn't look like a valid "&amp;$N326&amp;" postcode - please check it. "),IF($N326="CA",IF(AND(LEN((SUBSTITUTE(TRIM($L326)," ","")))=6,AND(CODE(UPPER(MID((SUBSTITUTE(TRIM($L326)," ","")),1,1)))&gt;=65,CODE(UPPER(MID((SUBSTITUTE(TRIM($L326)," ","")),1,1)))&lt;=90),ISNUMBER(VALUE(MID((SUBSTITUTE(TRIM($L326)," ","")),2,1))),AND(CODE(UPPER(MID((SUBSTITUTE(TRIM($L326)," ","")),3,1)))&gt;=65,CODE(UPPER(MID((SUBSTITUTE(TRIM($L326)," ","")),3,1)))&lt;=90),ISNUMBER(VALUE(MID((SUBSTITUTE(TRIM($L326)," ","")),4,1))),AND(CODE(UPPER(MID((SUBSTITUTE(TRIM($L326)," ","")),5,1)))&gt;=65,CODE(UPPER(MID((SUBSTITUTE(TRIM($L326)," ","")),5,1)))&lt;=90),ISNUMBER(VALUE(MID((SUBSTITUTE(TRIM($L326)," ","")),6,1)))),"","Postcode '"&amp;$L326&amp;"' doesn't look like a valid "&amp;$N326&amp;" postcode - please check it. "),IF($N326="NL",IF(AND(LEN((SUBSTITUTE(TRIM($L326)," ","")))=6,ISNUMBER(VALUE(LEFT((SUBSTITUTE(TRIM($L326)," ","")),4))),AND(CODE(UPPER(MID((SUBSTITUTE(TRIM($L326)," ","")),5,1)))&gt;=65,CODE(UPPER(MID((SUBSTITUTE(TRIM($L326)," ","")),5,1)))&lt;=90),AND(CODE(UPPER(MID((SUBSTITUTE(TRIM($L326)," ","")),6,1)))&gt;=65,CODE(UPPER(MID((SUBSTITUTE(TRIM($L326)," ","")),6,1)))&lt;=90)),"","Postcode '"&amp;$L326&amp;"' doesn't look like a valid "&amp;$N326&amp;" postcode - please check it. "),IF($N326="IE",IF(AND(LEN((SUBSTITUTE(TRIM($L326)," ","")))=7,AND(CODE(UPPER(MID((SUBSTITUTE(TRIM($L326)," ","")),1,1)))&gt;=65,CODE(UPPER(MID((SUBSTITUTE(TRIM($L326)," ","")),1,1)))&lt;=90),ISNUMBER(VALUE(MID((SUBSTITUTE(TRIM($L326)," ","")),2,1))),OR(ISNUMBER(VALUE(MID((SUBSTITUTE(TRIM($L326)," ","")),3,1))),AND(CODE(UPPER(MID((SUBSTITUTE(TRIM($L326)," ","")),3,1)))&gt;=65,CODE(UPPER(MID((SUBSTITUTE(TRIM($L326)," ","")),3,1)))&lt;=90)),OR(ISNUMBER(VALUE(MID((SUBSTITUTE(TRIM($L326)," ","")),4,1))),AND(CODE(UPPER(MID((SUBSTITUTE(TRIM($L326)," ","")),4,1)))&gt;=65,CODE(UPPER(MID((SUBSTITUTE(TRIM($L326)," ","")),4,1)))&lt;=90)),OR(ISNUMBER(VALUE(MID((SUBSTITUTE(TRIM($L326)," ","")),5,1))),AND(CODE(UPPER(MID((SUBSTITUTE(TRIM($L326)," ","")),5,1)))&gt;=65,CODE(UPPER(MID((SUBSTITUTE(TRIM($L326)," ","")),5,1)))&lt;=90)),OR(ISNUMBER(VALUE(MID((SUBSTITUTE(TRIM($L326)," ","")),6,1))),AND(CODE(UPPER(MID((SUBSTITUTE(TRIM($L326)," ","")),6,1)))&gt;=65,CODE(UPPER(MID((SUBSTITUTE(TRIM($L326)," ","")),6,1)))&lt;=90)),OR(ISNUMBER(VALUE(MID((SUBSTITUTE(TRIM($L326)," ","")),7,1))),AND(CODE(UPPER(MID((SUBSTITUTE(TRIM($L326)," ","")),7,1)))&gt;=65,CODE(UPPER(MID((SUBSTITUTE(TRIM($L326)," ","")),7,1)))&lt;=90))),"","Postcode '"&amp;$L326&amp;"' doesn't look like a valid "&amp;$N326&amp;" postcode - please check it. "),IF($N326="GB",IF(AND(OR(LEN((SUBSTITUTE(TRIM($L326)," ","")))=5,LEN((SUBSTITUTE(TRIM($L326)," ","")))=6,LEN((SUBSTITUTE(TRIM($L326)," ","")))=7),AND(ISNUMBER(VALUE(MID((SUBSTITUTE(TRIM($L326)," ","")),LEN((SUBSTITUTE(TRIM($L326)," ","")))-2,1))),AND(CODE(UPPER(MID((SUBSTITUTE(TRIM($L326)," ","")),LEN((SUBSTITUTE(TRIM($L326)," ","")))-1,1)))&gt;=65,CODE(UPPER(MID((SUBSTITUTE(TRIM($L326)," ","")),LEN((SUBSTITUTE(TRIM($L326)," ","")))-1,1)))&lt;=90),AND(CODE(UPPER(MID((SUBSTITUTE(TRIM($L326)," ","")),LEN((SUBSTITUTE(TRIM($L326)," ",""))),1)))&gt;=65,CODE(UPPER(MID((SUBSTITUTE(TRIM($L326)," ","")),LEN((SUBSTITUTE(TRIM($L326)," ",""))),1)))&lt;=90)),IF(LEN((SUBSTITUTE(TRIM($L326)," ","")))-3=2,AND(AND(CODE(UPPER(MID((SUBSTITUTE(TRIM($L326)," ","")),1,1)))&gt;=65,CODE(UPPER(MID((SUBSTITUTE(TRIM($L326)," ","")),1,1)))&lt;=90),ISNUMBER(VALUE(MID((SUBSTITUTE(TRIM($L326)," ","")),2,1)))),IF(LEN((SUBSTITUTE(TRIM($L326)," ","")))-3=3,OR(AND(AND(CODE(UPPER(MID((SUBSTITUTE(TRIM($L326)," ","")),1,1)))&gt;=65,CODE(UPPER(MID((SUBSTITUTE(TRIM($L326)," ","")),1,1)))&lt;=90),ISNUMBER(VALUE(MID((SUBSTITUTE(TRIM($L326)," ","")),2,1))),OR(ISNUMBER(VALUE(MID((SUBSTITUTE(TRIM($L326)," ","")),3,1))),AND(CODE(UPPER(MID((SUBSTITUTE(TRIM($L326)," ","")),3,1)))&gt;=65,CODE(UPPER(MID((SUBSTITUTE(TRIM($L326)," ","")),3,1)))&lt;=90))),AND(AND(CODE(UPPER(MID((SUBSTITUTE(TRIM($L326)," ","")),1,1)))&gt;=65,CODE(UPPER(MID((SUBSTITUTE(TRIM($L326)," ","")),1,1)))&lt;=90),AND(CODE(UPPER(MID((SUBSTITUTE(TRIM($L326)," ","")),2,1)))&gt;=65,CODE(UPPER(MID((SUBSTITUTE(TRIM($L326)," ","")),2,1)))&lt;=90),ISNUMBER(VALUE(MID((SUBSTITUTE(TRIM($L326)," ","")),3,1))))),AND(AND(CODE(UPPER(MID((SUBSTITUTE(TRIM($L326)," ","")),1,1)))&gt;=65,CODE(UPPER(MID((SUBSTITUTE(TRIM($L326)," ","")),1,1)))&lt;=90),AND(CODE(UPPER(MID((SUBSTITUTE(TRIM($L326)," ","")),2,1)))&gt;=65,CODE(UPPER(MID((SUBSTITUTE(TRIM($L326)," ","")),2,1)))&lt;=90),ISNUMBER(VALUE(MID((SUBSTITUTE(TRIM($L326)," ","")),3,1))),OR(ISNUMBER(VALUE(MID((SUBSTITUTE(TRIM($L326)," ","")),4,1))),AND(CODE(UPPER(MID((SUBSTITUTE(TRIM($L326)," ","")),4,1)))&gt;=65,CODE(UPPER(MID((SUBSTITUTE(TRIM($L326)," ","")),4,1)))&lt;=90)))))),"","Postcode '"&amp;$L326&amp;"' doesn't look like a valid "&amp;$N326&amp;" postcode - please check it. "),""))))))</f>
        <v/>
      </c>
    </row>
    <row r="327" spans="1:31" ht="15" customHeight="1" x14ac:dyDescent="0.25">
      <c r="A327" s="40"/>
      <c r="B327" s="43" t="str">
        <f>IF($A327="","",IFERROR(VLOOKUP($AC327,'PRODUCT DATA'!$NR$2:$NS$374,2,FALSE()),"UNKNOWN ITEM CODE - please check"))</f>
        <v/>
      </c>
      <c r="C327" s="39">
        <v>1</v>
      </c>
      <c r="D327" s="39"/>
      <c r="E327" s="40"/>
      <c r="F327" s="41"/>
      <c r="G327" s="39"/>
      <c r="H327" s="41"/>
      <c r="I327" s="41"/>
      <c r="J327" s="39"/>
      <c r="K327" s="41"/>
      <c r="L327" s="40"/>
      <c r="M327" s="40"/>
      <c r="N327" s="42" t="str">
        <f>IF($M327="","",IFERROR(INDEX('PRODUCT DATA'!$B$2:$B$58,MATCH(IF(UPPER($M327)="UK","GB",$M327),'PRODUCT DATA'!$B$2:$B$58,0)),IFERROR(INDEX('PRODUCT DATA'!$B$2:$B$58,MATCH(IF(UPPER($M327)="UK","GB",$M327),'PRODUCT DATA'!$A$2:$A$58,0)),"UNKNOWN COUNTRY - please check")))</f>
        <v/>
      </c>
      <c r="O327" s="41"/>
      <c r="P327" s="41"/>
      <c r="Q327" s="41"/>
      <c r="R327" s="41"/>
      <c r="S327" s="41"/>
      <c r="T327" s="41"/>
      <c r="U327" s="41"/>
      <c r="V327" s="43" t="str">
        <f t="shared" si="20"/>
        <v/>
      </c>
      <c r="W327" s="44" t="str">
        <f ca="1">IF(COUNTA($A327,$D327:$M327,$O327:$U327)=0,"",IF($A327="","Item Code; ","")&amp;IF(AND($A327&lt;&gt;"",ISNA(MATCH($AC327,'PRODUCT DATA'!$D$2:$D$394,0))),"Item Code; ","")&amp;IF($M327="","Country; ","")&amp;IF(AND($M327&lt;&gt;"",NOT(OR(NOT(ISNA(MATCH(IF(UPPER($M327)="UK","GB",$M327),'PRODUCT DATA'!$A$2:$A$58,0))),NOT(ISNA(MATCH(IF(UPPER($M327)="UK","GB",$M327),'PRODUCT DATA'!$B$2:$B$58,0)))))),"Country; ","")&amp;IF(AND($A327&lt;&gt;"",$M327&lt;&gt;"",NOT(ISNA(MATCH($AC327,'PRODUCT DATA'!$D$2:$D$394,0))),OR(NOT(ISNA(MATCH(IF(UPPER($M327)="UK","GB",$M327),'PRODUCT DATA'!$A$2:$A$58,0))),NOT(ISNA(MATCH(IF(UPPER($M327)="UK","GB",$M327),'PRODUCT DATA'!$B$2:$B$58,0)))),NOT(IFERROR(COUNTIF(OFFSET('PRODUCT DATA'!$F$2,0,MATCH($AC327,'PRODUCT DATA'!$F$1:$NN$1,0)-1,114,1),$N327)&gt;0,FALSE()))),IF(UPPER(IFERROR(OFFSET('PRODUCT DATA'!$C$2,MATCH($N327,'PRODUCT DATA'!$B$2:$B$58,0)-1,0),""))="NO","Alcohol Restriction; ","Item Code / Country combination; "),"")&amp;IF($C327="","Quantity; ","")&amp;IF(AND($C327&lt;&gt;"",OR(NOT(ISNUMBER($C327)),$C327&lt;1,$C327&gt;999,MOD($C327,1)&lt;&gt;0)),"Quantity; ","")&amp;IF($D327="","Recipient Name; ","")&amp;IF(LEN($D327)&gt;35,"Recipient Name; ","")&amp;IF($E327="","Recipient Phone; ","")&amp;IF(AND($E327&lt;&gt;"",OR(LEN($E327)&lt;6,LEN($E327)&gt;20,NOT(IFERROR(ISNUMBER(1*$E327),FALSE())))),"Recipient Phone; ","")&amp;IF(LEN($F327)&gt;35,"Recipient Company Name; ","")&amp;IF($G327="","Address Line 1; ","")&amp;IF(LEN($G327)&gt;35,"Address Line 1; ","")&amp;IF(LEN($H327)&gt;35,"Address Line 2; ","")&amp;IF(LEN($I327)&gt;35,"Address Line 3; ","")&amp;IF($J327="","Town; ","")&amp;IF(LEN($J327)&gt;35,"Town; ","")&amp;IF(AND($N327="IE",$K327=""),"County; ","")&amp;IF(LEN($AB327)&gt;35,"County; ","")&amp;IF(AND($L327="",AND($N327&lt;&gt;"AE",$N327&lt;&gt;"QA")),"Postcode; ","")&amp;IF(LEN($L327)&gt;35,"Postcode; ","")&amp;IF($AE327&lt;&gt;"","Postcode; ","")&amp;IF(LEN($O327)&gt;40,"Gift Message 1; ","")&amp;IF(LEN($P327)&gt;40,"Gift Message 2; ","")&amp;IF(LEN($Q327)&gt;40,"Gift Message 3; ","")&amp;IF(LEN($R327)&gt;40,"Gift Message 4; ","")&amp;IF(LEN($S327)&gt;40,"Gift Message 5; ","")&amp;IF(LEN($T327)&gt;40,"Gift Message 6; ","")&amp;IF(LEN($U327)&gt;40,"Gift Message 7; ",""))</f>
        <v/>
      </c>
      <c r="X327" s="44" t="str">
        <f ca="1">IF(COUNTA($A327,$D327:$M327,$O327:$U327)=0,"",IF($A327="","Enter the Item Code (hamper) - type it, paste it, or choose it from the dropdown. ","")&amp;IF(AND($A327&lt;&gt;"",ISNA(MATCH($AC327,'PRODUCT DATA'!$D$2:$D$394,0))),"This Item Code is not recognised. Check the code (case does not matter, but spelling and digits must match exactly) or choose it from the dropdown. ","")&amp;IF($M327="","Enter the Country after the Item Code - type or paste the name or the 2-letter code, or choose it from the dropdown. ","")&amp;IF(AND($M327&lt;&gt;"",NOT(OR(NOT(ISNA(MATCH(IF(UPPER($M327)="UK","GB",$M327),'PRODUCT DATA'!$A$2:$A$58,0))),NOT(ISNA(MATCH(IF(UPPER($M327)="UK","GB",$M327),'PRODUCT DATA'!$B$2:$B$58,0)))))),"This Country is not recognised as either a full name or a 2-letter code. Check the spelling (case does not matter) or choose it from the dropdown. ","")&amp;IF(AND($A327&lt;&gt;"",$M327&lt;&gt;"",NOT(ISNA(MATCH($AC327,'PRODUCT DATA'!$D$2:$D$394,0))),OR(NOT(ISNA(MATCH(IF(UPPER($M327)="UK","GB",$M327),'PRODUCT DATA'!$A$2:$A$58,0))),NOT(ISNA(MATCH(IF(UPPER($M327)="UK","GB",$M327),'PRODUCT DATA'!$B$2:$B$58,0)))),NOT(IFERROR(COUNTIF(OFFSET('PRODUCT DATA'!$F$2,0,MATCH($AC327,'PRODUCT DATA'!$F$1:$NN$1,0)-1,114,1),$N327)&gt;0,FALSE()))),IF(UPPER(IFERROR(OFFSET('PRODUCT DATA'!$C$2,MATCH($N327,'PRODUCT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"),"")&amp;IF($C327="","Enter Quantity. ","")&amp;IF(AND($C327&lt;&gt;"",OR(NOT(ISNUMBER($C327)),$C327&lt;1,$C327&gt;999,MOD($C327,1)&lt;&gt;0)),"Quantity must be a whole number from 1 to 999 (use a quantity above 1 only for a genuine bulk order of identical items to ONE address — otherwise use a separate row per recipient). ","")&amp;IF($D327="","Enter Recipient Name. ","")&amp;IF(LEN($D327)&gt;35,"Recipient Name exceeds 35 characters. ","")&amp;IF($E327="","Enter Recipient Phone. ","")&amp;IF(AND($E327&lt;&gt;"",OR(LEN($E327)&lt;6,LEN($E327)&gt;20,NOT(IFERROR(ISNUMBER(1*$E327),FALSE())))),"Phone must be the LOCAL number for the destination country: digits only, no +, spaces, or country code, 6 to 20 digits. ","")&amp;IF(LEN($F327)&gt;35,"Recipient Company Name exceeds 35 characters. ","")&amp;IF($G327="","Enter Address Line 1. ","")&amp;IF(LEN($G327)&gt;35,"Address Line 1 exceeds the 35-character SAP limit. ","")&amp;IF(LEN($H327)&gt;35,"Address Line 2 exceeds the 35-character SAP limit. ","")&amp;IF(LEN($I327)&gt;35,"Address Line 3 exceeds the 35-character SAP limit. ","")&amp;IF($J327="","Enter Town. This must never be left blank, even if there is no conventional town name. ","")&amp;IF(LEN($J327)&gt;35,"Town exceeds 35 characters. ","")&amp;IF(AND($N327="IE",$K327=""),"County is required for deliveries within the Republic of Ireland. ","")&amp;IF(LEN($AB327)&gt;35,"County exceeds 35 characters. ","")&amp;IF(AND($L327="",AND($N327&lt;&gt;"AE",$N327&lt;&gt;"QA")),"Postcode is required for the selected country. If there is genuinely no postcode, enter the first 3 characters of the area (e.g. D15). ","")&amp;IF(LEN($L327)&gt;35,"Postcode exceeds 35 characters. ","")&amp;IF($AE327&lt;&gt;"",$AE327,"")&amp;IF(LEN($O327)&gt;40,"Gift Message Line 1 exceeds 40 characters. ","")&amp;IF(LEN($P327)&gt;40,"Gift Message Line 2 exceeds 40 characters. ","")&amp;IF(LEN($Q327)&gt;40,"Gift Message Line 3 exceeds 40 characters. ","")&amp;IF(LEN($R327)&gt;40,"Gift Message Line 4 exceeds 40 characters. ","")&amp;IF(LEN($S327)&gt;40,"Gift Message Line 5 exceeds 40 characters. ","")&amp;IF(LEN($T327)&gt;40,"Gift Message Line 6 exceeds 40 characters. ","")&amp;IF(LEN($U327)&gt;40,"Gift Message Line 7 exceeds 40 characters. ",""))</f>
        <v/>
      </c>
      <c r="Y327" s="44" t="str">
        <f t="shared" si="21"/>
        <v/>
      </c>
      <c r="Z327" s="44"/>
      <c r="AA327" s="44"/>
      <c r="AB327" s="32" t="str">
        <f t="shared" si="22"/>
        <v/>
      </c>
      <c r="AC327" s="32" t="str">
        <f>IF($A327="","",IFERROR(LEFT(INDEX('PRODUCT DATA'!$NO$2:$NO$25,MATCH($A327,'PRODUCT DATA'!$NP$2:$NP$25,0)),FIND("|",INDEX('PRODUCT DATA'!$NO$2:$NO$25,MATCH($A327,'PRODUCT DATA'!$NP$2:$NP$25,0)))-1),$A327))</f>
        <v/>
      </c>
      <c r="AD327" s="45"/>
      <c r="AE327" s="45" t="str">
        <f t="shared" si="23"/>
        <v/>
      </c>
    </row>
    <row r="328" spans="1:31" ht="15" customHeight="1" x14ac:dyDescent="0.25">
      <c r="A328" s="40"/>
      <c r="B328" s="43" t="str">
        <f>IF($A328="","",IFERROR(VLOOKUP($AC328,'PRODUCT DATA'!$NR$2:$NS$374,2,FALSE()),"UNKNOWN ITEM CODE - please check"))</f>
        <v/>
      </c>
      <c r="C328" s="39">
        <v>1</v>
      </c>
      <c r="D328" s="39"/>
      <c r="E328" s="40"/>
      <c r="F328" s="41"/>
      <c r="G328" s="39"/>
      <c r="H328" s="41"/>
      <c r="I328" s="41"/>
      <c r="J328" s="39"/>
      <c r="K328" s="41"/>
      <c r="L328" s="40"/>
      <c r="M328" s="40"/>
      <c r="N328" s="42" t="str">
        <f>IF($M328="","",IFERROR(INDEX('PRODUCT DATA'!$B$2:$B$58,MATCH(IF(UPPER($M328)="UK","GB",$M328),'PRODUCT DATA'!$B$2:$B$58,0)),IFERROR(INDEX('PRODUCT DATA'!$B$2:$B$58,MATCH(IF(UPPER($M328)="UK","GB",$M328),'PRODUCT DATA'!$A$2:$A$58,0)),"UNKNOWN COUNTRY - please check")))</f>
        <v/>
      </c>
      <c r="O328" s="41"/>
      <c r="P328" s="41"/>
      <c r="Q328" s="41"/>
      <c r="R328" s="41"/>
      <c r="S328" s="41"/>
      <c r="T328" s="41"/>
      <c r="U328" s="41"/>
      <c r="V328" s="43" t="str">
        <f t="shared" si="20"/>
        <v/>
      </c>
      <c r="W328" s="44" t="str">
        <f ca="1">IF(COUNTA($A328,$D328:$M328,$O328:$U328)=0,"",IF($A328="","Item Code; ","")&amp;IF(AND($A328&lt;&gt;"",ISNA(MATCH($AC328,'PRODUCT DATA'!$D$2:$D$394,0))),"Item Code; ","")&amp;IF($M328="","Country; ","")&amp;IF(AND($M328&lt;&gt;"",NOT(OR(NOT(ISNA(MATCH(IF(UPPER($M328)="UK","GB",$M328),'PRODUCT DATA'!$A$2:$A$58,0))),NOT(ISNA(MATCH(IF(UPPER($M328)="UK","GB",$M328),'PRODUCT DATA'!$B$2:$B$58,0)))))),"Country; ","")&amp;IF(AND($A328&lt;&gt;"",$M328&lt;&gt;"",NOT(ISNA(MATCH($AC328,'PRODUCT DATA'!$D$2:$D$394,0))),OR(NOT(ISNA(MATCH(IF(UPPER($M328)="UK","GB",$M328),'PRODUCT DATA'!$A$2:$A$58,0))),NOT(ISNA(MATCH(IF(UPPER($M328)="UK","GB",$M328),'PRODUCT DATA'!$B$2:$B$58,0)))),NOT(IFERROR(COUNTIF(OFFSET('PRODUCT DATA'!$F$2,0,MATCH($AC328,'PRODUCT DATA'!$F$1:$NN$1,0)-1,114,1),$N328)&gt;0,FALSE()))),IF(UPPER(IFERROR(OFFSET('PRODUCT DATA'!$C$2,MATCH($N328,'PRODUCT DATA'!$B$2:$B$58,0)-1,0),""))="NO","Alcohol Restriction; ","Item Code / Country combination; "),"")&amp;IF($C328="","Quantity; ","")&amp;IF(AND($C328&lt;&gt;"",OR(NOT(ISNUMBER($C328)),$C328&lt;1,$C328&gt;999,MOD($C328,1)&lt;&gt;0)),"Quantity; ","")&amp;IF($D328="","Recipient Name; ","")&amp;IF(LEN($D328)&gt;35,"Recipient Name; ","")&amp;IF($E328="","Recipient Phone; ","")&amp;IF(AND($E328&lt;&gt;"",OR(LEN($E328)&lt;6,LEN($E328)&gt;20,NOT(IFERROR(ISNUMBER(1*$E328),FALSE())))),"Recipient Phone; ","")&amp;IF(LEN($F328)&gt;35,"Recipient Company Name; ","")&amp;IF($G328="","Address Line 1; ","")&amp;IF(LEN($G328)&gt;35,"Address Line 1; ","")&amp;IF(LEN($H328)&gt;35,"Address Line 2; ","")&amp;IF(LEN($I328)&gt;35,"Address Line 3; ","")&amp;IF($J328="","Town; ","")&amp;IF(LEN($J328)&gt;35,"Town; ","")&amp;IF(AND($N328="IE",$K328=""),"County; ","")&amp;IF(LEN($AB328)&gt;35,"County; ","")&amp;IF(AND($L328="",AND($N328&lt;&gt;"AE",$N328&lt;&gt;"QA")),"Postcode; ","")&amp;IF(LEN($L328)&gt;35,"Postcode; ","")&amp;IF($AE328&lt;&gt;"","Postcode; ","")&amp;IF(LEN($O328)&gt;40,"Gift Message 1; ","")&amp;IF(LEN($P328)&gt;40,"Gift Message 2; ","")&amp;IF(LEN($Q328)&gt;40,"Gift Message 3; ","")&amp;IF(LEN($R328)&gt;40,"Gift Message 4; ","")&amp;IF(LEN($S328)&gt;40,"Gift Message 5; ","")&amp;IF(LEN($T328)&gt;40,"Gift Message 6; ","")&amp;IF(LEN($U328)&gt;40,"Gift Message 7; ",""))</f>
        <v/>
      </c>
      <c r="X328" s="44" t="str">
        <f ca="1">IF(COUNTA($A328,$D328:$M328,$O328:$U328)=0,"",IF($A328="","Enter the Item Code (hamper) - type it, paste it, or choose it from the dropdown. ","")&amp;IF(AND($A328&lt;&gt;"",ISNA(MATCH($AC328,'PRODUCT DATA'!$D$2:$D$394,0))),"This Item Code is not recognised. Check the code (case does not matter, but spelling and digits must match exactly) or choose it from the dropdown. ","")&amp;IF($M328="","Enter the Country after the Item Code - type or paste the name or the 2-letter code, or choose it from the dropdown. ","")&amp;IF(AND($M328&lt;&gt;"",NOT(OR(NOT(ISNA(MATCH(IF(UPPER($M328)="UK","GB",$M328),'PRODUCT DATA'!$A$2:$A$58,0))),NOT(ISNA(MATCH(IF(UPPER($M328)="UK","GB",$M328),'PRODUCT DATA'!$B$2:$B$58,0)))))),"This Country is not recognised as either a full name or a 2-letter code. Check the spelling (case does not matter) or choose it from the dropdown. ","")&amp;IF(AND($A328&lt;&gt;"",$M328&lt;&gt;"",NOT(ISNA(MATCH($AC328,'PRODUCT DATA'!$D$2:$D$394,0))),OR(NOT(ISNA(MATCH(IF(UPPER($M328)="UK","GB",$M328),'PRODUCT DATA'!$A$2:$A$58,0))),NOT(ISNA(MATCH(IF(UPPER($M328)="UK","GB",$M328),'PRODUCT DATA'!$B$2:$B$58,0)))),NOT(IFERROR(COUNTIF(OFFSET('PRODUCT DATA'!$F$2,0,MATCH($AC328,'PRODUCT DATA'!$F$1:$NN$1,0)-1,114,1),$N328)&gt;0,FALSE()))),IF(UPPER(IFERROR(OFFSET('PRODUCT DATA'!$C$2,MATCH($N328,'PRODUCT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"),"")&amp;IF($C328="","Enter Quantity. ","")&amp;IF(AND($C328&lt;&gt;"",OR(NOT(ISNUMBER($C328)),$C328&lt;1,$C328&gt;999,MOD($C328,1)&lt;&gt;0)),"Quantity must be a whole number from 1 to 999 (use a quantity above 1 only for a genuine bulk order of identical items to ONE address — otherwise use a separate row per recipient). ","")&amp;IF($D328="","Enter Recipient Name. ","")&amp;IF(LEN($D328)&gt;35,"Recipient Name exceeds 35 characters. ","")&amp;IF($E328="","Enter Recipient Phone. ","")&amp;IF(AND($E328&lt;&gt;"",OR(LEN($E328)&lt;6,LEN($E328)&gt;20,NOT(IFERROR(ISNUMBER(1*$E328),FALSE())))),"Phone must be the LOCAL number for the destination country: digits only, no +, spaces, or country code, 6 to 20 digits. ","")&amp;IF(LEN($F328)&gt;35,"Recipient Company Name exceeds 35 characters. ","")&amp;IF($G328="","Enter Address Line 1. ","")&amp;IF(LEN($G328)&gt;35,"Address Line 1 exceeds the 35-character SAP limit. ","")&amp;IF(LEN($H328)&gt;35,"Address Line 2 exceeds the 35-character SAP limit. ","")&amp;IF(LEN($I328)&gt;35,"Address Line 3 exceeds the 35-character SAP limit. ","")&amp;IF($J328="","Enter Town. This must never be left blank, even if there is no conventional town name. ","")&amp;IF(LEN($J328)&gt;35,"Town exceeds 35 characters. ","")&amp;IF(AND($N328="IE",$K328=""),"County is required for deliveries within the Republic of Ireland. ","")&amp;IF(LEN($AB328)&gt;35,"County exceeds 35 characters. ","")&amp;IF(AND($L328="",AND($N328&lt;&gt;"AE",$N328&lt;&gt;"QA")),"Postcode is required for the selected country. If there is genuinely no postcode, enter the first 3 characters of the area (e.g. D15). ","")&amp;IF(LEN($L328)&gt;35,"Postcode exceeds 35 characters. ","")&amp;IF($AE328&lt;&gt;"",$AE328,"")&amp;IF(LEN($O328)&gt;40,"Gift Message Line 1 exceeds 40 characters. ","")&amp;IF(LEN($P328)&gt;40,"Gift Message Line 2 exceeds 40 characters. ","")&amp;IF(LEN($Q328)&gt;40,"Gift Message Line 3 exceeds 40 characters. ","")&amp;IF(LEN($R328)&gt;40,"Gift Message Line 4 exceeds 40 characters. ","")&amp;IF(LEN($S328)&gt;40,"Gift Message Line 5 exceeds 40 characters. ","")&amp;IF(LEN($T328)&gt;40,"Gift Message Line 6 exceeds 40 characters. ","")&amp;IF(LEN($U328)&gt;40,"Gift Message Line 7 exceeds 40 characters. ",""))</f>
        <v/>
      </c>
      <c r="Y328" s="44" t="str">
        <f t="shared" si="21"/>
        <v/>
      </c>
      <c r="Z328" s="44"/>
      <c r="AA328" s="44"/>
      <c r="AB328" s="32" t="str">
        <f t="shared" si="22"/>
        <v/>
      </c>
      <c r="AC328" s="32" t="str">
        <f>IF($A328="","",IFERROR(LEFT(INDEX('PRODUCT DATA'!$NO$2:$NO$25,MATCH($A328,'PRODUCT DATA'!$NP$2:$NP$25,0)),FIND("|",INDEX('PRODUCT DATA'!$NO$2:$NO$25,MATCH($A328,'PRODUCT DATA'!$NP$2:$NP$25,0)))-1),$A328))</f>
        <v/>
      </c>
      <c r="AD328" s="45"/>
      <c r="AE328" s="45" t="str">
        <f t="shared" si="23"/>
        <v/>
      </c>
    </row>
    <row r="329" spans="1:31" ht="15" customHeight="1" x14ac:dyDescent="0.25">
      <c r="A329" s="40"/>
      <c r="B329" s="43" t="str">
        <f>IF($A329="","",IFERROR(VLOOKUP($AC329,'PRODUCT DATA'!$NR$2:$NS$374,2,FALSE()),"UNKNOWN ITEM CODE - please check"))</f>
        <v/>
      </c>
      <c r="C329" s="39">
        <v>1</v>
      </c>
      <c r="D329" s="39"/>
      <c r="E329" s="40"/>
      <c r="F329" s="41"/>
      <c r="G329" s="39"/>
      <c r="H329" s="41"/>
      <c r="I329" s="41"/>
      <c r="J329" s="39"/>
      <c r="K329" s="41"/>
      <c r="L329" s="40"/>
      <c r="M329" s="40"/>
      <c r="N329" s="42" t="str">
        <f>IF($M329="","",IFERROR(INDEX('PRODUCT DATA'!$B$2:$B$58,MATCH(IF(UPPER($M329)="UK","GB",$M329),'PRODUCT DATA'!$B$2:$B$58,0)),IFERROR(INDEX('PRODUCT DATA'!$B$2:$B$58,MATCH(IF(UPPER($M329)="UK","GB",$M329),'PRODUCT DATA'!$A$2:$A$58,0)),"UNKNOWN COUNTRY - please check")))</f>
        <v/>
      </c>
      <c r="O329" s="41"/>
      <c r="P329" s="41"/>
      <c r="Q329" s="41"/>
      <c r="R329" s="41"/>
      <c r="S329" s="41"/>
      <c r="T329" s="41"/>
      <c r="U329" s="41"/>
      <c r="V329" s="43" t="str">
        <f t="shared" si="20"/>
        <v/>
      </c>
      <c r="W329" s="44" t="str">
        <f ca="1">IF(COUNTA($A329,$D329:$M329,$O329:$U329)=0,"",IF($A329="","Item Code; ","")&amp;IF(AND($A329&lt;&gt;"",ISNA(MATCH($AC329,'PRODUCT DATA'!$D$2:$D$394,0))),"Item Code; ","")&amp;IF($M329="","Country; ","")&amp;IF(AND($M329&lt;&gt;"",NOT(OR(NOT(ISNA(MATCH(IF(UPPER($M329)="UK","GB",$M329),'PRODUCT DATA'!$A$2:$A$58,0))),NOT(ISNA(MATCH(IF(UPPER($M329)="UK","GB",$M329),'PRODUCT DATA'!$B$2:$B$58,0)))))),"Country; ","")&amp;IF(AND($A329&lt;&gt;"",$M329&lt;&gt;"",NOT(ISNA(MATCH($AC329,'PRODUCT DATA'!$D$2:$D$394,0))),OR(NOT(ISNA(MATCH(IF(UPPER($M329)="UK","GB",$M329),'PRODUCT DATA'!$A$2:$A$58,0))),NOT(ISNA(MATCH(IF(UPPER($M329)="UK","GB",$M329),'PRODUCT DATA'!$B$2:$B$58,0)))),NOT(IFERROR(COUNTIF(OFFSET('PRODUCT DATA'!$F$2,0,MATCH($AC329,'PRODUCT DATA'!$F$1:$NN$1,0)-1,114,1),$N329)&gt;0,FALSE()))),IF(UPPER(IFERROR(OFFSET('PRODUCT DATA'!$C$2,MATCH($N329,'PRODUCT DATA'!$B$2:$B$58,0)-1,0),""))="NO","Alcohol Restriction; ","Item Code / Country combination; "),"")&amp;IF($C329="","Quantity; ","")&amp;IF(AND($C329&lt;&gt;"",OR(NOT(ISNUMBER($C329)),$C329&lt;1,$C329&gt;999,MOD($C329,1)&lt;&gt;0)),"Quantity; ","")&amp;IF($D329="","Recipient Name; ","")&amp;IF(LEN($D329)&gt;35,"Recipient Name; ","")&amp;IF($E329="","Recipient Phone; ","")&amp;IF(AND($E329&lt;&gt;"",OR(LEN($E329)&lt;6,LEN($E329)&gt;20,NOT(IFERROR(ISNUMBER(1*$E329),FALSE())))),"Recipient Phone; ","")&amp;IF(LEN($F329)&gt;35,"Recipient Company Name; ","")&amp;IF($G329="","Address Line 1; ","")&amp;IF(LEN($G329)&gt;35,"Address Line 1; ","")&amp;IF(LEN($H329)&gt;35,"Address Line 2; ","")&amp;IF(LEN($I329)&gt;35,"Address Line 3; ","")&amp;IF($J329="","Town; ","")&amp;IF(LEN($J329)&gt;35,"Town; ","")&amp;IF(AND($N329="IE",$K329=""),"County; ","")&amp;IF(LEN($AB329)&gt;35,"County; ","")&amp;IF(AND($L329="",AND($N329&lt;&gt;"AE",$N329&lt;&gt;"QA")),"Postcode; ","")&amp;IF(LEN($L329)&gt;35,"Postcode; ","")&amp;IF($AE329&lt;&gt;"","Postcode; ","")&amp;IF(LEN($O329)&gt;40,"Gift Message 1; ","")&amp;IF(LEN($P329)&gt;40,"Gift Message 2; ","")&amp;IF(LEN($Q329)&gt;40,"Gift Message 3; ","")&amp;IF(LEN($R329)&gt;40,"Gift Message 4; ","")&amp;IF(LEN($S329)&gt;40,"Gift Message 5; ","")&amp;IF(LEN($T329)&gt;40,"Gift Message 6; ","")&amp;IF(LEN($U329)&gt;40,"Gift Message 7; ",""))</f>
        <v/>
      </c>
      <c r="X329" s="44" t="str">
        <f ca="1">IF(COUNTA($A329,$D329:$M329,$O329:$U329)=0,"",IF($A329="","Enter the Item Code (hamper) - type it, paste it, or choose it from the dropdown. ","")&amp;IF(AND($A329&lt;&gt;"",ISNA(MATCH($AC329,'PRODUCT DATA'!$D$2:$D$394,0))),"This Item Code is not recognised. Check the code (case does not matter, but spelling and digits must match exactly) or choose it from the dropdown. ","")&amp;IF($M329="","Enter the Country after the Item Code - type or paste the name or the 2-letter code, or choose it from the dropdown. ","")&amp;IF(AND($M329&lt;&gt;"",NOT(OR(NOT(ISNA(MATCH(IF(UPPER($M329)="UK","GB",$M329),'PRODUCT DATA'!$A$2:$A$58,0))),NOT(ISNA(MATCH(IF(UPPER($M329)="UK","GB",$M329),'PRODUCT DATA'!$B$2:$B$58,0)))))),"This Country is not recognised as either a full name or a 2-letter code. Check the spelling (case does not matter) or choose it from the dropdown. ","")&amp;IF(AND($A329&lt;&gt;"",$M329&lt;&gt;"",NOT(ISNA(MATCH($AC329,'PRODUCT DATA'!$D$2:$D$394,0))),OR(NOT(ISNA(MATCH(IF(UPPER($M329)="UK","GB",$M329),'PRODUCT DATA'!$A$2:$A$58,0))),NOT(ISNA(MATCH(IF(UPPER($M329)="UK","GB",$M329),'PRODUCT DATA'!$B$2:$B$58,0)))),NOT(IFERROR(COUNTIF(OFFSET('PRODUCT DATA'!$F$2,0,MATCH($AC329,'PRODUCT DATA'!$F$1:$NN$1,0)-1,114,1),$N329)&gt;0,FALSE()))),IF(UPPER(IFERROR(OFFSET('PRODUCT DATA'!$C$2,MATCH($N329,'PRODUCT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"),"")&amp;IF($C329="","Enter Quantity. ","")&amp;IF(AND($C329&lt;&gt;"",OR(NOT(ISNUMBER($C329)),$C329&lt;1,$C329&gt;999,MOD($C329,1)&lt;&gt;0)),"Quantity must be a whole number from 1 to 999 (use a quantity above 1 only for a genuine bulk order of identical items to ONE address — otherwise use a separate row per recipient). ","")&amp;IF($D329="","Enter Recipient Name. ","")&amp;IF(LEN($D329)&gt;35,"Recipient Name exceeds 35 characters. ","")&amp;IF($E329="","Enter Recipient Phone. ","")&amp;IF(AND($E329&lt;&gt;"",OR(LEN($E329)&lt;6,LEN($E329)&gt;20,NOT(IFERROR(ISNUMBER(1*$E329),FALSE())))),"Phone must be the LOCAL number for the destination country: digits only, no +, spaces, or country code, 6 to 20 digits. ","")&amp;IF(LEN($F329)&gt;35,"Recipient Company Name exceeds 35 characters. ","")&amp;IF($G329="","Enter Address Line 1. ","")&amp;IF(LEN($G329)&gt;35,"Address Line 1 exceeds the 35-character SAP limit. ","")&amp;IF(LEN($H329)&gt;35,"Address Line 2 exceeds the 35-character SAP limit. ","")&amp;IF(LEN($I329)&gt;35,"Address Line 3 exceeds the 35-character SAP limit. ","")&amp;IF($J329="","Enter Town. This must never be left blank, even if there is no conventional town name. ","")&amp;IF(LEN($J329)&gt;35,"Town exceeds 35 characters. ","")&amp;IF(AND($N329="IE",$K329=""),"County is required for deliveries within the Republic of Ireland. ","")&amp;IF(LEN($AB329)&gt;35,"County exceeds 35 characters. ","")&amp;IF(AND($L329="",AND($N329&lt;&gt;"AE",$N329&lt;&gt;"QA")),"Postcode is required for the selected country. If there is genuinely no postcode, enter the first 3 characters of the area (e.g. D15). ","")&amp;IF(LEN($L329)&gt;35,"Postcode exceeds 35 characters. ","")&amp;IF($AE329&lt;&gt;"",$AE329,"")&amp;IF(LEN($O329)&gt;40,"Gift Message Line 1 exceeds 40 characters. ","")&amp;IF(LEN($P329)&gt;40,"Gift Message Line 2 exceeds 40 characters. ","")&amp;IF(LEN($Q329)&gt;40,"Gift Message Line 3 exceeds 40 characters. ","")&amp;IF(LEN($R329)&gt;40,"Gift Message Line 4 exceeds 40 characters. ","")&amp;IF(LEN($S329)&gt;40,"Gift Message Line 5 exceeds 40 characters. ","")&amp;IF(LEN($T329)&gt;40,"Gift Message Line 6 exceeds 40 characters. ","")&amp;IF(LEN($U329)&gt;40,"Gift Message Line 7 exceeds 40 characters. ",""))</f>
        <v/>
      </c>
      <c r="Y329" s="44" t="str">
        <f t="shared" si="21"/>
        <v/>
      </c>
      <c r="Z329" s="44"/>
      <c r="AA329" s="44"/>
      <c r="AB329" s="32" t="str">
        <f t="shared" si="22"/>
        <v/>
      </c>
      <c r="AC329" s="32" t="str">
        <f>IF($A329="","",IFERROR(LEFT(INDEX('PRODUCT DATA'!$NO$2:$NO$25,MATCH($A329,'PRODUCT DATA'!$NP$2:$NP$25,0)),FIND("|",INDEX('PRODUCT DATA'!$NO$2:$NO$25,MATCH($A329,'PRODUCT DATA'!$NP$2:$NP$25,0)))-1),$A329))</f>
        <v/>
      </c>
      <c r="AD329" s="45"/>
      <c r="AE329" s="45" t="str">
        <f t="shared" si="23"/>
        <v/>
      </c>
    </row>
    <row r="330" spans="1:31" ht="15" customHeight="1" x14ac:dyDescent="0.25">
      <c r="A330" s="40"/>
      <c r="B330" s="43" t="str">
        <f>IF($A330="","",IFERROR(VLOOKUP($AC330,'PRODUCT DATA'!$NR$2:$NS$374,2,FALSE()),"UNKNOWN ITEM CODE - please check"))</f>
        <v/>
      </c>
      <c r="C330" s="39">
        <v>1</v>
      </c>
      <c r="D330" s="39"/>
      <c r="E330" s="40"/>
      <c r="F330" s="41"/>
      <c r="G330" s="39"/>
      <c r="H330" s="41"/>
      <c r="I330" s="41"/>
      <c r="J330" s="39"/>
      <c r="K330" s="41"/>
      <c r="L330" s="40"/>
      <c r="M330" s="40"/>
      <c r="N330" s="42" t="str">
        <f>IF($M330="","",IFERROR(INDEX('PRODUCT DATA'!$B$2:$B$58,MATCH(IF(UPPER($M330)="UK","GB",$M330),'PRODUCT DATA'!$B$2:$B$58,0)),IFERROR(INDEX('PRODUCT DATA'!$B$2:$B$58,MATCH(IF(UPPER($M330)="UK","GB",$M330),'PRODUCT DATA'!$A$2:$A$58,0)),"UNKNOWN COUNTRY - please check")))</f>
        <v/>
      </c>
      <c r="O330" s="41"/>
      <c r="P330" s="41"/>
      <c r="Q330" s="41"/>
      <c r="R330" s="41"/>
      <c r="S330" s="41"/>
      <c r="T330" s="41"/>
      <c r="U330" s="41"/>
      <c r="V330" s="43" t="str">
        <f t="shared" si="20"/>
        <v/>
      </c>
      <c r="W330" s="44" t="str">
        <f ca="1">IF(COUNTA($A330,$D330:$M330,$O330:$U330)=0,"",IF($A330="","Item Code; ","")&amp;IF(AND($A330&lt;&gt;"",ISNA(MATCH($AC330,'PRODUCT DATA'!$D$2:$D$394,0))),"Item Code; ","")&amp;IF($M330="","Country; ","")&amp;IF(AND($M330&lt;&gt;"",NOT(OR(NOT(ISNA(MATCH(IF(UPPER($M330)="UK","GB",$M330),'PRODUCT DATA'!$A$2:$A$58,0))),NOT(ISNA(MATCH(IF(UPPER($M330)="UK","GB",$M330),'PRODUCT DATA'!$B$2:$B$58,0)))))),"Country; ","")&amp;IF(AND($A330&lt;&gt;"",$M330&lt;&gt;"",NOT(ISNA(MATCH($AC330,'PRODUCT DATA'!$D$2:$D$394,0))),OR(NOT(ISNA(MATCH(IF(UPPER($M330)="UK","GB",$M330),'PRODUCT DATA'!$A$2:$A$58,0))),NOT(ISNA(MATCH(IF(UPPER($M330)="UK","GB",$M330),'PRODUCT DATA'!$B$2:$B$58,0)))),NOT(IFERROR(COUNTIF(OFFSET('PRODUCT DATA'!$F$2,0,MATCH($AC330,'PRODUCT DATA'!$F$1:$NN$1,0)-1,114,1),$N330)&gt;0,FALSE()))),IF(UPPER(IFERROR(OFFSET('PRODUCT DATA'!$C$2,MATCH($N330,'PRODUCT DATA'!$B$2:$B$58,0)-1,0),""))="NO","Alcohol Restriction; ","Item Code / Country combination; "),"")&amp;IF($C330="","Quantity; ","")&amp;IF(AND($C330&lt;&gt;"",OR(NOT(ISNUMBER($C330)),$C330&lt;1,$C330&gt;999,MOD($C330,1)&lt;&gt;0)),"Quantity; ","")&amp;IF($D330="","Recipient Name; ","")&amp;IF(LEN($D330)&gt;35,"Recipient Name; ","")&amp;IF($E330="","Recipient Phone; ","")&amp;IF(AND($E330&lt;&gt;"",OR(LEN($E330)&lt;6,LEN($E330)&gt;20,NOT(IFERROR(ISNUMBER(1*$E330),FALSE())))),"Recipient Phone; ","")&amp;IF(LEN($F330)&gt;35,"Recipient Company Name; ","")&amp;IF($G330="","Address Line 1; ","")&amp;IF(LEN($G330)&gt;35,"Address Line 1; ","")&amp;IF(LEN($H330)&gt;35,"Address Line 2; ","")&amp;IF(LEN($I330)&gt;35,"Address Line 3; ","")&amp;IF($J330="","Town; ","")&amp;IF(LEN($J330)&gt;35,"Town; ","")&amp;IF(AND($N330="IE",$K330=""),"County; ","")&amp;IF(LEN($AB330)&gt;35,"County; ","")&amp;IF(AND($L330="",AND($N330&lt;&gt;"AE",$N330&lt;&gt;"QA")),"Postcode; ","")&amp;IF(LEN($L330)&gt;35,"Postcode; ","")&amp;IF($AE330&lt;&gt;"","Postcode; ","")&amp;IF(LEN($O330)&gt;40,"Gift Message 1; ","")&amp;IF(LEN($P330)&gt;40,"Gift Message 2; ","")&amp;IF(LEN($Q330)&gt;40,"Gift Message 3; ","")&amp;IF(LEN($R330)&gt;40,"Gift Message 4; ","")&amp;IF(LEN($S330)&gt;40,"Gift Message 5; ","")&amp;IF(LEN($T330)&gt;40,"Gift Message 6; ","")&amp;IF(LEN($U330)&gt;40,"Gift Message 7; ",""))</f>
        <v/>
      </c>
      <c r="X330" s="44" t="str">
        <f ca="1">IF(COUNTA($A330,$D330:$M330,$O330:$U330)=0,"",IF($A330="","Enter the Item Code (hamper) - type it, paste it, or choose it from the dropdown. ","")&amp;IF(AND($A330&lt;&gt;"",ISNA(MATCH($AC330,'PRODUCT DATA'!$D$2:$D$394,0))),"This Item Code is not recognised. Check the code (case does not matter, but spelling and digits must match exactly) or choose it from the dropdown. ","")&amp;IF($M330="","Enter the Country after the Item Code - type or paste the name or the 2-letter code, or choose it from the dropdown. ","")&amp;IF(AND($M330&lt;&gt;"",NOT(OR(NOT(ISNA(MATCH(IF(UPPER($M330)="UK","GB",$M330),'PRODUCT DATA'!$A$2:$A$58,0))),NOT(ISNA(MATCH(IF(UPPER($M330)="UK","GB",$M330),'PRODUCT DATA'!$B$2:$B$58,0)))))),"This Country is not recognised as either a full name or a 2-letter code. Check the spelling (case does not matter) or choose it from the dropdown. ","")&amp;IF(AND($A330&lt;&gt;"",$M330&lt;&gt;"",NOT(ISNA(MATCH($AC330,'PRODUCT DATA'!$D$2:$D$394,0))),OR(NOT(ISNA(MATCH(IF(UPPER($M330)="UK","GB",$M330),'PRODUCT DATA'!$A$2:$A$58,0))),NOT(ISNA(MATCH(IF(UPPER($M330)="UK","GB",$M330),'PRODUCT DATA'!$B$2:$B$58,0)))),NOT(IFERROR(COUNTIF(OFFSET('PRODUCT DATA'!$F$2,0,MATCH($AC330,'PRODUCT DATA'!$F$1:$NN$1,0)-1,114,1),$N330)&gt;0,FALSE()))),IF(UPPER(IFERROR(OFFSET('PRODUCT DATA'!$C$2,MATCH($N330,'PRODUCT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"),"")&amp;IF($C330="","Enter Quantity. ","")&amp;IF(AND($C330&lt;&gt;"",OR(NOT(ISNUMBER($C330)),$C330&lt;1,$C330&gt;999,MOD($C330,1)&lt;&gt;0)),"Quantity must be a whole number from 1 to 999 (use a quantity above 1 only for a genuine bulk order of identical items to ONE address — otherwise use a separate row per recipient). ","")&amp;IF($D330="","Enter Recipient Name. ","")&amp;IF(LEN($D330)&gt;35,"Recipient Name exceeds 35 characters. ","")&amp;IF($E330="","Enter Recipient Phone. ","")&amp;IF(AND($E330&lt;&gt;"",OR(LEN($E330)&lt;6,LEN($E330)&gt;20,NOT(IFERROR(ISNUMBER(1*$E330),FALSE())))),"Phone must be the LOCAL number for the destination country: digits only, no +, spaces, or country code, 6 to 20 digits. ","")&amp;IF(LEN($F330)&gt;35,"Recipient Company Name exceeds 35 characters. ","")&amp;IF($G330="","Enter Address Line 1. ","")&amp;IF(LEN($G330)&gt;35,"Address Line 1 exceeds the 35-character SAP limit. ","")&amp;IF(LEN($H330)&gt;35,"Address Line 2 exceeds the 35-character SAP limit. ","")&amp;IF(LEN($I330)&gt;35,"Address Line 3 exceeds the 35-character SAP limit. ","")&amp;IF($J330="","Enter Town. This must never be left blank, even if there is no conventional town name. ","")&amp;IF(LEN($J330)&gt;35,"Town exceeds 35 characters. ","")&amp;IF(AND($N330="IE",$K330=""),"County is required for deliveries within the Republic of Ireland. ","")&amp;IF(LEN($AB330)&gt;35,"County exceeds 35 characters. ","")&amp;IF(AND($L330="",AND($N330&lt;&gt;"AE",$N330&lt;&gt;"QA")),"Postcode is required for the selected country. If there is genuinely no postcode, enter the first 3 characters of the area (e.g. D15). ","")&amp;IF(LEN($L330)&gt;35,"Postcode exceeds 35 characters. ","")&amp;IF($AE330&lt;&gt;"",$AE330,"")&amp;IF(LEN($O330)&gt;40,"Gift Message Line 1 exceeds 40 characters. ","")&amp;IF(LEN($P330)&gt;40,"Gift Message Line 2 exceeds 40 characters. ","")&amp;IF(LEN($Q330)&gt;40,"Gift Message Line 3 exceeds 40 characters. ","")&amp;IF(LEN($R330)&gt;40,"Gift Message Line 4 exceeds 40 characters. ","")&amp;IF(LEN($S330)&gt;40,"Gift Message Line 5 exceeds 40 characters. ","")&amp;IF(LEN($T330)&gt;40,"Gift Message Line 6 exceeds 40 characters. ","")&amp;IF(LEN($U330)&gt;40,"Gift Message Line 7 exceeds 40 characters. ",""))</f>
        <v/>
      </c>
      <c r="Y330" s="44" t="str">
        <f t="shared" si="21"/>
        <v/>
      </c>
      <c r="Z330" s="44"/>
      <c r="AA330" s="44"/>
      <c r="AB330" s="32" t="str">
        <f t="shared" si="22"/>
        <v/>
      </c>
      <c r="AC330" s="32" t="str">
        <f>IF($A330="","",IFERROR(LEFT(INDEX('PRODUCT DATA'!$NO$2:$NO$25,MATCH($A330,'PRODUCT DATA'!$NP$2:$NP$25,0)),FIND("|",INDEX('PRODUCT DATA'!$NO$2:$NO$25,MATCH($A330,'PRODUCT DATA'!$NP$2:$NP$25,0)))-1),$A330))</f>
        <v/>
      </c>
      <c r="AD330" s="45"/>
      <c r="AE330" s="45" t="str">
        <f t="shared" si="23"/>
        <v/>
      </c>
    </row>
    <row r="331" spans="1:31" ht="15" customHeight="1" x14ac:dyDescent="0.25">
      <c r="A331" s="40"/>
      <c r="B331" s="43" t="str">
        <f>IF($A331="","",IFERROR(VLOOKUP($AC331,'PRODUCT DATA'!$NR$2:$NS$374,2,FALSE()),"UNKNOWN ITEM CODE - please check"))</f>
        <v/>
      </c>
      <c r="C331" s="39">
        <v>1</v>
      </c>
      <c r="D331" s="39"/>
      <c r="E331" s="40"/>
      <c r="F331" s="41"/>
      <c r="G331" s="39"/>
      <c r="H331" s="41"/>
      <c r="I331" s="41"/>
      <c r="J331" s="39"/>
      <c r="K331" s="41"/>
      <c r="L331" s="40"/>
      <c r="M331" s="40"/>
      <c r="N331" s="42" t="str">
        <f>IF($M331="","",IFERROR(INDEX('PRODUCT DATA'!$B$2:$B$58,MATCH(IF(UPPER($M331)="UK","GB",$M331),'PRODUCT DATA'!$B$2:$B$58,0)),IFERROR(INDEX('PRODUCT DATA'!$B$2:$B$58,MATCH(IF(UPPER($M331)="UK","GB",$M331),'PRODUCT DATA'!$A$2:$A$58,0)),"UNKNOWN COUNTRY - please check")))</f>
        <v/>
      </c>
      <c r="O331" s="41"/>
      <c r="P331" s="41"/>
      <c r="Q331" s="41"/>
      <c r="R331" s="41"/>
      <c r="S331" s="41"/>
      <c r="T331" s="41"/>
      <c r="U331" s="41"/>
      <c r="V331" s="43" t="str">
        <f t="shared" si="20"/>
        <v/>
      </c>
      <c r="W331" s="44" t="str">
        <f ca="1">IF(COUNTA($A331,$D331:$M331,$O331:$U331)=0,"",IF($A331="","Item Code; ","")&amp;IF(AND($A331&lt;&gt;"",ISNA(MATCH($AC331,'PRODUCT DATA'!$D$2:$D$394,0))),"Item Code; ","")&amp;IF($M331="","Country; ","")&amp;IF(AND($M331&lt;&gt;"",NOT(OR(NOT(ISNA(MATCH(IF(UPPER($M331)="UK","GB",$M331),'PRODUCT DATA'!$A$2:$A$58,0))),NOT(ISNA(MATCH(IF(UPPER($M331)="UK","GB",$M331),'PRODUCT DATA'!$B$2:$B$58,0)))))),"Country; ","")&amp;IF(AND($A331&lt;&gt;"",$M331&lt;&gt;"",NOT(ISNA(MATCH($AC331,'PRODUCT DATA'!$D$2:$D$394,0))),OR(NOT(ISNA(MATCH(IF(UPPER($M331)="UK","GB",$M331),'PRODUCT DATA'!$A$2:$A$58,0))),NOT(ISNA(MATCH(IF(UPPER($M331)="UK","GB",$M331),'PRODUCT DATA'!$B$2:$B$58,0)))),NOT(IFERROR(COUNTIF(OFFSET('PRODUCT DATA'!$F$2,0,MATCH($AC331,'PRODUCT DATA'!$F$1:$NN$1,0)-1,114,1),$N331)&gt;0,FALSE()))),IF(UPPER(IFERROR(OFFSET('PRODUCT DATA'!$C$2,MATCH($N331,'PRODUCT DATA'!$B$2:$B$58,0)-1,0),""))="NO","Alcohol Restriction; ","Item Code / Country combination; "),"")&amp;IF($C331="","Quantity; ","")&amp;IF(AND($C331&lt;&gt;"",OR(NOT(ISNUMBER($C331)),$C331&lt;1,$C331&gt;999,MOD($C331,1)&lt;&gt;0)),"Quantity; ","")&amp;IF($D331="","Recipient Name; ","")&amp;IF(LEN($D331)&gt;35,"Recipient Name; ","")&amp;IF($E331="","Recipient Phone; ","")&amp;IF(AND($E331&lt;&gt;"",OR(LEN($E331)&lt;6,LEN($E331)&gt;20,NOT(IFERROR(ISNUMBER(1*$E331),FALSE())))),"Recipient Phone; ","")&amp;IF(LEN($F331)&gt;35,"Recipient Company Name; ","")&amp;IF($G331="","Address Line 1; ","")&amp;IF(LEN($G331)&gt;35,"Address Line 1; ","")&amp;IF(LEN($H331)&gt;35,"Address Line 2; ","")&amp;IF(LEN($I331)&gt;35,"Address Line 3; ","")&amp;IF($J331="","Town; ","")&amp;IF(LEN($J331)&gt;35,"Town; ","")&amp;IF(AND($N331="IE",$K331=""),"County; ","")&amp;IF(LEN($AB331)&gt;35,"County; ","")&amp;IF(AND($L331="",AND($N331&lt;&gt;"AE",$N331&lt;&gt;"QA")),"Postcode; ","")&amp;IF(LEN($L331)&gt;35,"Postcode; ","")&amp;IF($AE331&lt;&gt;"","Postcode; ","")&amp;IF(LEN($O331)&gt;40,"Gift Message 1; ","")&amp;IF(LEN($P331)&gt;40,"Gift Message 2; ","")&amp;IF(LEN($Q331)&gt;40,"Gift Message 3; ","")&amp;IF(LEN($R331)&gt;40,"Gift Message 4; ","")&amp;IF(LEN($S331)&gt;40,"Gift Message 5; ","")&amp;IF(LEN($T331)&gt;40,"Gift Message 6; ","")&amp;IF(LEN($U331)&gt;40,"Gift Message 7; ",""))</f>
        <v/>
      </c>
      <c r="X331" s="44" t="str">
        <f ca="1">IF(COUNTA($A331,$D331:$M331,$O331:$U331)=0,"",IF($A331="","Enter the Item Code (hamper) - type it, paste it, or choose it from the dropdown. ","")&amp;IF(AND($A331&lt;&gt;"",ISNA(MATCH($AC331,'PRODUCT DATA'!$D$2:$D$394,0))),"This Item Code is not recognised. Check the code (case does not matter, but spelling and digits must match exactly) or choose it from the dropdown. ","")&amp;IF($M331="","Enter the Country after the Item Code - type or paste the name or the 2-letter code, or choose it from the dropdown. ","")&amp;IF(AND($M331&lt;&gt;"",NOT(OR(NOT(ISNA(MATCH(IF(UPPER($M331)="UK","GB",$M331),'PRODUCT DATA'!$A$2:$A$58,0))),NOT(ISNA(MATCH(IF(UPPER($M331)="UK","GB",$M331),'PRODUCT DATA'!$B$2:$B$58,0)))))),"This Country is not recognised as either a full name or a 2-letter code. Check the spelling (case does not matter) or choose it from the dropdown. ","")&amp;IF(AND($A331&lt;&gt;"",$M331&lt;&gt;"",NOT(ISNA(MATCH($AC331,'PRODUCT DATA'!$D$2:$D$394,0))),OR(NOT(ISNA(MATCH(IF(UPPER($M331)="UK","GB",$M331),'PRODUCT DATA'!$A$2:$A$58,0))),NOT(ISNA(MATCH(IF(UPPER($M331)="UK","GB",$M331),'PRODUCT DATA'!$B$2:$B$58,0)))),NOT(IFERROR(COUNTIF(OFFSET('PRODUCT DATA'!$F$2,0,MATCH($AC331,'PRODUCT DATA'!$F$1:$NN$1,0)-1,114,1),$N331)&gt;0,FALSE()))),IF(UPPER(IFERROR(OFFSET('PRODUCT DATA'!$C$2,MATCH($N331,'PRODUCT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"),"")&amp;IF($C331="","Enter Quantity. ","")&amp;IF(AND($C331&lt;&gt;"",OR(NOT(ISNUMBER($C331)),$C331&lt;1,$C331&gt;999,MOD($C331,1)&lt;&gt;0)),"Quantity must be a whole number from 1 to 999 (use a quantity above 1 only for a genuine bulk order of identical items to ONE address — otherwise use a separate row per recipient). ","")&amp;IF($D331="","Enter Recipient Name. ","")&amp;IF(LEN($D331)&gt;35,"Recipient Name exceeds 35 characters. ","")&amp;IF($E331="","Enter Recipient Phone. ","")&amp;IF(AND($E331&lt;&gt;"",OR(LEN($E331)&lt;6,LEN($E331)&gt;20,NOT(IFERROR(ISNUMBER(1*$E331),FALSE())))),"Phone must be the LOCAL number for the destination country: digits only, no +, spaces, or country code, 6 to 20 digits. ","")&amp;IF(LEN($F331)&gt;35,"Recipient Company Name exceeds 35 characters. ","")&amp;IF($G331="","Enter Address Line 1. ","")&amp;IF(LEN($G331)&gt;35,"Address Line 1 exceeds the 35-character SAP limit. ","")&amp;IF(LEN($H331)&gt;35,"Address Line 2 exceeds the 35-character SAP limit. ","")&amp;IF(LEN($I331)&gt;35,"Address Line 3 exceeds the 35-character SAP limit. ","")&amp;IF($J331="","Enter Town. This must never be left blank, even if there is no conventional town name. ","")&amp;IF(LEN($J331)&gt;35,"Town exceeds 35 characters. ","")&amp;IF(AND($N331="IE",$K331=""),"County is required for deliveries within the Republic of Ireland. ","")&amp;IF(LEN($AB331)&gt;35,"County exceeds 35 characters. ","")&amp;IF(AND($L331="",AND($N331&lt;&gt;"AE",$N331&lt;&gt;"QA")),"Postcode is required for the selected country. If there is genuinely no postcode, enter the first 3 characters of the area (e.g. D15). ","")&amp;IF(LEN($L331)&gt;35,"Postcode exceeds 35 characters. ","")&amp;IF($AE331&lt;&gt;"",$AE331,"")&amp;IF(LEN($O331)&gt;40,"Gift Message Line 1 exceeds 40 characters. ","")&amp;IF(LEN($P331)&gt;40,"Gift Message Line 2 exceeds 40 characters. ","")&amp;IF(LEN($Q331)&gt;40,"Gift Message Line 3 exceeds 40 characters. ","")&amp;IF(LEN($R331)&gt;40,"Gift Message Line 4 exceeds 40 characters. ","")&amp;IF(LEN($S331)&gt;40,"Gift Message Line 5 exceeds 40 characters. ","")&amp;IF(LEN($T331)&gt;40,"Gift Message Line 6 exceeds 40 characters. ","")&amp;IF(LEN($U331)&gt;40,"Gift Message Line 7 exceeds 40 characters. ",""))</f>
        <v/>
      </c>
      <c r="Y331" s="44" t="str">
        <f t="shared" si="21"/>
        <v/>
      </c>
      <c r="Z331" s="44"/>
      <c r="AA331" s="44"/>
      <c r="AB331" s="32" t="str">
        <f t="shared" si="22"/>
        <v/>
      </c>
      <c r="AC331" s="32" t="str">
        <f>IF($A331="","",IFERROR(LEFT(INDEX('PRODUCT DATA'!$NO$2:$NO$25,MATCH($A331,'PRODUCT DATA'!$NP$2:$NP$25,0)),FIND("|",INDEX('PRODUCT DATA'!$NO$2:$NO$25,MATCH($A331,'PRODUCT DATA'!$NP$2:$NP$25,0)))-1),$A331))</f>
        <v/>
      </c>
      <c r="AD331" s="45"/>
      <c r="AE331" s="45" t="str">
        <f t="shared" si="23"/>
        <v/>
      </c>
    </row>
    <row r="332" spans="1:31" ht="15" customHeight="1" x14ac:dyDescent="0.25">
      <c r="A332" s="40"/>
      <c r="B332" s="43" t="str">
        <f>IF($A332="","",IFERROR(VLOOKUP($AC332,'PRODUCT DATA'!$NR$2:$NS$374,2,FALSE()),"UNKNOWN ITEM CODE - please check"))</f>
        <v/>
      </c>
      <c r="C332" s="39">
        <v>1</v>
      </c>
      <c r="D332" s="39"/>
      <c r="E332" s="40"/>
      <c r="F332" s="41"/>
      <c r="G332" s="39"/>
      <c r="H332" s="41"/>
      <c r="I332" s="41"/>
      <c r="J332" s="39"/>
      <c r="K332" s="41"/>
      <c r="L332" s="40"/>
      <c r="M332" s="40"/>
      <c r="N332" s="42" t="str">
        <f>IF($M332="","",IFERROR(INDEX('PRODUCT DATA'!$B$2:$B$58,MATCH(IF(UPPER($M332)="UK","GB",$M332),'PRODUCT DATA'!$B$2:$B$58,0)),IFERROR(INDEX('PRODUCT DATA'!$B$2:$B$58,MATCH(IF(UPPER($M332)="UK","GB",$M332),'PRODUCT DATA'!$A$2:$A$58,0)),"UNKNOWN COUNTRY - please check")))</f>
        <v/>
      </c>
      <c r="O332" s="41"/>
      <c r="P332" s="41"/>
      <c r="Q332" s="41"/>
      <c r="R332" s="41"/>
      <c r="S332" s="41"/>
      <c r="T332" s="41"/>
      <c r="U332" s="41"/>
      <c r="V332" s="43" t="str">
        <f t="shared" si="20"/>
        <v/>
      </c>
      <c r="W332" s="44" t="str">
        <f ca="1">IF(COUNTA($A332,$D332:$M332,$O332:$U332)=0,"",IF($A332="","Item Code; ","")&amp;IF(AND($A332&lt;&gt;"",ISNA(MATCH($AC332,'PRODUCT DATA'!$D$2:$D$394,0))),"Item Code; ","")&amp;IF($M332="","Country; ","")&amp;IF(AND($M332&lt;&gt;"",NOT(OR(NOT(ISNA(MATCH(IF(UPPER($M332)="UK","GB",$M332),'PRODUCT DATA'!$A$2:$A$58,0))),NOT(ISNA(MATCH(IF(UPPER($M332)="UK","GB",$M332),'PRODUCT DATA'!$B$2:$B$58,0)))))),"Country; ","")&amp;IF(AND($A332&lt;&gt;"",$M332&lt;&gt;"",NOT(ISNA(MATCH($AC332,'PRODUCT DATA'!$D$2:$D$394,0))),OR(NOT(ISNA(MATCH(IF(UPPER($M332)="UK","GB",$M332),'PRODUCT DATA'!$A$2:$A$58,0))),NOT(ISNA(MATCH(IF(UPPER($M332)="UK","GB",$M332),'PRODUCT DATA'!$B$2:$B$58,0)))),NOT(IFERROR(COUNTIF(OFFSET('PRODUCT DATA'!$F$2,0,MATCH($AC332,'PRODUCT DATA'!$F$1:$NN$1,0)-1,114,1),$N332)&gt;0,FALSE()))),IF(UPPER(IFERROR(OFFSET('PRODUCT DATA'!$C$2,MATCH($N332,'PRODUCT DATA'!$B$2:$B$58,0)-1,0),""))="NO","Alcohol Restriction; ","Item Code / Country combination; "),"")&amp;IF($C332="","Quantity; ","")&amp;IF(AND($C332&lt;&gt;"",OR(NOT(ISNUMBER($C332)),$C332&lt;1,$C332&gt;999,MOD($C332,1)&lt;&gt;0)),"Quantity; ","")&amp;IF($D332="","Recipient Name; ","")&amp;IF(LEN($D332)&gt;35,"Recipient Name; ","")&amp;IF($E332="","Recipient Phone; ","")&amp;IF(AND($E332&lt;&gt;"",OR(LEN($E332)&lt;6,LEN($E332)&gt;20,NOT(IFERROR(ISNUMBER(1*$E332),FALSE())))),"Recipient Phone; ","")&amp;IF(LEN($F332)&gt;35,"Recipient Company Name; ","")&amp;IF($G332="","Address Line 1; ","")&amp;IF(LEN($G332)&gt;35,"Address Line 1; ","")&amp;IF(LEN($H332)&gt;35,"Address Line 2; ","")&amp;IF(LEN($I332)&gt;35,"Address Line 3; ","")&amp;IF($J332="","Town; ","")&amp;IF(LEN($J332)&gt;35,"Town; ","")&amp;IF(AND($N332="IE",$K332=""),"County; ","")&amp;IF(LEN($AB332)&gt;35,"County; ","")&amp;IF(AND($L332="",AND($N332&lt;&gt;"AE",$N332&lt;&gt;"QA")),"Postcode; ","")&amp;IF(LEN($L332)&gt;35,"Postcode; ","")&amp;IF($AE332&lt;&gt;"","Postcode; ","")&amp;IF(LEN($O332)&gt;40,"Gift Message 1; ","")&amp;IF(LEN($P332)&gt;40,"Gift Message 2; ","")&amp;IF(LEN($Q332)&gt;40,"Gift Message 3; ","")&amp;IF(LEN($R332)&gt;40,"Gift Message 4; ","")&amp;IF(LEN($S332)&gt;40,"Gift Message 5; ","")&amp;IF(LEN($T332)&gt;40,"Gift Message 6; ","")&amp;IF(LEN($U332)&gt;40,"Gift Message 7; ",""))</f>
        <v/>
      </c>
      <c r="X332" s="44" t="str">
        <f ca="1">IF(COUNTA($A332,$D332:$M332,$O332:$U332)=0,"",IF($A332="","Enter the Item Code (hamper) - type it, paste it, or choose it from the dropdown. ","")&amp;IF(AND($A332&lt;&gt;"",ISNA(MATCH($AC332,'PRODUCT DATA'!$D$2:$D$394,0))),"This Item Code is not recognised. Check the code (case does not matter, but spelling and digits must match exactly) or choose it from the dropdown. ","")&amp;IF($M332="","Enter the Country after the Item Code - type or paste the name or the 2-letter code, or choose it from the dropdown. ","")&amp;IF(AND($M332&lt;&gt;"",NOT(OR(NOT(ISNA(MATCH(IF(UPPER($M332)="UK","GB",$M332),'PRODUCT DATA'!$A$2:$A$58,0))),NOT(ISNA(MATCH(IF(UPPER($M332)="UK","GB",$M332),'PRODUCT DATA'!$B$2:$B$58,0)))))),"This Country is not recognised as either a full name or a 2-letter code. Check the spelling (case does not matter) or choose it from the dropdown. ","")&amp;IF(AND($A332&lt;&gt;"",$M332&lt;&gt;"",NOT(ISNA(MATCH($AC332,'PRODUCT DATA'!$D$2:$D$394,0))),OR(NOT(ISNA(MATCH(IF(UPPER($M332)="UK","GB",$M332),'PRODUCT DATA'!$A$2:$A$58,0))),NOT(ISNA(MATCH(IF(UPPER($M332)="UK","GB",$M332),'PRODUCT DATA'!$B$2:$B$58,0)))),NOT(IFERROR(COUNTIF(OFFSET('PRODUCT DATA'!$F$2,0,MATCH($AC332,'PRODUCT DATA'!$F$1:$NN$1,0)-1,114,1),$N332)&gt;0,FALSE()))),IF(UPPER(IFERROR(OFFSET('PRODUCT DATA'!$C$2,MATCH($N332,'PRODUCT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"),"")&amp;IF($C332="","Enter Quantity. ","")&amp;IF(AND($C332&lt;&gt;"",OR(NOT(ISNUMBER($C332)),$C332&lt;1,$C332&gt;999,MOD($C332,1)&lt;&gt;0)),"Quantity must be a whole number from 1 to 999 (use a quantity above 1 only for a genuine bulk order of identical items to ONE address — otherwise use a separate row per recipient). ","")&amp;IF($D332="","Enter Recipient Name. ","")&amp;IF(LEN($D332)&gt;35,"Recipient Name exceeds 35 characters. ","")&amp;IF($E332="","Enter Recipient Phone. ","")&amp;IF(AND($E332&lt;&gt;"",OR(LEN($E332)&lt;6,LEN($E332)&gt;20,NOT(IFERROR(ISNUMBER(1*$E332),FALSE())))),"Phone must be the LOCAL number for the destination country: digits only, no +, spaces, or country code, 6 to 20 digits. ","")&amp;IF(LEN($F332)&gt;35,"Recipient Company Name exceeds 35 characters. ","")&amp;IF($G332="","Enter Address Line 1. ","")&amp;IF(LEN($G332)&gt;35,"Address Line 1 exceeds the 35-character SAP limit. ","")&amp;IF(LEN($H332)&gt;35,"Address Line 2 exceeds the 35-character SAP limit. ","")&amp;IF(LEN($I332)&gt;35,"Address Line 3 exceeds the 35-character SAP limit. ","")&amp;IF($J332="","Enter Town. This must never be left blank, even if there is no conventional town name. ","")&amp;IF(LEN($J332)&gt;35,"Town exceeds 35 characters. ","")&amp;IF(AND($N332="IE",$K332=""),"County is required for deliveries within the Republic of Ireland. ","")&amp;IF(LEN($AB332)&gt;35,"County exceeds 35 characters. ","")&amp;IF(AND($L332="",AND($N332&lt;&gt;"AE",$N332&lt;&gt;"QA")),"Postcode is required for the selected country. If there is genuinely no postcode, enter the first 3 characters of the area (e.g. D15). ","")&amp;IF(LEN($L332)&gt;35,"Postcode exceeds 35 characters. ","")&amp;IF($AE332&lt;&gt;"",$AE332,"")&amp;IF(LEN($O332)&gt;40,"Gift Message Line 1 exceeds 40 characters. ","")&amp;IF(LEN($P332)&gt;40,"Gift Message Line 2 exceeds 40 characters. ","")&amp;IF(LEN($Q332)&gt;40,"Gift Message Line 3 exceeds 40 characters. ","")&amp;IF(LEN($R332)&gt;40,"Gift Message Line 4 exceeds 40 characters. ","")&amp;IF(LEN($S332)&gt;40,"Gift Message Line 5 exceeds 40 characters. ","")&amp;IF(LEN($T332)&gt;40,"Gift Message Line 6 exceeds 40 characters. ","")&amp;IF(LEN($U332)&gt;40,"Gift Message Line 7 exceeds 40 characters. ",""))</f>
        <v/>
      </c>
      <c r="Y332" s="44" t="str">
        <f t="shared" si="21"/>
        <v/>
      </c>
      <c r="Z332" s="44"/>
      <c r="AA332" s="44"/>
      <c r="AB332" s="32" t="str">
        <f t="shared" si="22"/>
        <v/>
      </c>
      <c r="AC332" s="32" t="str">
        <f>IF($A332="","",IFERROR(LEFT(INDEX('PRODUCT DATA'!$NO$2:$NO$25,MATCH($A332,'PRODUCT DATA'!$NP$2:$NP$25,0)),FIND("|",INDEX('PRODUCT DATA'!$NO$2:$NO$25,MATCH($A332,'PRODUCT DATA'!$NP$2:$NP$25,0)))-1),$A332))</f>
        <v/>
      </c>
      <c r="AD332" s="45"/>
      <c r="AE332" s="45" t="str">
        <f t="shared" si="23"/>
        <v/>
      </c>
    </row>
    <row r="333" spans="1:31" ht="15" customHeight="1" x14ac:dyDescent="0.25">
      <c r="A333" s="40"/>
      <c r="B333" s="43" t="str">
        <f>IF($A333="","",IFERROR(VLOOKUP($AC333,'PRODUCT DATA'!$NR$2:$NS$374,2,FALSE()),"UNKNOWN ITEM CODE - please check"))</f>
        <v/>
      </c>
      <c r="C333" s="39">
        <v>1</v>
      </c>
      <c r="D333" s="39"/>
      <c r="E333" s="40"/>
      <c r="F333" s="41"/>
      <c r="G333" s="39"/>
      <c r="H333" s="41"/>
      <c r="I333" s="41"/>
      <c r="J333" s="39"/>
      <c r="K333" s="41"/>
      <c r="L333" s="40"/>
      <c r="M333" s="40"/>
      <c r="N333" s="42" t="str">
        <f>IF($M333="","",IFERROR(INDEX('PRODUCT DATA'!$B$2:$B$58,MATCH(IF(UPPER($M333)="UK","GB",$M333),'PRODUCT DATA'!$B$2:$B$58,0)),IFERROR(INDEX('PRODUCT DATA'!$B$2:$B$58,MATCH(IF(UPPER($M333)="UK","GB",$M333),'PRODUCT DATA'!$A$2:$A$58,0)),"UNKNOWN COUNTRY - please check")))</f>
        <v/>
      </c>
      <c r="O333" s="41"/>
      <c r="P333" s="41"/>
      <c r="Q333" s="41"/>
      <c r="R333" s="41"/>
      <c r="S333" s="41"/>
      <c r="T333" s="41"/>
      <c r="U333" s="41"/>
      <c r="V333" s="43" t="str">
        <f t="shared" si="20"/>
        <v/>
      </c>
      <c r="W333" s="44" t="str">
        <f ca="1">IF(COUNTA($A333,$D333:$M333,$O333:$U333)=0,"",IF($A333="","Item Code; ","")&amp;IF(AND($A333&lt;&gt;"",ISNA(MATCH($AC333,'PRODUCT DATA'!$D$2:$D$394,0))),"Item Code; ","")&amp;IF($M333="","Country; ","")&amp;IF(AND($M333&lt;&gt;"",NOT(OR(NOT(ISNA(MATCH(IF(UPPER($M333)="UK","GB",$M333),'PRODUCT DATA'!$A$2:$A$58,0))),NOT(ISNA(MATCH(IF(UPPER($M333)="UK","GB",$M333),'PRODUCT DATA'!$B$2:$B$58,0)))))),"Country; ","")&amp;IF(AND($A333&lt;&gt;"",$M333&lt;&gt;"",NOT(ISNA(MATCH($AC333,'PRODUCT DATA'!$D$2:$D$394,0))),OR(NOT(ISNA(MATCH(IF(UPPER($M333)="UK","GB",$M333),'PRODUCT DATA'!$A$2:$A$58,0))),NOT(ISNA(MATCH(IF(UPPER($M333)="UK","GB",$M333),'PRODUCT DATA'!$B$2:$B$58,0)))),NOT(IFERROR(COUNTIF(OFFSET('PRODUCT DATA'!$F$2,0,MATCH($AC333,'PRODUCT DATA'!$F$1:$NN$1,0)-1,114,1),$N333)&gt;0,FALSE()))),IF(UPPER(IFERROR(OFFSET('PRODUCT DATA'!$C$2,MATCH($N333,'PRODUCT DATA'!$B$2:$B$58,0)-1,0),""))="NO","Alcohol Restriction; ","Item Code / Country combination; "),"")&amp;IF($C333="","Quantity; ","")&amp;IF(AND($C333&lt;&gt;"",OR(NOT(ISNUMBER($C333)),$C333&lt;1,$C333&gt;999,MOD($C333,1)&lt;&gt;0)),"Quantity; ","")&amp;IF($D333="","Recipient Name; ","")&amp;IF(LEN($D333)&gt;35,"Recipient Name; ","")&amp;IF($E333="","Recipient Phone; ","")&amp;IF(AND($E333&lt;&gt;"",OR(LEN($E333)&lt;6,LEN($E333)&gt;20,NOT(IFERROR(ISNUMBER(1*$E333),FALSE())))),"Recipient Phone; ","")&amp;IF(LEN($F333)&gt;35,"Recipient Company Name; ","")&amp;IF($G333="","Address Line 1; ","")&amp;IF(LEN($G333)&gt;35,"Address Line 1; ","")&amp;IF(LEN($H333)&gt;35,"Address Line 2; ","")&amp;IF(LEN($I333)&gt;35,"Address Line 3; ","")&amp;IF($J333="","Town; ","")&amp;IF(LEN($J333)&gt;35,"Town; ","")&amp;IF(AND($N333="IE",$K333=""),"County; ","")&amp;IF(LEN($AB333)&gt;35,"County; ","")&amp;IF(AND($L333="",AND($N333&lt;&gt;"AE",$N333&lt;&gt;"QA")),"Postcode; ","")&amp;IF(LEN($L333)&gt;35,"Postcode; ","")&amp;IF($AE333&lt;&gt;"","Postcode; ","")&amp;IF(LEN($O333)&gt;40,"Gift Message 1; ","")&amp;IF(LEN($P333)&gt;40,"Gift Message 2; ","")&amp;IF(LEN($Q333)&gt;40,"Gift Message 3; ","")&amp;IF(LEN($R333)&gt;40,"Gift Message 4; ","")&amp;IF(LEN($S333)&gt;40,"Gift Message 5; ","")&amp;IF(LEN($T333)&gt;40,"Gift Message 6; ","")&amp;IF(LEN($U333)&gt;40,"Gift Message 7; ",""))</f>
        <v/>
      </c>
      <c r="X333" s="44" t="str">
        <f ca="1">IF(COUNTA($A333,$D333:$M333,$O333:$U333)=0,"",IF($A333="","Enter the Item Code (hamper) - type it, paste it, or choose it from the dropdown. ","")&amp;IF(AND($A333&lt;&gt;"",ISNA(MATCH($AC333,'PRODUCT DATA'!$D$2:$D$394,0))),"This Item Code is not recognised. Check the code (case does not matter, but spelling and digits must match exactly) or choose it from the dropdown. ","")&amp;IF($M333="","Enter the Country after the Item Code - type or paste the name or the 2-letter code, or choose it from the dropdown. ","")&amp;IF(AND($M333&lt;&gt;"",NOT(OR(NOT(ISNA(MATCH(IF(UPPER($M333)="UK","GB",$M333),'PRODUCT DATA'!$A$2:$A$58,0))),NOT(ISNA(MATCH(IF(UPPER($M333)="UK","GB",$M333),'PRODUCT DATA'!$B$2:$B$58,0)))))),"This Country is not recognised as either a full name or a 2-letter code. Check the spelling (case does not matter) or choose it from the dropdown. ","")&amp;IF(AND($A333&lt;&gt;"",$M333&lt;&gt;"",NOT(ISNA(MATCH($AC333,'PRODUCT DATA'!$D$2:$D$394,0))),OR(NOT(ISNA(MATCH(IF(UPPER($M333)="UK","GB",$M333),'PRODUCT DATA'!$A$2:$A$58,0))),NOT(ISNA(MATCH(IF(UPPER($M333)="UK","GB",$M333),'PRODUCT DATA'!$B$2:$B$58,0)))),NOT(IFERROR(COUNTIF(OFFSET('PRODUCT DATA'!$F$2,0,MATCH($AC333,'PRODUCT DATA'!$F$1:$NN$1,0)-1,114,1),$N333)&gt;0,FALSE()))),IF(UPPER(IFERROR(OFFSET('PRODUCT DATA'!$C$2,MATCH($N333,'PRODUCT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"),"")&amp;IF($C333="","Enter Quantity. ","")&amp;IF(AND($C333&lt;&gt;"",OR(NOT(ISNUMBER($C333)),$C333&lt;1,$C333&gt;999,MOD($C333,1)&lt;&gt;0)),"Quantity must be a whole number from 1 to 999 (use a quantity above 1 only for a genuine bulk order of identical items to ONE address — otherwise use a separate row per recipient). ","")&amp;IF($D333="","Enter Recipient Name. ","")&amp;IF(LEN($D333)&gt;35,"Recipient Name exceeds 35 characters. ","")&amp;IF($E333="","Enter Recipient Phone. ","")&amp;IF(AND($E333&lt;&gt;"",OR(LEN($E333)&lt;6,LEN($E333)&gt;20,NOT(IFERROR(ISNUMBER(1*$E333),FALSE())))),"Phone must be the LOCAL number for the destination country: digits only, no +, spaces, or country code, 6 to 20 digits. ","")&amp;IF(LEN($F333)&gt;35,"Recipient Company Name exceeds 35 characters. ","")&amp;IF($G333="","Enter Address Line 1. ","")&amp;IF(LEN($G333)&gt;35,"Address Line 1 exceeds the 35-character SAP limit. ","")&amp;IF(LEN($H333)&gt;35,"Address Line 2 exceeds the 35-character SAP limit. ","")&amp;IF(LEN($I333)&gt;35,"Address Line 3 exceeds the 35-character SAP limit. ","")&amp;IF($J333="","Enter Town. This must never be left blank, even if there is no conventional town name. ","")&amp;IF(LEN($J333)&gt;35,"Town exceeds 35 characters. ","")&amp;IF(AND($N333="IE",$K333=""),"County is required for deliveries within the Republic of Ireland. ","")&amp;IF(LEN($AB333)&gt;35,"County exceeds 35 characters. ","")&amp;IF(AND($L333="",AND($N333&lt;&gt;"AE",$N333&lt;&gt;"QA")),"Postcode is required for the selected country. If there is genuinely no postcode, enter the first 3 characters of the area (e.g. D15). ","")&amp;IF(LEN($L333)&gt;35,"Postcode exceeds 35 characters. ","")&amp;IF($AE333&lt;&gt;"",$AE333,"")&amp;IF(LEN($O333)&gt;40,"Gift Message Line 1 exceeds 40 characters. ","")&amp;IF(LEN($P333)&gt;40,"Gift Message Line 2 exceeds 40 characters. ","")&amp;IF(LEN($Q333)&gt;40,"Gift Message Line 3 exceeds 40 characters. ","")&amp;IF(LEN($R333)&gt;40,"Gift Message Line 4 exceeds 40 characters. ","")&amp;IF(LEN($S333)&gt;40,"Gift Message Line 5 exceeds 40 characters. ","")&amp;IF(LEN($T333)&gt;40,"Gift Message Line 6 exceeds 40 characters. ","")&amp;IF(LEN($U333)&gt;40,"Gift Message Line 7 exceeds 40 characters. ",""))</f>
        <v/>
      </c>
      <c r="Y333" s="44" t="str">
        <f t="shared" si="21"/>
        <v/>
      </c>
      <c r="Z333" s="44"/>
      <c r="AA333" s="44"/>
      <c r="AB333" s="32" t="str">
        <f t="shared" si="22"/>
        <v/>
      </c>
      <c r="AC333" s="32" t="str">
        <f>IF($A333="","",IFERROR(LEFT(INDEX('PRODUCT DATA'!$NO$2:$NO$25,MATCH($A333,'PRODUCT DATA'!$NP$2:$NP$25,0)),FIND("|",INDEX('PRODUCT DATA'!$NO$2:$NO$25,MATCH($A333,'PRODUCT DATA'!$NP$2:$NP$25,0)))-1),$A333))</f>
        <v/>
      </c>
      <c r="AD333" s="45"/>
      <c r="AE333" s="45" t="str">
        <f t="shared" si="23"/>
        <v/>
      </c>
    </row>
    <row r="334" spans="1:31" ht="15" customHeight="1" x14ac:dyDescent="0.25">
      <c r="A334" s="40"/>
      <c r="B334" s="43" t="str">
        <f>IF($A334="","",IFERROR(VLOOKUP($AC334,'PRODUCT DATA'!$NR$2:$NS$374,2,FALSE()),"UNKNOWN ITEM CODE - please check"))</f>
        <v/>
      </c>
      <c r="C334" s="39">
        <v>1</v>
      </c>
      <c r="D334" s="39"/>
      <c r="E334" s="40"/>
      <c r="F334" s="41"/>
      <c r="G334" s="39"/>
      <c r="H334" s="41"/>
      <c r="I334" s="41"/>
      <c r="J334" s="39"/>
      <c r="K334" s="41"/>
      <c r="L334" s="40"/>
      <c r="M334" s="40"/>
      <c r="N334" s="42" t="str">
        <f>IF($M334="","",IFERROR(INDEX('PRODUCT DATA'!$B$2:$B$58,MATCH(IF(UPPER($M334)="UK","GB",$M334),'PRODUCT DATA'!$B$2:$B$58,0)),IFERROR(INDEX('PRODUCT DATA'!$B$2:$B$58,MATCH(IF(UPPER($M334)="UK","GB",$M334),'PRODUCT DATA'!$A$2:$A$58,0)),"UNKNOWN COUNTRY - please check")))</f>
        <v/>
      </c>
      <c r="O334" s="41"/>
      <c r="P334" s="41"/>
      <c r="Q334" s="41"/>
      <c r="R334" s="41"/>
      <c r="S334" s="41"/>
      <c r="T334" s="41"/>
      <c r="U334" s="41"/>
      <c r="V334" s="43" t="str">
        <f t="shared" si="20"/>
        <v/>
      </c>
      <c r="W334" s="44" t="str">
        <f ca="1">IF(COUNTA($A334,$D334:$M334,$O334:$U334)=0,"",IF($A334="","Item Code; ","")&amp;IF(AND($A334&lt;&gt;"",ISNA(MATCH($AC334,'PRODUCT DATA'!$D$2:$D$394,0))),"Item Code; ","")&amp;IF($M334="","Country; ","")&amp;IF(AND($M334&lt;&gt;"",NOT(OR(NOT(ISNA(MATCH(IF(UPPER($M334)="UK","GB",$M334),'PRODUCT DATA'!$A$2:$A$58,0))),NOT(ISNA(MATCH(IF(UPPER($M334)="UK","GB",$M334),'PRODUCT DATA'!$B$2:$B$58,0)))))),"Country; ","")&amp;IF(AND($A334&lt;&gt;"",$M334&lt;&gt;"",NOT(ISNA(MATCH($AC334,'PRODUCT DATA'!$D$2:$D$394,0))),OR(NOT(ISNA(MATCH(IF(UPPER($M334)="UK","GB",$M334),'PRODUCT DATA'!$A$2:$A$58,0))),NOT(ISNA(MATCH(IF(UPPER($M334)="UK","GB",$M334),'PRODUCT DATA'!$B$2:$B$58,0)))),NOT(IFERROR(COUNTIF(OFFSET('PRODUCT DATA'!$F$2,0,MATCH($AC334,'PRODUCT DATA'!$F$1:$NN$1,0)-1,114,1),$N334)&gt;0,FALSE()))),IF(UPPER(IFERROR(OFFSET('PRODUCT DATA'!$C$2,MATCH($N334,'PRODUCT DATA'!$B$2:$B$58,0)-1,0),""))="NO","Alcohol Restriction; ","Item Code / Country combination; "),"")&amp;IF($C334="","Quantity; ","")&amp;IF(AND($C334&lt;&gt;"",OR(NOT(ISNUMBER($C334)),$C334&lt;1,$C334&gt;999,MOD($C334,1)&lt;&gt;0)),"Quantity; ","")&amp;IF($D334="","Recipient Name; ","")&amp;IF(LEN($D334)&gt;35,"Recipient Name; ","")&amp;IF($E334="","Recipient Phone; ","")&amp;IF(AND($E334&lt;&gt;"",OR(LEN($E334)&lt;6,LEN($E334)&gt;20,NOT(IFERROR(ISNUMBER(1*$E334),FALSE())))),"Recipient Phone; ","")&amp;IF(LEN($F334)&gt;35,"Recipient Company Name; ","")&amp;IF($G334="","Address Line 1; ","")&amp;IF(LEN($G334)&gt;35,"Address Line 1; ","")&amp;IF(LEN($H334)&gt;35,"Address Line 2; ","")&amp;IF(LEN($I334)&gt;35,"Address Line 3; ","")&amp;IF($J334="","Town; ","")&amp;IF(LEN($J334)&gt;35,"Town; ","")&amp;IF(AND($N334="IE",$K334=""),"County; ","")&amp;IF(LEN($AB334)&gt;35,"County; ","")&amp;IF(AND($L334="",AND($N334&lt;&gt;"AE",$N334&lt;&gt;"QA")),"Postcode; ","")&amp;IF(LEN($L334)&gt;35,"Postcode; ","")&amp;IF($AE334&lt;&gt;"","Postcode; ","")&amp;IF(LEN($O334)&gt;40,"Gift Message 1; ","")&amp;IF(LEN($P334)&gt;40,"Gift Message 2; ","")&amp;IF(LEN($Q334)&gt;40,"Gift Message 3; ","")&amp;IF(LEN($R334)&gt;40,"Gift Message 4; ","")&amp;IF(LEN($S334)&gt;40,"Gift Message 5; ","")&amp;IF(LEN($T334)&gt;40,"Gift Message 6; ","")&amp;IF(LEN($U334)&gt;40,"Gift Message 7; ",""))</f>
        <v/>
      </c>
      <c r="X334" s="44" t="str">
        <f ca="1">IF(COUNTA($A334,$D334:$M334,$O334:$U334)=0,"",IF($A334="","Enter the Item Code (hamper) - type it, paste it, or choose it from the dropdown. ","")&amp;IF(AND($A334&lt;&gt;"",ISNA(MATCH($AC334,'PRODUCT DATA'!$D$2:$D$394,0))),"This Item Code is not recognised. Check the code (case does not matter, but spelling and digits must match exactly) or choose it from the dropdown. ","")&amp;IF($M334="","Enter the Country after the Item Code - type or paste the name or the 2-letter code, or choose it from the dropdown. ","")&amp;IF(AND($M334&lt;&gt;"",NOT(OR(NOT(ISNA(MATCH(IF(UPPER($M334)="UK","GB",$M334),'PRODUCT DATA'!$A$2:$A$58,0))),NOT(ISNA(MATCH(IF(UPPER($M334)="UK","GB",$M334),'PRODUCT DATA'!$B$2:$B$58,0)))))),"This Country is not recognised as either a full name or a 2-letter code. Check the spelling (case does not matter) or choose it from the dropdown. ","")&amp;IF(AND($A334&lt;&gt;"",$M334&lt;&gt;"",NOT(ISNA(MATCH($AC334,'PRODUCT DATA'!$D$2:$D$394,0))),OR(NOT(ISNA(MATCH(IF(UPPER($M334)="UK","GB",$M334),'PRODUCT DATA'!$A$2:$A$58,0))),NOT(ISNA(MATCH(IF(UPPER($M334)="UK","GB",$M334),'PRODUCT DATA'!$B$2:$B$58,0)))),NOT(IFERROR(COUNTIF(OFFSET('PRODUCT DATA'!$F$2,0,MATCH($AC334,'PRODUCT DATA'!$F$1:$NN$1,0)-1,114,1),$N334)&gt;0,FALSE()))),IF(UPPER(IFERROR(OFFSET('PRODUCT DATA'!$C$2,MATCH($N334,'PRODUCT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"),"")&amp;IF($C334="","Enter Quantity. ","")&amp;IF(AND($C334&lt;&gt;"",OR(NOT(ISNUMBER($C334)),$C334&lt;1,$C334&gt;999,MOD($C334,1)&lt;&gt;0)),"Quantity must be a whole number from 1 to 999 (use a quantity above 1 only for a genuine bulk order of identical items to ONE address — otherwise use a separate row per recipient). ","")&amp;IF($D334="","Enter Recipient Name. ","")&amp;IF(LEN($D334)&gt;35,"Recipient Name exceeds 35 characters. ","")&amp;IF($E334="","Enter Recipient Phone. ","")&amp;IF(AND($E334&lt;&gt;"",OR(LEN($E334)&lt;6,LEN($E334)&gt;20,NOT(IFERROR(ISNUMBER(1*$E334),FALSE())))),"Phone must be the LOCAL number for the destination country: digits only, no +, spaces, or country code, 6 to 20 digits. ","")&amp;IF(LEN($F334)&gt;35,"Recipient Company Name exceeds 35 characters. ","")&amp;IF($G334="","Enter Address Line 1. ","")&amp;IF(LEN($G334)&gt;35,"Address Line 1 exceeds the 35-character SAP limit. ","")&amp;IF(LEN($H334)&gt;35,"Address Line 2 exceeds the 35-character SAP limit. ","")&amp;IF(LEN($I334)&gt;35,"Address Line 3 exceeds the 35-character SAP limit. ","")&amp;IF($J334="","Enter Town. This must never be left blank, even if there is no conventional town name. ","")&amp;IF(LEN($J334)&gt;35,"Town exceeds 35 characters. ","")&amp;IF(AND($N334="IE",$K334=""),"County is required for deliveries within the Republic of Ireland. ","")&amp;IF(LEN($AB334)&gt;35,"County exceeds 35 characters. ","")&amp;IF(AND($L334="",AND($N334&lt;&gt;"AE",$N334&lt;&gt;"QA")),"Postcode is required for the selected country. If there is genuinely no postcode, enter the first 3 characters of the area (e.g. D15). ","")&amp;IF(LEN($L334)&gt;35,"Postcode exceeds 35 characters. ","")&amp;IF($AE334&lt;&gt;"",$AE334,"")&amp;IF(LEN($O334)&gt;40,"Gift Message Line 1 exceeds 40 characters. ","")&amp;IF(LEN($P334)&gt;40,"Gift Message Line 2 exceeds 40 characters. ","")&amp;IF(LEN($Q334)&gt;40,"Gift Message Line 3 exceeds 40 characters. ","")&amp;IF(LEN($R334)&gt;40,"Gift Message Line 4 exceeds 40 characters. ","")&amp;IF(LEN($S334)&gt;40,"Gift Message Line 5 exceeds 40 characters. ","")&amp;IF(LEN($T334)&gt;40,"Gift Message Line 6 exceeds 40 characters. ","")&amp;IF(LEN($U334)&gt;40,"Gift Message Line 7 exceeds 40 characters. ",""))</f>
        <v/>
      </c>
      <c r="Y334" s="44" t="str">
        <f t="shared" si="21"/>
        <v/>
      </c>
      <c r="Z334" s="44"/>
      <c r="AA334" s="44"/>
      <c r="AB334" s="32" t="str">
        <f t="shared" si="22"/>
        <v/>
      </c>
      <c r="AC334" s="32" t="str">
        <f>IF($A334="","",IFERROR(LEFT(INDEX('PRODUCT DATA'!$NO$2:$NO$25,MATCH($A334,'PRODUCT DATA'!$NP$2:$NP$25,0)),FIND("|",INDEX('PRODUCT DATA'!$NO$2:$NO$25,MATCH($A334,'PRODUCT DATA'!$NP$2:$NP$25,0)))-1),$A334))</f>
        <v/>
      </c>
      <c r="AD334" s="45"/>
      <c r="AE334" s="45" t="str">
        <f t="shared" si="23"/>
        <v/>
      </c>
    </row>
    <row r="335" spans="1:31" ht="15" customHeight="1" x14ac:dyDescent="0.25">
      <c r="A335" s="40"/>
      <c r="B335" s="43" t="str">
        <f>IF($A335="","",IFERROR(VLOOKUP($AC335,'PRODUCT DATA'!$NR$2:$NS$374,2,FALSE()),"UNKNOWN ITEM CODE - please check"))</f>
        <v/>
      </c>
      <c r="C335" s="39">
        <v>1</v>
      </c>
      <c r="D335" s="39"/>
      <c r="E335" s="40"/>
      <c r="F335" s="41"/>
      <c r="G335" s="39"/>
      <c r="H335" s="41"/>
      <c r="I335" s="41"/>
      <c r="J335" s="39"/>
      <c r="K335" s="41"/>
      <c r="L335" s="40"/>
      <c r="M335" s="40"/>
      <c r="N335" s="42" t="str">
        <f>IF($M335="","",IFERROR(INDEX('PRODUCT DATA'!$B$2:$B$58,MATCH(IF(UPPER($M335)="UK","GB",$M335),'PRODUCT DATA'!$B$2:$B$58,0)),IFERROR(INDEX('PRODUCT DATA'!$B$2:$B$58,MATCH(IF(UPPER($M335)="UK","GB",$M335),'PRODUCT DATA'!$A$2:$A$58,0)),"UNKNOWN COUNTRY - please check")))</f>
        <v/>
      </c>
      <c r="O335" s="41"/>
      <c r="P335" s="41"/>
      <c r="Q335" s="41"/>
      <c r="R335" s="41"/>
      <c r="S335" s="41"/>
      <c r="T335" s="41"/>
      <c r="U335" s="41"/>
      <c r="V335" s="43" t="str">
        <f t="shared" si="20"/>
        <v/>
      </c>
      <c r="W335" s="44" t="str">
        <f ca="1">IF(COUNTA($A335,$D335:$M335,$O335:$U335)=0,"",IF($A335="","Item Code; ","")&amp;IF(AND($A335&lt;&gt;"",ISNA(MATCH($AC335,'PRODUCT DATA'!$D$2:$D$394,0))),"Item Code; ","")&amp;IF($M335="","Country; ","")&amp;IF(AND($M335&lt;&gt;"",NOT(OR(NOT(ISNA(MATCH(IF(UPPER($M335)="UK","GB",$M335),'PRODUCT DATA'!$A$2:$A$58,0))),NOT(ISNA(MATCH(IF(UPPER($M335)="UK","GB",$M335),'PRODUCT DATA'!$B$2:$B$58,0)))))),"Country; ","")&amp;IF(AND($A335&lt;&gt;"",$M335&lt;&gt;"",NOT(ISNA(MATCH($AC335,'PRODUCT DATA'!$D$2:$D$394,0))),OR(NOT(ISNA(MATCH(IF(UPPER($M335)="UK","GB",$M335),'PRODUCT DATA'!$A$2:$A$58,0))),NOT(ISNA(MATCH(IF(UPPER($M335)="UK","GB",$M335),'PRODUCT DATA'!$B$2:$B$58,0)))),NOT(IFERROR(COUNTIF(OFFSET('PRODUCT DATA'!$F$2,0,MATCH($AC335,'PRODUCT DATA'!$F$1:$NN$1,0)-1,114,1),$N335)&gt;0,FALSE()))),IF(UPPER(IFERROR(OFFSET('PRODUCT DATA'!$C$2,MATCH($N335,'PRODUCT DATA'!$B$2:$B$58,0)-1,0),""))="NO","Alcohol Restriction; ","Item Code / Country combination; "),"")&amp;IF($C335="","Quantity; ","")&amp;IF(AND($C335&lt;&gt;"",OR(NOT(ISNUMBER($C335)),$C335&lt;1,$C335&gt;999,MOD($C335,1)&lt;&gt;0)),"Quantity; ","")&amp;IF($D335="","Recipient Name; ","")&amp;IF(LEN($D335)&gt;35,"Recipient Name; ","")&amp;IF($E335="","Recipient Phone; ","")&amp;IF(AND($E335&lt;&gt;"",OR(LEN($E335)&lt;6,LEN($E335)&gt;20,NOT(IFERROR(ISNUMBER(1*$E335),FALSE())))),"Recipient Phone; ","")&amp;IF(LEN($F335)&gt;35,"Recipient Company Name; ","")&amp;IF($G335="","Address Line 1; ","")&amp;IF(LEN($G335)&gt;35,"Address Line 1; ","")&amp;IF(LEN($H335)&gt;35,"Address Line 2; ","")&amp;IF(LEN($I335)&gt;35,"Address Line 3; ","")&amp;IF($J335="","Town; ","")&amp;IF(LEN($J335)&gt;35,"Town; ","")&amp;IF(AND($N335="IE",$K335=""),"County; ","")&amp;IF(LEN($AB335)&gt;35,"County; ","")&amp;IF(AND($L335="",AND($N335&lt;&gt;"AE",$N335&lt;&gt;"QA")),"Postcode; ","")&amp;IF(LEN($L335)&gt;35,"Postcode; ","")&amp;IF($AE335&lt;&gt;"","Postcode; ","")&amp;IF(LEN($O335)&gt;40,"Gift Message 1; ","")&amp;IF(LEN($P335)&gt;40,"Gift Message 2; ","")&amp;IF(LEN($Q335)&gt;40,"Gift Message 3; ","")&amp;IF(LEN($R335)&gt;40,"Gift Message 4; ","")&amp;IF(LEN($S335)&gt;40,"Gift Message 5; ","")&amp;IF(LEN($T335)&gt;40,"Gift Message 6; ","")&amp;IF(LEN($U335)&gt;40,"Gift Message 7; ",""))</f>
        <v/>
      </c>
      <c r="X335" s="44" t="str">
        <f ca="1">IF(COUNTA($A335,$D335:$M335,$O335:$U335)=0,"",IF($A335="","Enter the Item Code (hamper) - type it, paste it, or choose it from the dropdown. ","")&amp;IF(AND($A335&lt;&gt;"",ISNA(MATCH($AC335,'PRODUCT DATA'!$D$2:$D$394,0))),"This Item Code is not recognised. Check the code (case does not matter, but spelling and digits must match exactly) or choose it from the dropdown. ","")&amp;IF($M335="","Enter the Country after the Item Code - type or paste the name or the 2-letter code, or choose it from the dropdown. ","")&amp;IF(AND($M335&lt;&gt;"",NOT(OR(NOT(ISNA(MATCH(IF(UPPER($M335)="UK","GB",$M335),'PRODUCT DATA'!$A$2:$A$58,0))),NOT(ISNA(MATCH(IF(UPPER($M335)="UK","GB",$M335),'PRODUCT DATA'!$B$2:$B$58,0)))))),"This Country is not recognised as either a full name or a 2-letter code. Check the spelling (case does not matter) or choose it from the dropdown. ","")&amp;IF(AND($A335&lt;&gt;"",$M335&lt;&gt;"",NOT(ISNA(MATCH($AC335,'PRODUCT DATA'!$D$2:$D$394,0))),OR(NOT(ISNA(MATCH(IF(UPPER($M335)="UK","GB",$M335),'PRODUCT DATA'!$A$2:$A$58,0))),NOT(ISNA(MATCH(IF(UPPER($M335)="UK","GB",$M335),'PRODUCT DATA'!$B$2:$B$58,0)))),NOT(IFERROR(COUNTIF(OFFSET('PRODUCT DATA'!$F$2,0,MATCH($AC335,'PRODUCT DATA'!$F$1:$NN$1,0)-1,114,1),$N335)&gt;0,FALSE()))),IF(UPPER(IFERROR(OFFSET('PRODUCT DATA'!$C$2,MATCH($N335,'PRODUCT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"),"")&amp;IF($C335="","Enter Quantity. ","")&amp;IF(AND($C335&lt;&gt;"",OR(NOT(ISNUMBER($C335)),$C335&lt;1,$C335&gt;999,MOD($C335,1)&lt;&gt;0)),"Quantity must be a whole number from 1 to 999 (use a quantity above 1 only for a genuine bulk order of identical items to ONE address — otherwise use a separate row per recipient). ","")&amp;IF($D335="","Enter Recipient Name. ","")&amp;IF(LEN($D335)&gt;35,"Recipient Name exceeds 35 characters. ","")&amp;IF($E335="","Enter Recipient Phone. ","")&amp;IF(AND($E335&lt;&gt;"",OR(LEN($E335)&lt;6,LEN($E335)&gt;20,NOT(IFERROR(ISNUMBER(1*$E335),FALSE())))),"Phone must be the LOCAL number for the destination country: digits only, no +, spaces, or country code, 6 to 20 digits. ","")&amp;IF(LEN($F335)&gt;35,"Recipient Company Name exceeds 35 characters. ","")&amp;IF($G335="","Enter Address Line 1. ","")&amp;IF(LEN($G335)&gt;35,"Address Line 1 exceeds the 35-character SAP limit. ","")&amp;IF(LEN($H335)&gt;35,"Address Line 2 exceeds the 35-character SAP limit. ","")&amp;IF(LEN($I335)&gt;35,"Address Line 3 exceeds the 35-character SAP limit. ","")&amp;IF($J335="","Enter Town. This must never be left blank, even if there is no conventional town name. ","")&amp;IF(LEN($J335)&gt;35,"Town exceeds 35 characters. ","")&amp;IF(AND($N335="IE",$K335=""),"County is required for deliveries within the Republic of Ireland. ","")&amp;IF(LEN($AB335)&gt;35,"County exceeds 35 characters. ","")&amp;IF(AND($L335="",AND($N335&lt;&gt;"AE",$N335&lt;&gt;"QA")),"Postcode is required for the selected country. If there is genuinely no postcode, enter the first 3 characters of the area (e.g. D15). ","")&amp;IF(LEN($L335)&gt;35,"Postcode exceeds 35 characters. ","")&amp;IF($AE335&lt;&gt;"",$AE335,"")&amp;IF(LEN($O335)&gt;40,"Gift Message Line 1 exceeds 40 characters. ","")&amp;IF(LEN($P335)&gt;40,"Gift Message Line 2 exceeds 40 characters. ","")&amp;IF(LEN($Q335)&gt;40,"Gift Message Line 3 exceeds 40 characters. ","")&amp;IF(LEN($R335)&gt;40,"Gift Message Line 4 exceeds 40 characters. ","")&amp;IF(LEN($S335)&gt;40,"Gift Message Line 5 exceeds 40 characters. ","")&amp;IF(LEN($T335)&gt;40,"Gift Message Line 6 exceeds 40 characters. ","")&amp;IF(LEN($U335)&gt;40,"Gift Message Line 7 exceeds 40 characters. ",""))</f>
        <v/>
      </c>
      <c r="Y335" s="44" t="str">
        <f t="shared" si="21"/>
        <v/>
      </c>
      <c r="Z335" s="44"/>
      <c r="AA335" s="44"/>
      <c r="AB335" s="32" t="str">
        <f t="shared" si="22"/>
        <v/>
      </c>
      <c r="AC335" s="32" t="str">
        <f>IF($A335="","",IFERROR(LEFT(INDEX('PRODUCT DATA'!$NO$2:$NO$25,MATCH($A335,'PRODUCT DATA'!$NP$2:$NP$25,0)),FIND("|",INDEX('PRODUCT DATA'!$NO$2:$NO$25,MATCH($A335,'PRODUCT DATA'!$NP$2:$NP$25,0)))-1),$A335))</f>
        <v/>
      </c>
      <c r="AD335" s="45"/>
      <c r="AE335" s="45" t="str">
        <f t="shared" si="23"/>
        <v/>
      </c>
    </row>
    <row r="336" spans="1:31" ht="15" customHeight="1" x14ac:dyDescent="0.25">
      <c r="A336" s="40"/>
      <c r="B336" s="43" t="str">
        <f>IF($A336="","",IFERROR(VLOOKUP($AC336,'PRODUCT DATA'!$NR$2:$NS$374,2,FALSE()),"UNKNOWN ITEM CODE - please check"))</f>
        <v/>
      </c>
      <c r="C336" s="39">
        <v>1</v>
      </c>
      <c r="D336" s="39"/>
      <c r="E336" s="40"/>
      <c r="F336" s="41"/>
      <c r="G336" s="39"/>
      <c r="H336" s="41"/>
      <c r="I336" s="41"/>
      <c r="J336" s="39"/>
      <c r="K336" s="41"/>
      <c r="L336" s="40"/>
      <c r="M336" s="40"/>
      <c r="N336" s="42" t="str">
        <f>IF($M336="","",IFERROR(INDEX('PRODUCT DATA'!$B$2:$B$58,MATCH(IF(UPPER($M336)="UK","GB",$M336),'PRODUCT DATA'!$B$2:$B$58,0)),IFERROR(INDEX('PRODUCT DATA'!$B$2:$B$58,MATCH(IF(UPPER($M336)="UK","GB",$M336),'PRODUCT DATA'!$A$2:$A$58,0)),"UNKNOWN COUNTRY - please check")))</f>
        <v/>
      </c>
      <c r="O336" s="41"/>
      <c r="P336" s="41"/>
      <c r="Q336" s="41"/>
      <c r="R336" s="41"/>
      <c r="S336" s="41"/>
      <c r="T336" s="41"/>
      <c r="U336" s="41"/>
      <c r="V336" s="43" t="str">
        <f t="shared" si="20"/>
        <v/>
      </c>
      <c r="W336" s="44" t="str">
        <f ca="1">IF(COUNTA($A336,$D336:$M336,$O336:$U336)=0,"",IF($A336="","Item Code; ","")&amp;IF(AND($A336&lt;&gt;"",ISNA(MATCH($AC336,'PRODUCT DATA'!$D$2:$D$394,0))),"Item Code; ","")&amp;IF($M336="","Country; ","")&amp;IF(AND($M336&lt;&gt;"",NOT(OR(NOT(ISNA(MATCH(IF(UPPER($M336)="UK","GB",$M336),'PRODUCT DATA'!$A$2:$A$58,0))),NOT(ISNA(MATCH(IF(UPPER($M336)="UK","GB",$M336),'PRODUCT DATA'!$B$2:$B$58,0)))))),"Country; ","")&amp;IF(AND($A336&lt;&gt;"",$M336&lt;&gt;"",NOT(ISNA(MATCH($AC336,'PRODUCT DATA'!$D$2:$D$394,0))),OR(NOT(ISNA(MATCH(IF(UPPER($M336)="UK","GB",$M336),'PRODUCT DATA'!$A$2:$A$58,0))),NOT(ISNA(MATCH(IF(UPPER($M336)="UK","GB",$M336),'PRODUCT DATA'!$B$2:$B$58,0)))),NOT(IFERROR(COUNTIF(OFFSET('PRODUCT DATA'!$F$2,0,MATCH($AC336,'PRODUCT DATA'!$F$1:$NN$1,0)-1,114,1),$N336)&gt;0,FALSE()))),IF(UPPER(IFERROR(OFFSET('PRODUCT DATA'!$C$2,MATCH($N336,'PRODUCT DATA'!$B$2:$B$58,0)-1,0),""))="NO","Alcohol Restriction; ","Item Code / Country combination; "),"")&amp;IF($C336="","Quantity; ","")&amp;IF(AND($C336&lt;&gt;"",OR(NOT(ISNUMBER($C336)),$C336&lt;1,$C336&gt;999,MOD($C336,1)&lt;&gt;0)),"Quantity; ","")&amp;IF($D336="","Recipient Name; ","")&amp;IF(LEN($D336)&gt;35,"Recipient Name; ","")&amp;IF($E336="","Recipient Phone; ","")&amp;IF(AND($E336&lt;&gt;"",OR(LEN($E336)&lt;6,LEN($E336)&gt;20,NOT(IFERROR(ISNUMBER(1*$E336),FALSE())))),"Recipient Phone; ","")&amp;IF(LEN($F336)&gt;35,"Recipient Company Name; ","")&amp;IF($G336="","Address Line 1; ","")&amp;IF(LEN($G336)&gt;35,"Address Line 1; ","")&amp;IF(LEN($H336)&gt;35,"Address Line 2; ","")&amp;IF(LEN($I336)&gt;35,"Address Line 3; ","")&amp;IF($J336="","Town; ","")&amp;IF(LEN($J336)&gt;35,"Town; ","")&amp;IF(AND($N336="IE",$K336=""),"County; ","")&amp;IF(LEN($AB336)&gt;35,"County; ","")&amp;IF(AND($L336="",AND($N336&lt;&gt;"AE",$N336&lt;&gt;"QA")),"Postcode; ","")&amp;IF(LEN($L336)&gt;35,"Postcode; ","")&amp;IF($AE336&lt;&gt;"","Postcode; ","")&amp;IF(LEN($O336)&gt;40,"Gift Message 1; ","")&amp;IF(LEN($P336)&gt;40,"Gift Message 2; ","")&amp;IF(LEN($Q336)&gt;40,"Gift Message 3; ","")&amp;IF(LEN($R336)&gt;40,"Gift Message 4; ","")&amp;IF(LEN($S336)&gt;40,"Gift Message 5; ","")&amp;IF(LEN($T336)&gt;40,"Gift Message 6; ","")&amp;IF(LEN($U336)&gt;40,"Gift Message 7; ",""))</f>
        <v/>
      </c>
      <c r="X336" s="44" t="str">
        <f ca="1">IF(COUNTA($A336,$D336:$M336,$O336:$U336)=0,"",IF($A336="","Enter the Item Code (hamper) - type it, paste it, or choose it from the dropdown. ","")&amp;IF(AND($A336&lt;&gt;"",ISNA(MATCH($AC336,'PRODUCT DATA'!$D$2:$D$394,0))),"This Item Code is not recognised. Check the code (case does not matter, but spelling and digits must match exactly) or choose it from the dropdown. ","")&amp;IF($M336="","Enter the Country after the Item Code - type or paste the name or the 2-letter code, or choose it from the dropdown. ","")&amp;IF(AND($M336&lt;&gt;"",NOT(OR(NOT(ISNA(MATCH(IF(UPPER($M336)="UK","GB",$M336),'PRODUCT DATA'!$A$2:$A$58,0))),NOT(ISNA(MATCH(IF(UPPER($M336)="UK","GB",$M336),'PRODUCT DATA'!$B$2:$B$58,0)))))),"This Country is not recognised as either a full name or a 2-letter code. Check the spelling (case does not matter) or choose it from the dropdown. ","")&amp;IF(AND($A336&lt;&gt;"",$M336&lt;&gt;"",NOT(ISNA(MATCH($AC336,'PRODUCT DATA'!$D$2:$D$394,0))),OR(NOT(ISNA(MATCH(IF(UPPER($M336)="UK","GB",$M336),'PRODUCT DATA'!$A$2:$A$58,0))),NOT(ISNA(MATCH(IF(UPPER($M336)="UK","GB",$M336),'PRODUCT DATA'!$B$2:$B$58,0)))),NOT(IFERROR(COUNTIF(OFFSET('PRODUCT DATA'!$F$2,0,MATCH($AC336,'PRODUCT DATA'!$F$1:$NN$1,0)-1,114,1),$N336)&gt;0,FALSE()))),IF(UPPER(IFERROR(OFFSET('PRODUCT DATA'!$C$2,MATCH($N336,'PRODUCT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"),"")&amp;IF($C336="","Enter Quantity. ","")&amp;IF(AND($C336&lt;&gt;"",OR(NOT(ISNUMBER($C336)),$C336&lt;1,$C336&gt;999,MOD($C336,1)&lt;&gt;0)),"Quantity must be a whole number from 1 to 999 (use a quantity above 1 only for a genuine bulk order of identical items to ONE address — otherwise use a separate row per recipient). ","")&amp;IF($D336="","Enter Recipient Name. ","")&amp;IF(LEN($D336)&gt;35,"Recipient Name exceeds 35 characters. ","")&amp;IF($E336="","Enter Recipient Phone. ","")&amp;IF(AND($E336&lt;&gt;"",OR(LEN($E336)&lt;6,LEN($E336)&gt;20,NOT(IFERROR(ISNUMBER(1*$E336),FALSE())))),"Phone must be the LOCAL number for the destination country: digits only, no +, spaces, or country code, 6 to 20 digits. ","")&amp;IF(LEN($F336)&gt;35,"Recipient Company Name exceeds 35 characters. ","")&amp;IF($G336="","Enter Address Line 1. ","")&amp;IF(LEN($G336)&gt;35,"Address Line 1 exceeds the 35-character SAP limit. ","")&amp;IF(LEN($H336)&gt;35,"Address Line 2 exceeds the 35-character SAP limit. ","")&amp;IF(LEN($I336)&gt;35,"Address Line 3 exceeds the 35-character SAP limit. ","")&amp;IF($J336="","Enter Town. This must never be left blank, even if there is no conventional town name. ","")&amp;IF(LEN($J336)&gt;35,"Town exceeds 35 characters. ","")&amp;IF(AND($N336="IE",$K336=""),"County is required for deliveries within the Republic of Ireland. ","")&amp;IF(LEN($AB336)&gt;35,"County exceeds 35 characters. ","")&amp;IF(AND($L336="",AND($N336&lt;&gt;"AE",$N336&lt;&gt;"QA")),"Postcode is required for the selected country. If there is genuinely no postcode, enter the first 3 characters of the area (e.g. D15). ","")&amp;IF(LEN($L336)&gt;35,"Postcode exceeds 35 characters. ","")&amp;IF($AE336&lt;&gt;"",$AE336,"")&amp;IF(LEN($O336)&gt;40,"Gift Message Line 1 exceeds 40 characters. ","")&amp;IF(LEN($P336)&gt;40,"Gift Message Line 2 exceeds 40 characters. ","")&amp;IF(LEN($Q336)&gt;40,"Gift Message Line 3 exceeds 40 characters. ","")&amp;IF(LEN($R336)&gt;40,"Gift Message Line 4 exceeds 40 characters. ","")&amp;IF(LEN($S336)&gt;40,"Gift Message Line 5 exceeds 40 characters. ","")&amp;IF(LEN($T336)&gt;40,"Gift Message Line 6 exceeds 40 characters. ","")&amp;IF(LEN($U336)&gt;40,"Gift Message Line 7 exceeds 40 characters. ",""))</f>
        <v/>
      </c>
      <c r="Y336" s="44" t="str">
        <f t="shared" si="21"/>
        <v/>
      </c>
      <c r="Z336" s="44"/>
      <c r="AA336" s="44"/>
      <c r="AB336" s="32" t="str">
        <f t="shared" si="22"/>
        <v/>
      </c>
      <c r="AC336" s="32" t="str">
        <f>IF($A336="","",IFERROR(LEFT(INDEX('PRODUCT DATA'!$NO$2:$NO$25,MATCH($A336,'PRODUCT DATA'!$NP$2:$NP$25,0)),FIND("|",INDEX('PRODUCT DATA'!$NO$2:$NO$25,MATCH($A336,'PRODUCT DATA'!$NP$2:$NP$25,0)))-1),$A336))</f>
        <v/>
      </c>
      <c r="AD336" s="45"/>
      <c r="AE336" s="45" t="str">
        <f t="shared" si="23"/>
        <v/>
      </c>
    </row>
    <row r="337" spans="1:31" ht="15" customHeight="1" x14ac:dyDescent="0.25">
      <c r="A337" s="40"/>
      <c r="B337" s="43" t="str">
        <f>IF($A337="","",IFERROR(VLOOKUP($AC337,'PRODUCT DATA'!$NR$2:$NS$374,2,FALSE()),"UNKNOWN ITEM CODE - please check"))</f>
        <v/>
      </c>
      <c r="C337" s="39">
        <v>1</v>
      </c>
      <c r="D337" s="39"/>
      <c r="E337" s="40"/>
      <c r="F337" s="41"/>
      <c r="G337" s="39"/>
      <c r="H337" s="41"/>
      <c r="I337" s="41"/>
      <c r="J337" s="39"/>
      <c r="K337" s="41"/>
      <c r="L337" s="40"/>
      <c r="M337" s="40"/>
      <c r="N337" s="42" t="str">
        <f>IF($M337="","",IFERROR(INDEX('PRODUCT DATA'!$B$2:$B$58,MATCH(IF(UPPER($M337)="UK","GB",$M337),'PRODUCT DATA'!$B$2:$B$58,0)),IFERROR(INDEX('PRODUCT DATA'!$B$2:$B$58,MATCH(IF(UPPER($M337)="UK","GB",$M337),'PRODUCT DATA'!$A$2:$A$58,0)),"UNKNOWN COUNTRY - please check")))</f>
        <v/>
      </c>
      <c r="O337" s="41"/>
      <c r="P337" s="41"/>
      <c r="Q337" s="41"/>
      <c r="R337" s="41"/>
      <c r="S337" s="41"/>
      <c r="T337" s="41"/>
      <c r="U337" s="41"/>
      <c r="V337" s="43" t="str">
        <f t="shared" si="20"/>
        <v/>
      </c>
      <c r="W337" s="44" t="str">
        <f ca="1">IF(COUNTA($A337,$D337:$M337,$O337:$U337)=0,"",IF($A337="","Item Code; ","")&amp;IF(AND($A337&lt;&gt;"",ISNA(MATCH($AC337,'PRODUCT DATA'!$D$2:$D$394,0))),"Item Code; ","")&amp;IF($M337="","Country; ","")&amp;IF(AND($M337&lt;&gt;"",NOT(OR(NOT(ISNA(MATCH(IF(UPPER($M337)="UK","GB",$M337),'PRODUCT DATA'!$A$2:$A$58,0))),NOT(ISNA(MATCH(IF(UPPER($M337)="UK","GB",$M337),'PRODUCT DATA'!$B$2:$B$58,0)))))),"Country; ","")&amp;IF(AND($A337&lt;&gt;"",$M337&lt;&gt;"",NOT(ISNA(MATCH($AC337,'PRODUCT DATA'!$D$2:$D$394,0))),OR(NOT(ISNA(MATCH(IF(UPPER($M337)="UK","GB",$M337),'PRODUCT DATA'!$A$2:$A$58,0))),NOT(ISNA(MATCH(IF(UPPER($M337)="UK","GB",$M337),'PRODUCT DATA'!$B$2:$B$58,0)))),NOT(IFERROR(COUNTIF(OFFSET('PRODUCT DATA'!$F$2,0,MATCH($AC337,'PRODUCT DATA'!$F$1:$NN$1,0)-1,114,1),$N337)&gt;0,FALSE()))),IF(UPPER(IFERROR(OFFSET('PRODUCT DATA'!$C$2,MATCH($N337,'PRODUCT DATA'!$B$2:$B$58,0)-1,0),""))="NO","Alcohol Restriction; ","Item Code / Country combination; "),"")&amp;IF($C337="","Quantity; ","")&amp;IF(AND($C337&lt;&gt;"",OR(NOT(ISNUMBER($C337)),$C337&lt;1,$C337&gt;999,MOD($C337,1)&lt;&gt;0)),"Quantity; ","")&amp;IF($D337="","Recipient Name; ","")&amp;IF(LEN($D337)&gt;35,"Recipient Name; ","")&amp;IF($E337="","Recipient Phone; ","")&amp;IF(AND($E337&lt;&gt;"",OR(LEN($E337)&lt;6,LEN($E337)&gt;20,NOT(IFERROR(ISNUMBER(1*$E337),FALSE())))),"Recipient Phone; ","")&amp;IF(LEN($F337)&gt;35,"Recipient Company Name; ","")&amp;IF($G337="","Address Line 1; ","")&amp;IF(LEN($G337)&gt;35,"Address Line 1; ","")&amp;IF(LEN($H337)&gt;35,"Address Line 2; ","")&amp;IF(LEN($I337)&gt;35,"Address Line 3; ","")&amp;IF($J337="","Town; ","")&amp;IF(LEN($J337)&gt;35,"Town; ","")&amp;IF(AND($N337="IE",$K337=""),"County; ","")&amp;IF(LEN($AB337)&gt;35,"County; ","")&amp;IF(AND($L337="",AND($N337&lt;&gt;"AE",$N337&lt;&gt;"QA")),"Postcode; ","")&amp;IF(LEN($L337)&gt;35,"Postcode; ","")&amp;IF($AE337&lt;&gt;"","Postcode; ","")&amp;IF(LEN($O337)&gt;40,"Gift Message 1; ","")&amp;IF(LEN($P337)&gt;40,"Gift Message 2; ","")&amp;IF(LEN($Q337)&gt;40,"Gift Message 3; ","")&amp;IF(LEN($R337)&gt;40,"Gift Message 4; ","")&amp;IF(LEN($S337)&gt;40,"Gift Message 5; ","")&amp;IF(LEN($T337)&gt;40,"Gift Message 6; ","")&amp;IF(LEN($U337)&gt;40,"Gift Message 7; ",""))</f>
        <v/>
      </c>
      <c r="X337" s="44" t="str">
        <f ca="1">IF(COUNTA($A337,$D337:$M337,$O337:$U337)=0,"",IF($A337="","Enter the Item Code (hamper) - type it, paste it, or choose it from the dropdown. ","")&amp;IF(AND($A337&lt;&gt;"",ISNA(MATCH($AC337,'PRODUCT DATA'!$D$2:$D$394,0))),"This Item Code is not recognised. Check the code (case does not matter, but spelling and digits must match exactly) or choose it from the dropdown. ","")&amp;IF($M337="","Enter the Country after the Item Code - type or paste the name or the 2-letter code, or choose it from the dropdown. ","")&amp;IF(AND($M337&lt;&gt;"",NOT(OR(NOT(ISNA(MATCH(IF(UPPER($M337)="UK","GB",$M337),'PRODUCT DATA'!$A$2:$A$58,0))),NOT(ISNA(MATCH(IF(UPPER($M337)="UK","GB",$M337),'PRODUCT DATA'!$B$2:$B$58,0)))))),"This Country is not recognised as either a full name or a 2-letter code. Check the spelling (case does not matter) or choose it from the dropdown. ","")&amp;IF(AND($A337&lt;&gt;"",$M337&lt;&gt;"",NOT(ISNA(MATCH($AC337,'PRODUCT DATA'!$D$2:$D$394,0))),OR(NOT(ISNA(MATCH(IF(UPPER($M337)="UK","GB",$M337),'PRODUCT DATA'!$A$2:$A$58,0))),NOT(ISNA(MATCH(IF(UPPER($M337)="UK","GB",$M337),'PRODUCT DATA'!$B$2:$B$58,0)))),NOT(IFERROR(COUNTIF(OFFSET('PRODUCT DATA'!$F$2,0,MATCH($AC337,'PRODUCT DATA'!$F$1:$NN$1,0)-1,114,1),$N337)&gt;0,FALSE()))),IF(UPPER(IFERROR(OFFSET('PRODUCT DATA'!$C$2,MATCH($N337,'PRODUCT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"),"")&amp;IF($C337="","Enter Quantity. ","")&amp;IF(AND($C337&lt;&gt;"",OR(NOT(ISNUMBER($C337)),$C337&lt;1,$C337&gt;999,MOD($C337,1)&lt;&gt;0)),"Quantity must be a whole number from 1 to 999 (use a quantity above 1 only for a genuine bulk order of identical items to ONE address — otherwise use a separate row per recipient). ","")&amp;IF($D337="","Enter Recipient Name. ","")&amp;IF(LEN($D337)&gt;35,"Recipient Name exceeds 35 characters. ","")&amp;IF($E337="","Enter Recipient Phone. ","")&amp;IF(AND($E337&lt;&gt;"",OR(LEN($E337)&lt;6,LEN($E337)&gt;20,NOT(IFERROR(ISNUMBER(1*$E337),FALSE())))),"Phone must be the LOCAL number for the destination country: digits only, no +, spaces, or country code, 6 to 20 digits. ","")&amp;IF(LEN($F337)&gt;35,"Recipient Company Name exceeds 35 characters. ","")&amp;IF($G337="","Enter Address Line 1. ","")&amp;IF(LEN($G337)&gt;35,"Address Line 1 exceeds the 35-character SAP limit. ","")&amp;IF(LEN($H337)&gt;35,"Address Line 2 exceeds the 35-character SAP limit. ","")&amp;IF(LEN($I337)&gt;35,"Address Line 3 exceeds the 35-character SAP limit. ","")&amp;IF($J337="","Enter Town. This must never be left blank, even if there is no conventional town name. ","")&amp;IF(LEN($J337)&gt;35,"Town exceeds 35 characters. ","")&amp;IF(AND($N337="IE",$K337=""),"County is required for deliveries within the Republic of Ireland. ","")&amp;IF(LEN($AB337)&gt;35,"County exceeds 35 characters. ","")&amp;IF(AND($L337="",AND($N337&lt;&gt;"AE",$N337&lt;&gt;"QA")),"Postcode is required for the selected country. If there is genuinely no postcode, enter the first 3 characters of the area (e.g. D15). ","")&amp;IF(LEN($L337)&gt;35,"Postcode exceeds 35 characters. ","")&amp;IF($AE337&lt;&gt;"",$AE337,"")&amp;IF(LEN($O337)&gt;40,"Gift Message Line 1 exceeds 40 characters. ","")&amp;IF(LEN($P337)&gt;40,"Gift Message Line 2 exceeds 40 characters. ","")&amp;IF(LEN($Q337)&gt;40,"Gift Message Line 3 exceeds 40 characters. ","")&amp;IF(LEN($R337)&gt;40,"Gift Message Line 4 exceeds 40 characters. ","")&amp;IF(LEN($S337)&gt;40,"Gift Message Line 5 exceeds 40 characters. ","")&amp;IF(LEN($T337)&gt;40,"Gift Message Line 6 exceeds 40 characters. ","")&amp;IF(LEN($U337)&gt;40,"Gift Message Line 7 exceeds 40 characters. ",""))</f>
        <v/>
      </c>
      <c r="Y337" s="44" t="str">
        <f t="shared" si="21"/>
        <v/>
      </c>
      <c r="Z337" s="44"/>
      <c r="AA337" s="44"/>
      <c r="AB337" s="32" t="str">
        <f t="shared" si="22"/>
        <v/>
      </c>
      <c r="AC337" s="32" t="str">
        <f>IF($A337="","",IFERROR(LEFT(INDEX('PRODUCT DATA'!$NO$2:$NO$25,MATCH($A337,'PRODUCT DATA'!$NP$2:$NP$25,0)),FIND("|",INDEX('PRODUCT DATA'!$NO$2:$NO$25,MATCH($A337,'PRODUCT DATA'!$NP$2:$NP$25,0)))-1),$A337))</f>
        <v/>
      </c>
      <c r="AD337" s="45"/>
      <c r="AE337" s="45" t="str">
        <f t="shared" si="23"/>
        <v/>
      </c>
    </row>
    <row r="338" spans="1:31" ht="15" customHeight="1" x14ac:dyDescent="0.25">
      <c r="A338" s="40"/>
      <c r="B338" s="43" t="str">
        <f>IF($A338="","",IFERROR(VLOOKUP($AC338,'PRODUCT DATA'!$NR$2:$NS$374,2,FALSE()),"UNKNOWN ITEM CODE - please check"))</f>
        <v/>
      </c>
      <c r="C338" s="39">
        <v>1</v>
      </c>
      <c r="D338" s="39"/>
      <c r="E338" s="40"/>
      <c r="F338" s="41"/>
      <c r="G338" s="39"/>
      <c r="H338" s="41"/>
      <c r="I338" s="41"/>
      <c r="J338" s="39"/>
      <c r="K338" s="41"/>
      <c r="L338" s="40"/>
      <c r="M338" s="40"/>
      <c r="N338" s="42" t="str">
        <f>IF($M338="","",IFERROR(INDEX('PRODUCT DATA'!$B$2:$B$58,MATCH(IF(UPPER($M338)="UK","GB",$M338),'PRODUCT DATA'!$B$2:$B$58,0)),IFERROR(INDEX('PRODUCT DATA'!$B$2:$B$58,MATCH(IF(UPPER($M338)="UK","GB",$M338),'PRODUCT DATA'!$A$2:$A$58,0)),"UNKNOWN COUNTRY - please check")))</f>
        <v/>
      </c>
      <c r="O338" s="41"/>
      <c r="P338" s="41"/>
      <c r="Q338" s="41"/>
      <c r="R338" s="41"/>
      <c r="S338" s="41"/>
      <c r="T338" s="41"/>
      <c r="U338" s="41"/>
      <c r="V338" s="43" t="str">
        <f t="shared" si="20"/>
        <v/>
      </c>
      <c r="W338" s="44" t="str">
        <f ca="1">IF(COUNTA($A338,$D338:$M338,$O338:$U338)=0,"",IF($A338="","Item Code; ","")&amp;IF(AND($A338&lt;&gt;"",ISNA(MATCH($AC338,'PRODUCT DATA'!$D$2:$D$394,0))),"Item Code; ","")&amp;IF($M338="","Country; ","")&amp;IF(AND($M338&lt;&gt;"",NOT(OR(NOT(ISNA(MATCH(IF(UPPER($M338)="UK","GB",$M338),'PRODUCT DATA'!$A$2:$A$58,0))),NOT(ISNA(MATCH(IF(UPPER($M338)="UK","GB",$M338),'PRODUCT DATA'!$B$2:$B$58,0)))))),"Country; ","")&amp;IF(AND($A338&lt;&gt;"",$M338&lt;&gt;"",NOT(ISNA(MATCH($AC338,'PRODUCT DATA'!$D$2:$D$394,0))),OR(NOT(ISNA(MATCH(IF(UPPER($M338)="UK","GB",$M338),'PRODUCT DATA'!$A$2:$A$58,0))),NOT(ISNA(MATCH(IF(UPPER($M338)="UK","GB",$M338),'PRODUCT DATA'!$B$2:$B$58,0)))),NOT(IFERROR(COUNTIF(OFFSET('PRODUCT DATA'!$F$2,0,MATCH($AC338,'PRODUCT DATA'!$F$1:$NN$1,0)-1,114,1),$N338)&gt;0,FALSE()))),IF(UPPER(IFERROR(OFFSET('PRODUCT DATA'!$C$2,MATCH($N338,'PRODUCT DATA'!$B$2:$B$58,0)-1,0),""))="NO","Alcohol Restriction; ","Item Code / Country combination; "),"")&amp;IF($C338="","Quantity; ","")&amp;IF(AND($C338&lt;&gt;"",OR(NOT(ISNUMBER($C338)),$C338&lt;1,$C338&gt;999,MOD($C338,1)&lt;&gt;0)),"Quantity; ","")&amp;IF($D338="","Recipient Name; ","")&amp;IF(LEN($D338)&gt;35,"Recipient Name; ","")&amp;IF($E338="","Recipient Phone; ","")&amp;IF(AND($E338&lt;&gt;"",OR(LEN($E338)&lt;6,LEN($E338)&gt;20,NOT(IFERROR(ISNUMBER(1*$E338),FALSE())))),"Recipient Phone; ","")&amp;IF(LEN($F338)&gt;35,"Recipient Company Name; ","")&amp;IF($G338="","Address Line 1; ","")&amp;IF(LEN($G338)&gt;35,"Address Line 1; ","")&amp;IF(LEN($H338)&gt;35,"Address Line 2; ","")&amp;IF(LEN($I338)&gt;35,"Address Line 3; ","")&amp;IF($J338="","Town; ","")&amp;IF(LEN($J338)&gt;35,"Town; ","")&amp;IF(AND($N338="IE",$K338=""),"County; ","")&amp;IF(LEN($AB338)&gt;35,"County; ","")&amp;IF(AND($L338="",AND($N338&lt;&gt;"AE",$N338&lt;&gt;"QA")),"Postcode; ","")&amp;IF(LEN($L338)&gt;35,"Postcode; ","")&amp;IF($AE338&lt;&gt;"","Postcode; ","")&amp;IF(LEN($O338)&gt;40,"Gift Message 1; ","")&amp;IF(LEN($P338)&gt;40,"Gift Message 2; ","")&amp;IF(LEN($Q338)&gt;40,"Gift Message 3; ","")&amp;IF(LEN($R338)&gt;40,"Gift Message 4; ","")&amp;IF(LEN($S338)&gt;40,"Gift Message 5; ","")&amp;IF(LEN($T338)&gt;40,"Gift Message 6; ","")&amp;IF(LEN($U338)&gt;40,"Gift Message 7; ",""))</f>
        <v/>
      </c>
      <c r="X338" s="44" t="str">
        <f ca="1">IF(COUNTA($A338,$D338:$M338,$O338:$U338)=0,"",IF($A338="","Enter the Item Code (hamper) - type it, paste it, or choose it from the dropdown. ","")&amp;IF(AND($A338&lt;&gt;"",ISNA(MATCH($AC338,'PRODUCT DATA'!$D$2:$D$394,0))),"This Item Code is not recognised. Check the code (case does not matter, but spelling and digits must match exactly) or choose it from the dropdown. ","")&amp;IF($M338="","Enter the Country after the Item Code - type or paste the name or the 2-letter code, or choose it from the dropdown. ","")&amp;IF(AND($M338&lt;&gt;"",NOT(OR(NOT(ISNA(MATCH(IF(UPPER($M338)="UK","GB",$M338),'PRODUCT DATA'!$A$2:$A$58,0))),NOT(ISNA(MATCH(IF(UPPER($M338)="UK","GB",$M338),'PRODUCT DATA'!$B$2:$B$58,0)))))),"This Country is not recognised as either a full name or a 2-letter code. Check the spelling (case does not matter) or choose it from the dropdown. ","")&amp;IF(AND($A338&lt;&gt;"",$M338&lt;&gt;"",NOT(ISNA(MATCH($AC338,'PRODUCT DATA'!$D$2:$D$394,0))),OR(NOT(ISNA(MATCH(IF(UPPER($M338)="UK","GB",$M338),'PRODUCT DATA'!$A$2:$A$58,0))),NOT(ISNA(MATCH(IF(UPPER($M338)="UK","GB",$M338),'PRODUCT DATA'!$B$2:$B$58,0)))),NOT(IFERROR(COUNTIF(OFFSET('PRODUCT DATA'!$F$2,0,MATCH($AC338,'PRODUCT DATA'!$F$1:$NN$1,0)-1,114,1),$N338)&gt;0,FALSE()))),IF(UPPER(IFERROR(OFFSET('PRODUCT DATA'!$C$2,MATCH($N338,'PRODUCT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"),"")&amp;IF($C338="","Enter Quantity. ","")&amp;IF(AND($C338&lt;&gt;"",OR(NOT(ISNUMBER($C338)),$C338&lt;1,$C338&gt;999,MOD($C338,1)&lt;&gt;0)),"Quantity must be a whole number from 1 to 999 (use a quantity above 1 only for a genuine bulk order of identical items to ONE address — otherwise use a separate row per recipient). ","")&amp;IF($D338="","Enter Recipient Name. ","")&amp;IF(LEN($D338)&gt;35,"Recipient Name exceeds 35 characters. ","")&amp;IF($E338="","Enter Recipient Phone. ","")&amp;IF(AND($E338&lt;&gt;"",OR(LEN($E338)&lt;6,LEN($E338)&gt;20,NOT(IFERROR(ISNUMBER(1*$E338),FALSE())))),"Phone must be the LOCAL number for the destination country: digits only, no +, spaces, or country code, 6 to 20 digits. ","")&amp;IF(LEN($F338)&gt;35,"Recipient Company Name exceeds 35 characters. ","")&amp;IF($G338="","Enter Address Line 1. ","")&amp;IF(LEN($G338)&gt;35,"Address Line 1 exceeds the 35-character SAP limit. ","")&amp;IF(LEN($H338)&gt;35,"Address Line 2 exceeds the 35-character SAP limit. ","")&amp;IF(LEN($I338)&gt;35,"Address Line 3 exceeds the 35-character SAP limit. ","")&amp;IF($J338="","Enter Town. This must never be left blank, even if there is no conventional town name. ","")&amp;IF(LEN($J338)&gt;35,"Town exceeds 35 characters. ","")&amp;IF(AND($N338="IE",$K338=""),"County is required for deliveries within the Republic of Ireland. ","")&amp;IF(LEN($AB338)&gt;35,"County exceeds 35 characters. ","")&amp;IF(AND($L338="",AND($N338&lt;&gt;"AE",$N338&lt;&gt;"QA")),"Postcode is required for the selected country. If there is genuinely no postcode, enter the first 3 characters of the area (e.g. D15). ","")&amp;IF(LEN($L338)&gt;35,"Postcode exceeds 35 characters. ","")&amp;IF($AE338&lt;&gt;"",$AE338,"")&amp;IF(LEN($O338)&gt;40,"Gift Message Line 1 exceeds 40 characters. ","")&amp;IF(LEN($P338)&gt;40,"Gift Message Line 2 exceeds 40 characters. ","")&amp;IF(LEN($Q338)&gt;40,"Gift Message Line 3 exceeds 40 characters. ","")&amp;IF(LEN($R338)&gt;40,"Gift Message Line 4 exceeds 40 characters. ","")&amp;IF(LEN($S338)&gt;40,"Gift Message Line 5 exceeds 40 characters. ","")&amp;IF(LEN($T338)&gt;40,"Gift Message Line 6 exceeds 40 characters. ","")&amp;IF(LEN($U338)&gt;40,"Gift Message Line 7 exceeds 40 characters. ",""))</f>
        <v/>
      </c>
      <c r="Y338" s="44" t="str">
        <f t="shared" si="21"/>
        <v/>
      </c>
      <c r="Z338" s="44"/>
      <c r="AA338" s="44"/>
      <c r="AB338" s="32" t="str">
        <f t="shared" si="22"/>
        <v/>
      </c>
      <c r="AC338" s="32" t="str">
        <f>IF($A338="","",IFERROR(LEFT(INDEX('PRODUCT DATA'!$NO$2:$NO$25,MATCH($A338,'PRODUCT DATA'!$NP$2:$NP$25,0)),FIND("|",INDEX('PRODUCT DATA'!$NO$2:$NO$25,MATCH($A338,'PRODUCT DATA'!$NP$2:$NP$25,0)))-1),$A338))</f>
        <v/>
      </c>
      <c r="AD338" s="45"/>
      <c r="AE338" s="45" t="str">
        <f t="shared" si="23"/>
        <v/>
      </c>
    </row>
    <row r="339" spans="1:31" ht="15" customHeight="1" x14ac:dyDescent="0.25">
      <c r="A339" s="40"/>
      <c r="B339" s="43" t="str">
        <f>IF($A339="","",IFERROR(VLOOKUP($AC339,'PRODUCT DATA'!$NR$2:$NS$374,2,FALSE()),"UNKNOWN ITEM CODE - please check"))</f>
        <v/>
      </c>
      <c r="C339" s="39">
        <v>1</v>
      </c>
      <c r="D339" s="39"/>
      <c r="E339" s="40"/>
      <c r="F339" s="41"/>
      <c r="G339" s="39"/>
      <c r="H339" s="41"/>
      <c r="I339" s="41"/>
      <c r="J339" s="39"/>
      <c r="K339" s="41"/>
      <c r="L339" s="40"/>
      <c r="M339" s="40"/>
      <c r="N339" s="42" t="str">
        <f>IF($M339="","",IFERROR(INDEX('PRODUCT DATA'!$B$2:$B$58,MATCH(IF(UPPER($M339)="UK","GB",$M339),'PRODUCT DATA'!$B$2:$B$58,0)),IFERROR(INDEX('PRODUCT DATA'!$B$2:$B$58,MATCH(IF(UPPER($M339)="UK","GB",$M339),'PRODUCT DATA'!$A$2:$A$58,0)),"UNKNOWN COUNTRY - please check")))</f>
        <v/>
      </c>
      <c r="O339" s="41"/>
      <c r="P339" s="41"/>
      <c r="Q339" s="41"/>
      <c r="R339" s="41"/>
      <c r="S339" s="41"/>
      <c r="T339" s="41"/>
      <c r="U339" s="41"/>
      <c r="V339" s="43" t="str">
        <f t="shared" si="20"/>
        <v/>
      </c>
      <c r="W339" s="44" t="str">
        <f ca="1">IF(COUNTA($A339,$D339:$M339,$O339:$U339)=0,"",IF($A339="","Item Code; ","")&amp;IF(AND($A339&lt;&gt;"",ISNA(MATCH($AC339,'PRODUCT DATA'!$D$2:$D$394,0))),"Item Code; ","")&amp;IF($M339="","Country; ","")&amp;IF(AND($M339&lt;&gt;"",NOT(OR(NOT(ISNA(MATCH(IF(UPPER($M339)="UK","GB",$M339),'PRODUCT DATA'!$A$2:$A$58,0))),NOT(ISNA(MATCH(IF(UPPER($M339)="UK","GB",$M339),'PRODUCT DATA'!$B$2:$B$58,0)))))),"Country; ","")&amp;IF(AND($A339&lt;&gt;"",$M339&lt;&gt;"",NOT(ISNA(MATCH($AC339,'PRODUCT DATA'!$D$2:$D$394,0))),OR(NOT(ISNA(MATCH(IF(UPPER($M339)="UK","GB",$M339),'PRODUCT DATA'!$A$2:$A$58,0))),NOT(ISNA(MATCH(IF(UPPER($M339)="UK","GB",$M339),'PRODUCT DATA'!$B$2:$B$58,0)))),NOT(IFERROR(COUNTIF(OFFSET('PRODUCT DATA'!$F$2,0,MATCH($AC339,'PRODUCT DATA'!$F$1:$NN$1,0)-1,114,1),$N339)&gt;0,FALSE()))),IF(UPPER(IFERROR(OFFSET('PRODUCT DATA'!$C$2,MATCH($N339,'PRODUCT DATA'!$B$2:$B$58,0)-1,0),""))="NO","Alcohol Restriction; ","Item Code / Country combination; "),"")&amp;IF($C339="","Quantity; ","")&amp;IF(AND($C339&lt;&gt;"",OR(NOT(ISNUMBER($C339)),$C339&lt;1,$C339&gt;999,MOD($C339,1)&lt;&gt;0)),"Quantity; ","")&amp;IF($D339="","Recipient Name; ","")&amp;IF(LEN($D339)&gt;35,"Recipient Name; ","")&amp;IF($E339="","Recipient Phone; ","")&amp;IF(AND($E339&lt;&gt;"",OR(LEN($E339)&lt;6,LEN($E339)&gt;20,NOT(IFERROR(ISNUMBER(1*$E339),FALSE())))),"Recipient Phone; ","")&amp;IF(LEN($F339)&gt;35,"Recipient Company Name; ","")&amp;IF($G339="","Address Line 1; ","")&amp;IF(LEN($G339)&gt;35,"Address Line 1; ","")&amp;IF(LEN($H339)&gt;35,"Address Line 2; ","")&amp;IF(LEN($I339)&gt;35,"Address Line 3; ","")&amp;IF($J339="","Town; ","")&amp;IF(LEN($J339)&gt;35,"Town; ","")&amp;IF(AND($N339="IE",$K339=""),"County; ","")&amp;IF(LEN($AB339)&gt;35,"County; ","")&amp;IF(AND($L339="",AND($N339&lt;&gt;"AE",$N339&lt;&gt;"QA")),"Postcode; ","")&amp;IF(LEN($L339)&gt;35,"Postcode; ","")&amp;IF($AE339&lt;&gt;"","Postcode; ","")&amp;IF(LEN($O339)&gt;40,"Gift Message 1; ","")&amp;IF(LEN($P339)&gt;40,"Gift Message 2; ","")&amp;IF(LEN($Q339)&gt;40,"Gift Message 3; ","")&amp;IF(LEN($R339)&gt;40,"Gift Message 4; ","")&amp;IF(LEN($S339)&gt;40,"Gift Message 5; ","")&amp;IF(LEN($T339)&gt;40,"Gift Message 6; ","")&amp;IF(LEN($U339)&gt;40,"Gift Message 7; ",""))</f>
        <v/>
      </c>
      <c r="X339" s="44" t="str">
        <f ca="1">IF(COUNTA($A339,$D339:$M339,$O339:$U339)=0,"",IF($A339="","Enter the Item Code (hamper) - type it, paste it, or choose it from the dropdown. ","")&amp;IF(AND($A339&lt;&gt;"",ISNA(MATCH($AC339,'PRODUCT DATA'!$D$2:$D$394,0))),"This Item Code is not recognised. Check the code (case does not matter, but spelling and digits must match exactly) or choose it from the dropdown. ","")&amp;IF($M339="","Enter the Country after the Item Code - type or paste the name or the 2-letter code, or choose it from the dropdown. ","")&amp;IF(AND($M339&lt;&gt;"",NOT(OR(NOT(ISNA(MATCH(IF(UPPER($M339)="UK","GB",$M339),'PRODUCT DATA'!$A$2:$A$58,0))),NOT(ISNA(MATCH(IF(UPPER($M339)="UK","GB",$M339),'PRODUCT DATA'!$B$2:$B$58,0)))))),"This Country is not recognised as either a full name or a 2-letter code. Check the spelling (case does not matter) or choose it from the dropdown. ","")&amp;IF(AND($A339&lt;&gt;"",$M339&lt;&gt;"",NOT(ISNA(MATCH($AC339,'PRODUCT DATA'!$D$2:$D$394,0))),OR(NOT(ISNA(MATCH(IF(UPPER($M339)="UK","GB",$M339),'PRODUCT DATA'!$A$2:$A$58,0))),NOT(ISNA(MATCH(IF(UPPER($M339)="UK","GB",$M339),'PRODUCT DATA'!$B$2:$B$58,0)))),NOT(IFERROR(COUNTIF(OFFSET('PRODUCT DATA'!$F$2,0,MATCH($AC339,'PRODUCT DATA'!$F$1:$NN$1,0)-1,114,1),$N339)&gt;0,FALSE()))),IF(UPPER(IFERROR(OFFSET('PRODUCT DATA'!$C$2,MATCH($N339,'PRODUCT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"),"")&amp;IF($C339="","Enter Quantity. ","")&amp;IF(AND($C339&lt;&gt;"",OR(NOT(ISNUMBER($C339)),$C339&lt;1,$C339&gt;999,MOD($C339,1)&lt;&gt;0)),"Quantity must be a whole number from 1 to 999 (use a quantity above 1 only for a genuine bulk order of identical items to ONE address — otherwise use a separate row per recipient). ","")&amp;IF($D339="","Enter Recipient Name. ","")&amp;IF(LEN($D339)&gt;35,"Recipient Name exceeds 35 characters. ","")&amp;IF($E339="","Enter Recipient Phone. ","")&amp;IF(AND($E339&lt;&gt;"",OR(LEN($E339)&lt;6,LEN($E339)&gt;20,NOT(IFERROR(ISNUMBER(1*$E339),FALSE())))),"Phone must be the LOCAL number for the destination country: digits only, no +, spaces, or country code, 6 to 20 digits. ","")&amp;IF(LEN($F339)&gt;35,"Recipient Company Name exceeds 35 characters. ","")&amp;IF($G339="","Enter Address Line 1. ","")&amp;IF(LEN($G339)&gt;35,"Address Line 1 exceeds the 35-character SAP limit. ","")&amp;IF(LEN($H339)&gt;35,"Address Line 2 exceeds the 35-character SAP limit. ","")&amp;IF(LEN($I339)&gt;35,"Address Line 3 exceeds the 35-character SAP limit. ","")&amp;IF($J339="","Enter Town. This must never be left blank, even if there is no conventional town name. ","")&amp;IF(LEN($J339)&gt;35,"Town exceeds 35 characters. ","")&amp;IF(AND($N339="IE",$K339=""),"County is required for deliveries within the Republic of Ireland. ","")&amp;IF(LEN($AB339)&gt;35,"County exceeds 35 characters. ","")&amp;IF(AND($L339="",AND($N339&lt;&gt;"AE",$N339&lt;&gt;"QA")),"Postcode is required for the selected country. If there is genuinely no postcode, enter the first 3 characters of the area (e.g. D15). ","")&amp;IF(LEN($L339)&gt;35,"Postcode exceeds 35 characters. ","")&amp;IF($AE339&lt;&gt;"",$AE339,"")&amp;IF(LEN($O339)&gt;40,"Gift Message Line 1 exceeds 40 characters. ","")&amp;IF(LEN($P339)&gt;40,"Gift Message Line 2 exceeds 40 characters. ","")&amp;IF(LEN($Q339)&gt;40,"Gift Message Line 3 exceeds 40 characters. ","")&amp;IF(LEN($R339)&gt;40,"Gift Message Line 4 exceeds 40 characters. ","")&amp;IF(LEN($S339)&gt;40,"Gift Message Line 5 exceeds 40 characters. ","")&amp;IF(LEN($T339)&gt;40,"Gift Message Line 6 exceeds 40 characters. ","")&amp;IF(LEN($U339)&gt;40,"Gift Message Line 7 exceeds 40 characters. ",""))</f>
        <v/>
      </c>
      <c r="Y339" s="44" t="str">
        <f t="shared" si="21"/>
        <v/>
      </c>
      <c r="Z339" s="44"/>
      <c r="AA339" s="44"/>
      <c r="AB339" s="32" t="str">
        <f t="shared" si="22"/>
        <v/>
      </c>
      <c r="AC339" s="32" t="str">
        <f>IF($A339="","",IFERROR(LEFT(INDEX('PRODUCT DATA'!$NO$2:$NO$25,MATCH($A339,'PRODUCT DATA'!$NP$2:$NP$25,0)),FIND("|",INDEX('PRODUCT DATA'!$NO$2:$NO$25,MATCH($A339,'PRODUCT DATA'!$NP$2:$NP$25,0)))-1),$A339))</f>
        <v/>
      </c>
      <c r="AD339" s="45"/>
      <c r="AE339" s="45" t="str">
        <f t="shared" si="23"/>
        <v/>
      </c>
    </row>
    <row r="340" spans="1:31" ht="15" customHeight="1" x14ac:dyDescent="0.25">
      <c r="A340" s="40"/>
      <c r="B340" s="43" t="str">
        <f>IF($A340="","",IFERROR(VLOOKUP($AC340,'PRODUCT DATA'!$NR$2:$NS$374,2,FALSE()),"UNKNOWN ITEM CODE - please check"))</f>
        <v/>
      </c>
      <c r="C340" s="39">
        <v>1</v>
      </c>
      <c r="D340" s="39"/>
      <c r="E340" s="40"/>
      <c r="F340" s="41"/>
      <c r="G340" s="39"/>
      <c r="H340" s="41"/>
      <c r="I340" s="41"/>
      <c r="J340" s="39"/>
      <c r="K340" s="41"/>
      <c r="L340" s="40"/>
      <c r="M340" s="40"/>
      <c r="N340" s="42" t="str">
        <f>IF($M340="","",IFERROR(INDEX('PRODUCT DATA'!$B$2:$B$58,MATCH(IF(UPPER($M340)="UK","GB",$M340),'PRODUCT DATA'!$B$2:$B$58,0)),IFERROR(INDEX('PRODUCT DATA'!$B$2:$B$58,MATCH(IF(UPPER($M340)="UK","GB",$M340),'PRODUCT DATA'!$A$2:$A$58,0)),"UNKNOWN COUNTRY - please check")))</f>
        <v/>
      </c>
      <c r="O340" s="41"/>
      <c r="P340" s="41"/>
      <c r="Q340" s="41"/>
      <c r="R340" s="41"/>
      <c r="S340" s="41"/>
      <c r="T340" s="41"/>
      <c r="U340" s="41"/>
      <c r="V340" s="43" t="str">
        <f t="shared" si="20"/>
        <v/>
      </c>
      <c r="W340" s="44" t="str">
        <f ca="1">IF(COUNTA($A340,$D340:$M340,$O340:$U340)=0,"",IF($A340="","Item Code; ","")&amp;IF(AND($A340&lt;&gt;"",ISNA(MATCH($AC340,'PRODUCT DATA'!$D$2:$D$394,0))),"Item Code; ","")&amp;IF($M340="","Country; ","")&amp;IF(AND($M340&lt;&gt;"",NOT(OR(NOT(ISNA(MATCH(IF(UPPER($M340)="UK","GB",$M340),'PRODUCT DATA'!$A$2:$A$58,0))),NOT(ISNA(MATCH(IF(UPPER($M340)="UK","GB",$M340),'PRODUCT DATA'!$B$2:$B$58,0)))))),"Country; ","")&amp;IF(AND($A340&lt;&gt;"",$M340&lt;&gt;"",NOT(ISNA(MATCH($AC340,'PRODUCT DATA'!$D$2:$D$394,0))),OR(NOT(ISNA(MATCH(IF(UPPER($M340)="UK","GB",$M340),'PRODUCT DATA'!$A$2:$A$58,0))),NOT(ISNA(MATCH(IF(UPPER($M340)="UK","GB",$M340),'PRODUCT DATA'!$B$2:$B$58,0)))),NOT(IFERROR(COUNTIF(OFFSET('PRODUCT DATA'!$F$2,0,MATCH($AC340,'PRODUCT DATA'!$F$1:$NN$1,0)-1,114,1),$N340)&gt;0,FALSE()))),IF(UPPER(IFERROR(OFFSET('PRODUCT DATA'!$C$2,MATCH($N340,'PRODUCT DATA'!$B$2:$B$58,0)-1,0),""))="NO","Alcohol Restriction; ","Item Code / Country combination; "),"")&amp;IF($C340="","Quantity; ","")&amp;IF(AND($C340&lt;&gt;"",OR(NOT(ISNUMBER($C340)),$C340&lt;1,$C340&gt;999,MOD($C340,1)&lt;&gt;0)),"Quantity; ","")&amp;IF($D340="","Recipient Name; ","")&amp;IF(LEN($D340)&gt;35,"Recipient Name; ","")&amp;IF($E340="","Recipient Phone; ","")&amp;IF(AND($E340&lt;&gt;"",OR(LEN($E340)&lt;6,LEN($E340)&gt;20,NOT(IFERROR(ISNUMBER(1*$E340),FALSE())))),"Recipient Phone; ","")&amp;IF(LEN($F340)&gt;35,"Recipient Company Name; ","")&amp;IF($G340="","Address Line 1; ","")&amp;IF(LEN($G340)&gt;35,"Address Line 1; ","")&amp;IF(LEN($H340)&gt;35,"Address Line 2; ","")&amp;IF(LEN($I340)&gt;35,"Address Line 3; ","")&amp;IF($J340="","Town; ","")&amp;IF(LEN($J340)&gt;35,"Town; ","")&amp;IF(AND($N340="IE",$K340=""),"County; ","")&amp;IF(LEN($AB340)&gt;35,"County; ","")&amp;IF(AND($L340="",AND($N340&lt;&gt;"AE",$N340&lt;&gt;"QA")),"Postcode; ","")&amp;IF(LEN($L340)&gt;35,"Postcode; ","")&amp;IF($AE340&lt;&gt;"","Postcode; ","")&amp;IF(LEN($O340)&gt;40,"Gift Message 1; ","")&amp;IF(LEN($P340)&gt;40,"Gift Message 2; ","")&amp;IF(LEN($Q340)&gt;40,"Gift Message 3; ","")&amp;IF(LEN($R340)&gt;40,"Gift Message 4; ","")&amp;IF(LEN($S340)&gt;40,"Gift Message 5; ","")&amp;IF(LEN($T340)&gt;40,"Gift Message 6; ","")&amp;IF(LEN($U340)&gt;40,"Gift Message 7; ",""))</f>
        <v/>
      </c>
      <c r="X340" s="44" t="str">
        <f ca="1">IF(COUNTA($A340,$D340:$M340,$O340:$U340)=0,"",IF($A340="","Enter the Item Code (hamper) - type it, paste it, or choose it from the dropdown. ","")&amp;IF(AND($A340&lt;&gt;"",ISNA(MATCH($AC340,'PRODUCT DATA'!$D$2:$D$394,0))),"This Item Code is not recognised. Check the code (case does not matter, but spelling and digits must match exactly) or choose it from the dropdown. ","")&amp;IF($M340="","Enter the Country after the Item Code - type or paste the name or the 2-letter code, or choose it from the dropdown. ","")&amp;IF(AND($M340&lt;&gt;"",NOT(OR(NOT(ISNA(MATCH(IF(UPPER($M340)="UK","GB",$M340),'PRODUCT DATA'!$A$2:$A$58,0))),NOT(ISNA(MATCH(IF(UPPER($M340)="UK","GB",$M340),'PRODUCT DATA'!$B$2:$B$58,0)))))),"This Country is not recognised as either a full name or a 2-letter code. Check the spelling (case does not matter) or choose it from the dropdown. ","")&amp;IF(AND($A340&lt;&gt;"",$M340&lt;&gt;"",NOT(ISNA(MATCH($AC340,'PRODUCT DATA'!$D$2:$D$394,0))),OR(NOT(ISNA(MATCH(IF(UPPER($M340)="UK","GB",$M340),'PRODUCT DATA'!$A$2:$A$58,0))),NOT(ISNA(MATCH(IF(UPPER($M340)="UK","GB",$M340),'PRODUCT DATA'!$B$2:$B$58,0)))),NOT(IFERROR(COUNTIF(OFFSET('PRODUCT DATA'!$F$2,0,MATCH($AC340,'PRODUCT DATA'!$F$1:$NN$1,0)-1,114,1),$N340)&gt;0,FALSE()))),IF(UPPER(IFERROR(OFFSET('PRODUCT DATA'!$C$2,MATCH($N340,'PRODUCT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"),"")&amp;IF($C340="","Enter Quantity. ","")&amp;IF(AND($C340&lt;&gt;"",OR(NOT(ISNUMBER($C340)),$C340&lt;1,$C340&gt;999,MOD($C340,1)&lt;&gt;0)),"Quantity must be a whole number from 1 to 999 (use a quantity above 1 only for a genuine bulk order of identical items to ONE address — otherwise use a separate row per recipient). ","")&amp;IF($D340="","Enter Recipient Name. ","")&amp;IF(LEN($D340)&gt;35,"Recipient Name exceeds 35 characters. ","")&amp;IF($E340="","Enter Recipient Phone. ","")&amp;IF(AND($E340&lt;&gt;"",OR(LEN($E340)&lt;6,LEN($E340)&gt;20,NOT(IFERROR(ISNUMBER(1*$E340),FALSE())))),"Phone must be the LOCAL number for the destination country: digits only, no +, spaces, or country code, 6 to 20 digits. ","")&amp;IF(LEN($F340)&gt;35,"Recipient Company Name exceeds 35 characters. ","")&amp;IF($G340="","Enter Address Line 1. ","")&amp;IF(LEN($G340)&gt;35,"Address Line 1 exceeds the 35-character SAP limit. ","")&amp;IF(LEN($H340)&gt;35,"Address Line 2 exceeds the 35-character SAP limit. ","")&amp;IF(LEN($I340)&gt;35,"Address Line 3 exceeds the 35-character SAP limit. ","")&amp;IF($J340="","Enter Town. This must never be left blank, even if there is no conventional town name. ","")&amp;IF(LEN($J340)&gt;35,"Town exceeds 35 characters. ","")&amp;IF(AND($N340="IE",$K340=""),"County is required for deliveries within the Republic of Ireland. ","")&amp;IF(LEN($AB340)&gt;35,"County exceeds 35 characters. ","")&amp;IF(AND($L340="",AND($N340&lt;&gt;"AE",$N340&lt;&gt;"QA")),"Postcode is required for the selected country. If there is genuinely no postcode, enter the first 3 characters of the area (e.g. D15). ","")&amp;IF(LEN($L340)&gt;35,"Postcode exceeds 35 characters. ","")&amp;IF($AE340&lt;&gt;"",$AE340,"")&amp;IF(LEN($O340)&gt;40,"Gift Message Line 1 exceeds 40 characters. ","")&amp;IF(LEN($P340)&gt;40,"Gift Message Line 2 exceeds 40 characters. ","")&amp;IF(LEN($Q340)&gt;40,"Gift Message Line 3 exceeds 40 characters. ","")&amp;IF(LEN($R340)&gt;40,"Gift Message Line 4 exceeds 40 characters. ","")&amp;IF(LEN($S340)&gt;40,"Gift Message Line 5 exceeds 40 characters. ","")&amp;IF(LEN($T340)&gt;40,"Gift Message Line 6 exceeds 40 characters. ","")&amp;IF(LEN($U340)&gt;40,"Gift Message Line 7 exceeds 40 characters. ",""))</f>
        <v/>
      </c>
      <c r="Y340" s="44" t="str">
        <f t="shared" si="21"/>
        <v/>
      </c>
      <c r="Z340" s="44"/>
      <c r="AA340" s="44"/>
      <c r="AB340" s="32" t="str">
        <f t="shared" si="22"/>
        <v/>
      </c>
      <c r="AC340" s="32" t="str">
        <f>IF($A340="","",IFERROR(LEFT(INDEX('PRODUCT DATA'!$NO$2:$NO$25,MATCH($A340,'PRODUCT DATA'!$NP$2:$NP$25,0)),FIND("|",INDEX('PRODUCT DATA'!$NO$2:$NO$25,MATCH($A340,'PRODUCT DATA'!$NP$2:$NP$25,0)))-1),$A340))</f>
        <v/>
      </c>
      <c r="AD340" s="45"/>
      <c r="AE340" s="45" t="str">
        <f t="shared" si="23"/>
        <v/>
      </c>
    </row>
    <row r="341" spans="1:31" ht="15" customHeight="1" x14ac:dyDescent="0.25">
      <c r="A341" s="40"/>
      <c r="B341" s="43" t="str">
        <f>IF($A341="","",IFERROR(VLOOKUP($AC341,'PRODUCT DATA'!$NR$2:$NS$374,2,FALSE()),"UNKNOWN ITEM CODE - please check"))</f>
        <v/>
      </c>
      <c r="C341" s="39">
        <v>1</v>
      </c>
      <c r="D341" s="39"/>
      <c r="E341" s="40"/>
      <c r="F341" s="41"/>
      <c r="G341" s="39"/>
      <c r="H341" s="41"/>
      <c r="I341" s="41"/>
      <c r="J341" s="39"/>
      <c r="K341" s="41"/>
      <c r="L341" s="40"/>
      <c r="M341" s="40"/>
      <c r="N341" s="42" t="str">
        <f>IF($M341="","",IFERROR(INDEX('PRODUCT DATA'!$B$2:$B$58,MATCH(IF(UPPER($M341)="UK","GB",$M341),'PRODUCT DATA'!$B$2:$B$58,0)),IFERROR(INDEX('PRODUCT DATA'!$B$2:$B$58,MATCH(IF(UPPER($M341)="UK","GB",$M341),'PRODUCT DATA'!$A$2:$A$58,0)),"UNKNOWN COUNTRY - please check")))</f>
        <v/>
      </c>
      <c r="O341" s="41"/>
      <c r="P341" s="41"/>
      <c r="Q341" s="41"/>
      <c r="R341" s="41"/>
      <c r="S341" s="41"/>
      <c r="T341" s="41"/>
      <c r="U341" s="41"/>
      <c r="V341" s="43" t="str">
        <f t="shared" si="20"/>
        <v/>
      </c>
      <c r="W341" s="44" t="str">
        <f ca="1">IF(COUNTA($A341,$D341:$M341,$O341:$U341)=0,"",IF($A341="","Item Code; ","")&amp;IF(AND($A341&lt;&gt;"",ISNA(MATCH($AC341,'PRODUCT DATA'!$D$2:$D$394,0))),"Item Code; ","")&amp;IF($M341="","Country; ","")&amp;IF(AND($M341&lt;&gt;"",NOT(OR(NOT(ISNA(MATCH(IF(UPPER($M341)="UK","GB",$M341),'PRODUCT DATA'!$A$2:$A$58,0))),NOT(ISNA(MATCH(IF(UPPER($M341)="UK","GB",$M341),'PRODUCT DATA'!$B$2:$B$58,0)))))),"Country; ","")&amp;IF(AND($A341&lt;&gt;"",$M341&lt;&gt;"",NOT(ISNA(MATCH($AC341,'PRODUCT DATA'!$D$2:$D$394,0))),OR(NOT(ISNA(MATCH(IF(UPPER($M341)="UK","GB",$M341),'PRODUCT DATA'!$A$2:$A$58,0))),NOT(ISNA(MATCH(IF(UPPER($M341)="UK","GB",$M341),'PRODUCT DATA'!$B$2:$B$58,0)))),NOT(IFERROR(COUNTIF(OFFSET('PRODUCT DATA'!$F$2,0,MATCH($AC341,'PRODUCT DATA'!$F$1:$NN$1,0)-1,114,1),$N341)&gt;0,FALSE()))),IF(UPPER(IFERROR(OFFSET('PRODUCT DATA'!$C$2,MATCH($N341,'PRODUCT DATA'!$B$2:$B$58,0)-1,0),""))="NO","Alcohol Restriction; ","Item Code / Country combination; "),"")&amp;IF($C341="","Quantity; ","")&amp;IF(AND($C341&lt;&gt;"",OR(NOT(ISNUMBER($C341)),$C341&lt;1,$C341&gt;999,MOD($C341,1)&lt;&gt;0)),"Quantity; ","")&amp;IF($D341="","Recipient Name; ","")&amp;IF(LEN($D341)&gt;35,"Recipient Name; ","")&amp;IF($E341="","Recipient Phone; ","")&amp;IF(AND($E341&lt;&gt;"",OR(LEN($E341)&lt;6,LEN($E341)&gt;20,NOT(IFERROR(ISNUMBER(1*$E341),FALSE())))),"Recipient Phone; ","")&amp;IF(LEN($F341)&gt;35,"Recipient Company Name; ","")&amp;IF($G341="","Address Line 1; ","")&amp;IF(LEN($G341)&gt;35,"Address Line 1; ","")&amp;IF(LEN($H341)&gt;35,"Address Line 2; ","")&amp;IF(LEN($I341)&gt;35,"Address Line 3; ","")&amp;IF($J341="","Town; ","")&amp;IF(LEN($J341)&gt;35,"Town; ","")&amp;IF(AND($N341="IE",$K341=""),"County; ","")&amp;IF(LEN($AB341)&gt;35,"County; ","")&amp;IF(AND($L341="",AND($N341&lt;&gt;"AE",$N341&lt;&gt;"QA")),"Postcode; ","")&amp;IF(LEN($L341)&gt;35,"Postcode; ","")&amp;IF($AE341&lt;&gt;"","Postcode; ","")&amp;IF(LEN($O341)&gt;40,"Gift Message 1; ","")&amp;IF(LEN($P341)&gt;40,"Gift Message 2; ","")&amp;IF(LEN($Q341)&gt;40,"Gift Message 3; ","")&amp;IF(LEN($R341)&gt;40,"Gift Message 4; ","")&amp;IF(LEN($S341)&gt;40,"Gift Message 5; ","")&amp;IF(LEN($T341)&gt;40,"Gift Message 6; ","")&amp;IF(LEN($U341)&gt;40,"Gift Message 7; ",""))</f>
        <v/>
      </c>
      <c r="X341" s="44" t="str">
        <f ca="1">IF(COUNTA($A341,$D341:$M341,$O341:$U341)=0,"",IF($A341="","Enter the Item Code (hamper) - type it, paste it, or choose it from the dropdown. ","")&amp;IF(AND($A341&lt;&gt;"",ISNA(MATCH($AC341,'PRODUCT DATA'!$D$2:$D$394,0))),"This Item Code is not recognised. Check the code (case does not matter, but spelling and digits must match exactly) or choose it from the dropdown. ","")&amp;IF($M341="","Enter the Country after the Item Code - type or paste the name or the 2-letter code, or choose it from the dropdown. ","")&amp;IF(AND($M341&lt;&gt;"",NOT(OR(NOT(ISNA(MATCH(IF(UPPER($M341)="UK","GB",$M341),'PRODUCT DATA'!$A$2:$A$58,0))),NOT(ISNA(MATCH(IF(UPPER($M341)="UK","GB",$M341),'PRODUCT DATA'!$B$2:$B$58,0)))))),"This Country is not recognised as either a full name or a 2-letter code. Check the spelling (case does not matter) or choose it from the dropdown. ","")&amp;IF(AND($A341&lt;&gt;"",$M341&lt;&gt;"",NOT(ISNA(MATCH($AC341,'PRODUCT DATA'!$D$2:$D$394,0))),OR(NOT(ISNA(MATCH(IF(UPPER($M341)="UK","GB",$M341),'PRODUCT DATA'!$A$2:$A$58,0))),NOT(ISNA(MATCH(IF(UPPER($M341)="UK","GB",$M341),'PRODUCT DATA'!$B$2:$B$58,0)))),NOT(IFERROR(COUNTIF(OFFSET('PRODUCT DATA'!$F$2,0,MATCH($AC341,'PRODUCT DATA'!$F$1:$NN$1,0)-1,114,1),$N341)&gt;0,FALSE()))),IF(UPPER(IFERROR(OFFSET('PRODUCT DATA'!$C$2,MATCH($N341,'PRODUCT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"),"")&amp;IF($C341="","Enter Quantity. ","")&amp;IF(AND($C341&lt;&gt;"",OR(NOT(ISNUMBER($C341)),$C341&lt;1,$C341&gt;999,MOD($C341,1)&lt;&gt;0)),"Quantity must be a whole number from 1 to 999 (use a quantity above 1 only for a genuine bulk order of identical items to ONE address — otherwise use a separate row per recipient). ","")&amp;IF($D341="","Enter Recipient Name. ","")&amp;IF(LEN($D341)&gt;35,"Recipient Name exceeds 35 characters. ","")&amp;IF($E341="","Enter Recipient Phone. ","")&amp;IF(AND($E341&lt;&gt;"",OR(LEN($E341)&lt;6,LEN($E341)&gt;20,NOT(IFERROR(ISNUMBER(1*$E341),FALSE())))),"Phone must be the LOCAL number for the destination country: digits only, no +, spaces, or country code, 6 to 20 digits. ","")&amp;IF(LEN($F341)&gt;35,"Recipient Company Name exceeds 35 characters. ","")&amp;IF($G341="","Enter Address Line 1. ","")&amp;IF(LEN($G341)&gt;35,"Address Line 1 exceeds the 35-character SAP limit. ","")&amp;IF(LEN($H341)&gt;35,"Address Line 2 exceeds the 35-character SAP limit. ","")&amp;IF(LEN($I341)&gt;35,"Address Line 3 exceeds the 35-character SAP limit. ","")&amp;IF($J341="","Enter Town. This must never be left blank, even if there is no conventional town name. ","")&amp;IF(LEN($J341)&gt;35,"Town exceeds 35 characters. ","")&amp;IF(AND($N341="IE",$K341=""),"County is required for deliveries within the Republic of Ireland. ","")&amp;IF(LEN($AB341)&gt;35,"County exceeds 35 characters. ","")&amp;IF(AND($L341="",AND($N341&lt;&gt;"AE",$N341&lt;&gt;"QA")),"Postcode is required for the selected country. If there is genuinely no postcode, enter the first 3 characters of the area (e.g. D15). ","")&amp;IF(LEN($L341)&gt;35,"Postcode exceeds 35 characters. ","")&amp;IF($AE341&lt;&gt;"",$AE341,"")&amp;IF(LEN($O341)&gt;40,"Gift Message Line 1 exceeds 40 characters. ","")&amp;IF(LEN($P341)&gt;40,"Gift Message Line 2 exceeds 40 characters. ","")&amp;IF(LEN($Q341)&gt;40,"Gift Message Line 3 exceeds 40 characters. ","")&amp;IF(LEN($R341)&gt;40,"Gift Message Line 4 exceeds 40 characters. ","")&amp;IF(LEN($S341)&gt;40,"Gift Message Line 5 exceeds 40 characters. ","")&amp;IF(LEN($T341)&gt;40,"Gift Message Line 6 exceeds 40 characters. ","")&amp;IF(LEN($U341)&gt;40,"Gift Message Line 7 exceeds 40 characters. ",""))</f>
        <v/>
      </c>
      <c r="Y341" s="44" t="str">
        <f t="shared" si="21"/>
        <v/>
      </c>
      <c r="Z341" s="44"/>
      <c r="AA341" s="44"/>
      <c r="AB341" s="32" t="str">
        <f t="shared" si="22"/>
        <v/>
      </c>
      <c r="AC341" s="32" t="str">
        <f>IF($A341="","",IFERROR(LEFT(INDEX('PRODUCT DATA'!$NO$2:$NO$25,MATCH($A341,'PRODUCT DATA'!$NP$2:$NP$25,0)),FIND("|",INDEX('PRODUCT DATA'!$NO$2:$NO$25,MATCH($A341,'PRODUCT DATA'!$NP$2:$NP$25,0)))-1),$A341))</f>
        <v/>
      </c>
      <c r="AD341" s="45"/>
      <c r="AE341" s="45" t="str">
        <f t="shared" si="23"/>
        <v/>
      </c>
    </row>
    <row r="342" spans="1:31" ht="15" customHeight="1" x14ac:dyDescent="0.25">
      <c r="A342" s="40"/>
      <c r="B342" s="43" t="str">
        <f>IF($A342="","",IFERROR(VLOOKUP($AC342,'PRODUCT DATA'!$NR$2:$NS$374,2,FALSE()),"UNKNOWN ITEM CODE - please check"))</f>
        <v/>
      </c>
      <c r="C342" s="39">
        <v>1</v>
      </c>
      <c r="D342" s="39"/>
      <c r="E342" s="40"/>
      <c r="F342" s="41"/>
      <c r="G342" s="39"/>
      <c r="H342" s="41"/>
      <c r="I342" s="41"/>
      <c r="J342" s="39"/>
      <c r="K342" s="41"/>
      <c r="L342" s="40"/>
      <c r="M342" s="40"/>
      <c r="N342" s="42" t="str">
        <f>IF($M342="","",IFERROR(INDEX('PRODUCT DATA'!$B$2:$B$58,MATCH(IF(UPPER($M342)="UK","GB",$M342),'PRODUCT DATA'!$B$2:$B$58,0)),IFERROR(INDEX('PRODUCT DATA'!$B$2:$B$58,MATCH(IF(UPPER($M342)="UK","GB",$M342),'PRODUCT DATA'!$A$2:$A$58,0)),"UNKNOWN COUNTRY - please check")))</f>
        <v/>
      </c>
      <c r="O342" s="41"/>
      <c r="P342" s="41"/>
      <c r="Q342" s="41"/>
      <c r="R342" s="41"/>
      <c r="S342" s="41"/>
      <c r="T342" s="41"/>
      <c r="U342" s="41"/>
      <c r="V342" s="43" t="str">
        <f t="shared" si="20"/>
        <v/>
      </c>
      <c r="W342" s="44" t="str">
        <f ca="1">IF(COUNTA($A342,$D342:$M342,$O342:$U342)=0,"",IF($A342="","Item Code; ","")&amp;IF(AND($A342&lt;&gt;"",ISNA(MATCH($AC342,'PRODUCT DATA'!$D$2:$D$394,0))),"Item Code; ","")&amp;IF($M342="","Country; ","")&amp;IF(AND($M342&lt;&gt;"",NOT(OR(NOT(ISNA(MATCH(IF(UPPER($M342)="UK","GB",$M342),'PRODUCT DATA'!$A$2:$A$58,0))),NOT(ISNA(MATCH(IF(UPPER($M342)="UK","GB",$M342),'PRODUCT DATA'!$B$2:$B$58,0)))))),"Country; ","")&amp;IF(AND($A342&lt;&gt;"",$M342&lt;&gt;"",NOT(ISNA(MATCH($AC342,'PRODUCT DATA'!$D$2:$D$394,0))),OR(NOT(ISNA(MATCH(IF(UPPER($M342)="UK","GB",$M342),'PRODUCT DATA'!$A$2:$A$58,0))),NOT(ISNA(MATCH(IF(UPPER($M342)="UK","GB",$M342),'PRODUCT DATA'!$B$2:$B$58,0)))),NOT(IFERROR(COUNTIF(OFFSET('PRODUCT DATA'!$F$2,0,MATCH($AC342,'PRODUCT DATA'!$F$1:$NN$1,0)-1,114,1),$N342)&gt;0,FALSE()))),IF(UPPER(IFERROR(OFFSET('PRODUCT DATA'!$C$2,MATCH($N342,'PRODUCT DATA'!$B$2:$B$58,0)-1,0),""))="NO","Alcohol Restriction; ","Item Code / Country combination; "),"")&amp;IF($C342="","Quantity; ","")&amp;IF(AND($C342&lt;&gt;"",OR(NOT(ISNUMBER($C342)),$C342&lt;1,$C342&gt;999,MOD($C342,1)&lt;&gt;0)),"Quantity; ","")&amp;IF($D342="","Recipient Name; ","")&amp;IF(LEN($D342)&gt;35,"Recipient Name; ","")&amp;IF($E342="","Recipient Phone; ","")&amp;IF(AND($E342&lt;&gt;"",OR(LEN($E342)&lt;6,LEN($E342)&gt;20,NOT(IFERROR(ISNUMBER(1*$E342),FALSE())))),"Recipient Phone; ","")&amp;IF(LEN($F342)&gt;35,"Recipient Company Name; ","")&amp;IF($G342="","Address Line 1; ","")&amp;IF(LEN($G342)&gt;35,"Address Line 1; ","")&amp;IF(LEN($H342)&gt;35,"Address Line 2; ","")&amp;IF(LEN($I342)&gt;35,"Address Line 3; ","")&amp;IF($J342="","Town; ","")&amp;IF(LEN($J342)&gt;35,"Town; ","")&amp;IF(AND($N342="IE",$K342=""),"County; ","")&amp;IF(LEN($AB342)&gt;35,"County; ","")&amp;IF(AND($L342="",AND($N342&lt;&gt;"AE",$N342&lt;&gt;"QA")),"Postcode; ","")&amp;IF(LEN($L342)&gt;35,"Postcode; ","")&amp;IF($AE342&lt;&gt;"","Postcode; ","")&amp;IF(LEN($O342)&gt;40,"Gift Message 1; ","")&amp;IF(LEN($P342)&gt;40,"Gift Message 2; ","")&amp;IF(LEN($Q342)&gt;40,"Gift Message 3; ","")&amp;IF(LEN($R342)&gt;40,"Gift Message 4; ","")&amp;IF(LEN($S342)&gt;40,"Gift Message 5; ","")&amp;IF(LEN($T342)&gt;40,"Gift Message 6; ","")&amp;IF(LEN($U342)&gt;40,"Gift Message 7; ",""))</f>
        <v/>
      </c>
      <c r="X342" s="44" t="str">
        <f ca="1">IF(COUNTA($A342,$D342:$M342,$O342:$U342)=0,"",IF($A342="","Enter the Item Code (hamper) - type it, paste it, or choose it from the dropdown. ","")&amp;IF(AND($A342&lt;&gt;"",ISNA(MATCH($AC342,'PRODUCT DATA'!$D$2:$D$394,0))),"This Item Code is not recognised. Check the code (case does not matter, but spelling and digits must match exactly) or choose it from the dropdown. ","")&amp;IF($M342="","Enter the Country after the Item Code - type or paste the name or the 2-letter code, or choose it from the dropdown. ","")&amp;IF(AND($M342&lt;&gt;"",NOT(OR(NOT(ISNA(MATCH(IF(UPPER($M342)="UK","GB",$M342),'PRODUCT DATA'!$A$2:$A$58,0))),NOT(ISNA(MATCH(IF(UPPER($M342)="UK","GB",$M342),'PRODUCT DATA'!$B$2:$B$58,0)))))),"This Country is not recognised as either a full name or a 2-letter code. Check the spelling (case does not matter) or choose it from the dropdown. ","")&amp;IF(AND($A342&lt;&gt;"",$M342&lt;&gt;"",NOT(ISNA(MATCH($AC342,'PRODUCT DATA'!$D$2:$D$394,0))),OR(NOT(ISNA(MATCH(IF(UPPER($M342)="UK","GB",$M342),'PRODUCT DATA'!$A$2:$A$58,0))),NOT(ISNA(MATCH(IF(UPPER($M342)="UK","GB",$M342),'PRODUCT DATA'!$B$2:$B$58,0)))),NOT(IFERROR(COUNTIF(OFFSET('PRODUCT DATA'!$F$2,0,MATCH($AC342,'PRODUCT DATA'!$F$1:$NN$1,0)-1,114,1),$N342)&gt;0,FALSE()))),IF(UPPER(IFERROR(OFFSET('PRODUCT DATA'!$C$2,MATCH($N342,'PRODUCT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"),"")&amp;IF($C342="","Enter Quantity. ","")&amp;IF(AND($C342&lt;&gt;"",OR(NOT(ISNUMBER($C342)),$C342&lt;1,$C342&gt;999,MOD($C342,1)&lt;&gt;0)),"Quantity must be a whole number from 1 to 999 (use a quantity above 1 only for a genuine bulk order of identical items to ONE address — otherwise use a separate row per recipient). ","")&amp;IF($D342="","Enter Recipient Name. ","")&amp;IF(LEN($D342)&gt;35,"Recipient Name exceeds 35 characters. ","")&amp;IF($E342="","Enter Recipient Phone. ","")&amp;IF(AND($E342&lt;&gt;"",OR(LEN($E342)&lt;6,LEN($E342)&gt;20,NOT(IFERROR(ISNUMBER(1*$E342),FALSE())))),"Phone must be the LOCAL number for the destination country: digits only, no +, spaces, or country code, 6 to 20 digits. ","")&amp;IF(LEN($F342)&gt;35,"Recipient Company Name exceeds 35 characters. ","")&amp;IF($G342="","Enter Address Line 1. ","")&amp;IF(LEN($G342)&gt;35,"Address Line 1 exceeds the 35-character SAP limit. ","")&amp;IF(LEN($H342)&gt;35,"Address Line 2 exceeds the 35-character SAP limit. ","")&amp;IF(LEN($I342)&gt;35,"Address Line 3 exceeds the 35-character SAP limit. ","")&amp;IF($J342="","Enter Town. This must never be left blank, even if there is no conventional town name. ","")&amp;IF(LEN($J342)&gt;35,"Town exceeds 35 characters. ","")&amp;IF(AND($N342="IE",$K342=""),"County is required for deliveries within the Republic of Ireland. ","")&amp;IF(LEN($AB342)&gt;35,"County exceeds 35 characters. ","")&amp;IF(AND($L342="",AND($N342&lt;&gt;"AE",$N342&lt;&gt;"QA")),"Postcode is required for the selected country. If there is genuinely no postcode, enter the first 3 characters of the area (e.g. D15). ","")&amp;IF(LEN($L342)&gt;35,"Postcode exceeds 35 characters. ","")&amp;IF($AE342&lt;&gt;"",$AE342,"")&amp;IF(LEN($O342)&gt;40,"Gift Message Line 1 exceeds 40 characters. ","")&amp;IF(LEN($P342)&gt;40,"Gift Message Line 2 exceeds 40 characters. ","")&amp;IF(LEN($Q342)&gt;40,"Gift Message Line 3 exceeds 40 characters. ","")&amp;IF(LEN($R342)&gt;40,"Gift Message Line 4 exceeds 40 characters. ","")&amp;IF(LEN($S342)&gt;40,"Gift Message Line 5 exceeds 40 characters. ","")&amp;IF(LEN($T342)&gt;40,"Gift Message Line 6 exceeds 40 characters. ","")&amp;IF(LEN($U342)&gt;40,"Gift Message Line 7 exceeds 40 characters. ",""))</f>
        <v/>
      </c>
      <c r="Y342" s="44" t="str">
        <f t="shared" si="21"/>
        <v/>
      </c>
      <c r="Z342" s="44"/>
      <c r="AA342" s="44"/>
      <c r="AB342" s="32" t="str">
        <f t="shared" si="22"/>
        <v/>
      </c>
      <c r="AC342" s="32" t="str">
        <f>IF($A342="","",IFERROR(LEFT(INDEX('PRODUCT DATA'!$NO$2:$NO$25,MATCH($A342,'PRODUCT DATA'!$NP$2:$NP$25,0)),FIND("|",INDEX('PRODUCT DATA'!$NO$2:$NO$25,MATCH($A342,'PRODUCT DATA'!$NP$2:$NP$25,0)))-1),$A342))</f>
        <v/>
      </c>
      <c r="AD342" s="45"/>
      <c r="AE342" s="45" t="str">
        <f t="shared" si="23"/>
        <v/>
      </c>
    </row>
    <row r="343" spans="1:31" ht="15" customHeight="1" x14ac:dyDescent="0.25">
      <c r="A343" s="40"/>
      <c r="B343" s="43" t="str">
        <f>IF($A343="","",IFERROR(VLOOKUP($AC343,'PRODUCT DATA'!$NR$2:$NS$374,2,FALSE()),"UNKNOWN ITEM CODE - please check"))</f>
        <v/>
      </c>
      <c r="C343" s="39">
        <v>1</v>
      </c>
      <c r="D343" s="39"/>
      <c r="E343" s="40"/>
      <c r="F343" s="41"/>
      <c r="G343" s="39"/>
      <c r="H343" s="41"/>
      <c r="I343" s="41"/>
      <c r="J343" s="39"/>
      <c r="K343" s="41"/>
      <c r="L343" s="40"/>
      <c r="M343" s="40"/>
      <c r="N343" s="42" t="str">
        <f>IF($M343="","",IFERROR(INDEX('PRODUCT DATA'!$B$2:$B$58,MATCH(IF(UPPER($M343)="UK","GB",$M343),'PRODUCT DATA'!$B$2:$B$58,0)),IFERROR(INDEX('PRODUCT DATA'!$B$2:$B$58,MATCH(IF(UPPER($M343)="UK","GB",$M343),'PRODUCT DATA'!$A$2:$A$58,0)),"UNKNOWN COUNTRY - please check")))</f>
        <v/>
      </c>
      <c r="O343" s="41"/>
      <c r="P343" s="41"/>
      <c r="Q343" s="41"/>
      <c r="R343" s="41"/>
      <c r="S343" s="41"/>
      <c r="T343" s="41"/>
      <c r="U343" s="41"/>
      <c r="V343" s="43" t="str">
        <f t="shared" si="20"/>
        <v/>
      </c>
      <c r="W343" s="44" t="str">
        <f ca="1">IF(COUNTA($A343,$D343:$M343,$O343:$U343)=0,"",IF($A343="","Item Code; ","")&amp;IF(AND($A343&lt;&gt;"",ISNA(MATCH($AC343,'PRODUCT DATA'!$D$2:$D$394,0))),"Item Code; ","")&amp;IF($M343="","Country; ","")&amp;IF(AND($M343&lt;&gt;"",NOT(OR(NOT(ISNA(MATCH(IF(UPPER($M343)="UK","GB",$M343),'PRODUCT DATA'!$A$2:$A$58,0))),NOT(ISNA(MATCH(IF(UPPER($M343)="UK","GB",$M343),'PRODUCT DATA'!$B$2:$B$58,0)))))),"Country; ","")&amp;IF(AND($A343&lt;&gt;"",$M343&lt;&gt;"",NOT(ISNA(MATCH($AC343,'PRODUCT DATA'!$D$2:$D$394,0))),OR(NOT(ISNA(MATCH(IF(UPPER($M343)="UK","GB",$M343),'PRODUCT DATA'!$A$2:$A$58,0))),NOT(ISNA(MATCH(IF(UPPER($M343)="UK","GB",$M343),'PRODUCT DATA'!$B$2:$B$58,0)))),NOT(IFERROR(COUNTIF(OFFSET('PRODUCT DATA'!$F$2,0,MATCH($AC343,'PRODUCT DATA'!$F$1:$NN$1,0)-1,114,1),$N343)&gt;0,FALSE()))),IF(UPPER(IFERROR(OFFSET('PRODUCT DATA'!$C$2,MATCH($N343,'PRODUCT DATA'!$B$2:$B$58,0)-1,0),""))="NO","Alcohol Restriction; ","Item Code / Country combination; "),"")&amp;IF($C343="","Quantity; ","")&amp;IF(AND($C343&lt;&gt;"",OR(NOT(ISNUMBER($C343)),$C343&lt;1,$C343&gt;999,MOD($C343,1)&lt;&gt;0)),"Quantity; ","")&amp;IF($D343="","Recipient Name; ","")&amp;IF(LEN($D343)&gt;35,"Recipient Name; ","")&amp;IF($E343="","Recipient Phone; ","")&amp;IF(AND($E343&lt;&gt;"",OR(LEN($E343)&lt;6,LEN($E343)&gt;20,NOT(IFERROR(ISNUMBER(1*$E343),FALSE())))),"Recipient Phone; ","")&amp;IF(LEN($F343)&gt;35,"Recipient Company Name; ","")&amp;IF($G343="","Address Line 1; ","")&amp;IF(LEN($G343)&gt;35,"Address Line 1; ","")&amp;IF(LEN($H343)&gt;35,"Address Line 2; ","")&amp;IF(LEN($I343)&gt;35,"Address Line 3; ","")&amp;IF($J343="","Town; ","")&amp;IF(LEN($J343)&gt;35,"Town; ","")&amp;IF(AND($N343="IE",$K343=""),"County; ","")&amp;IF(LEN($AB343)&gt;35,"County; ","")&amp;IF(AND($L343="",AND($N343&lt;&gt;"AE",$N343&lt;&gt;"QA")),"Postcode; ","")&amp;IF(LEN($L343)&gt;35,"Postcode; ","")&amp;IF($AE343&lt;&gt;"","Postcode; ","")&amp;IF(LEN($O343)&gt;40,"Gift Message 1; ","")&amp;IF(LEN($P343)&gt;40,"Gift Message 2; ","")&amp;IF(LEN($Q343)&gt;40,"Gift Message 3; ","")&amp;IF(LEN($R343)&gt;40,"Gift Message 4; ","")&amp;IF(LEN($S343)&gt;40,"Gift Message 5; ","")&amp;IF(LEN($T343)&gt;40,"Gift Message 6; ","")&amp;IF(LEN($U343)&gt;40,"Gift Message 7; ",""))</f>
        <v/>
      </c>
      <c r="X343" s="44" t="str">
        <f ca="1">IF(COUNTA($A343,$D343:$M343,$O343:$U343)=0,"",IF($A343="","Enter the Item Code (hamper) - type it, paste it, or choose it from the dropdown. ","")&amp;IF(AND($A343&lt;&gt;"",ISNA(MATCH($AC343,'PRODUCT DATA'!$D$2:$D$394,0))),"This Item Code is not recognised. Check the code (case does not matter, but spelling and digits must match exactly) or choose it from the dropdown. ","")&amp;IF($M343="","Enter the Country after the Item Code - type or paste the name or the 2-letter code, or choose it from the dropdown. ","")&amp;IF(AND($M343&lt;&gt;"",NOT(OR(NOT(ISNA(MATCH(IF(UPPER($M343)="UK","GB",$M343),'PRODUCT DATA'!$A$2:$A$58,0))),NOT(ISNA(MATCH(IF(UPPER($M343)="UK","GB",$M343),'PRODUCT DATA'!$B$2:$B$58,0)))))),"This Country is not recognised as either a full name or a 2-letter code. Check the spelling (case does not matter) or choose it from the dropdown. ","")&amp;IF(AND($A343&lt;&gt;"",$M343&lt;&gt;"",NOT(ISNA(MATCH($AC343,'PRODUCT DATA'!$D$2:$D$394,0))),OR(NOT(ISNA(MATCH(IF(UPPER($M343)="UK","GB",$M343),'PRODUCT DATA'!$A$2:$A$58,0))),NOT(ISNA(MATCH(IF(UPPER($M343)="UK","GB",$M343),'PRODUCT DATA'!$B$2:$B$58,0)))),NOT(IFERROR(COUNTIF(OFFSET('PRODUCT DATA'!$F$2,0,MATCH($AC343,'PRODUCT DATA'!$F$1:$NN$1,0)-1,114,1),$N343)&gt;0,FALSE()))),IF(UPPER(IFERROR(OFFSET('PRODUCT DATA'!$C$2,MATCH($N343,'PRODUCT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"),"")&amp;IF($C343="","Enter Quantity. ","")&amp;IF(AND($C343&lt;&gt;"",OR(NOT(ISNUMBER($C343)),$C343&lt;1,$C343&gt;999,MOD($C343,1)&lt;&gt;0)),"Quantity must be a whole number from 1 to 999 (use a quantity above 1 only for a genuine bulk order of identical items to ONE address — otherwise use a separate row per recipient). ","")&amp;IF($D343="","Enter Recipient Name. ","")&amp;IF(LEN($D343)&gt;35,"Recipient Name exceeds 35 characters. ","")&amp;IF($E343="","Enter Recipient Phone. ","")&amp;IF(AND($E343&lt;&gt;"",OR(LEN($E343)&lt;6,LEN($E343)&gt;20,NOT(IFERROR(ISNUMBER(1*$E343),FALSE())))),"Phone must be the LOCAL number for the destination country: digits only, no +, spaces, or country code, 6 to 20 digits. ","")&amp;IF(LEN($F343)&gt;35,"Recipient Company Name exceeds 35 characters. ","")&amp;IF($G343="","Enter Address Line 1. ","")&amp;IF(LEN($G343)&gt;35,"Address Line 1 exceeds the 35-character SAP limit. ","")&amp;IF(LEN($H343)&gt;35,"Address Line 2 exceeds the 35-character SAP limit. ","")&amp;IF(LEN($I343)&gt;35,"Address Line 3 exceeds the 35-character SAP limit. ","")&amp;IF($J343="","Enter Town. This must never be left blank, even if there is no conventional town name. ","")&amp;IF(LEN($J343)&gt;35,"Town exceeds 35 characters. ","")&amp;IF(AND($N343="IE",$K343=""),"County is required for deliveries within the Republic of Ireland. ","")&amp;IF(LEN($AB343)&gt;35,"County exceeds 35 characters. ","")&amp;IF(AND($L343="",AND($N343&lt;&gt;"AE",$N343&lt;&gt;"QA")),"Postcode is required for the selected country. If there is genuinely no postcode, enter the first 3 characters of the area (e.g. D15). ","")&amp;IF(LEN($L343)&gt;35,"Postcode exceeds 35 characters. ","")&amp;IF($AE343&lt;&gt;"",$AE343,"")&amp;IF(LEN($O343)&gt;40,"Gift Message Line 1 exceeds 40 characters. ","")&amp;IF(LEN($P343)&gt;40,"Gift Message Line 2 exceeds 40 characters. ","")&amp;IF(LEN($Q343)&gt;40,"Gift Message Line 3 exceeds 40 characters. ","")&amp;IF(LEN($R343)&gt;40,"Gift Message Line 4 exceeds 40 characters. ","")&amp;IF(LEN($S343)&gt;40,"Gift Message Line 5 exceeds 40 characters. ","")&amp;IF(LEN($T343)&gt;40,"Gift Message Line 6 exceeds 40 characters. ","")&amp;IF(LEN($U343)&gt;40,"Gift Message Line 7 exceeds 40 characters. ",""))</f>
        <v/>
      </c>
      <c r="Y343" s="44" t="str">
        <f t="shared" si="21"/>
        <v/>
      </c>
      <c r="Z343" s="44"/>
      <c r="AA343" s="44"/>
      <c r="AB343" s="32" t="str">
        <f t="shared" si="22"/>
        <v/>
      </c>
      <c r="AC343" s="32" t="str">
        <f>IF($A343="","",IFERROR(LEFT(INDEX('PRODUCT DATA'!$NO$2:$NO$25,MATCH($A343,'PRODUCT DATA'!$NP$2:$NP$25,0)),FIND("|",INDEX('PRODUCT DATA'!$NO$2:$NO$25,MATCH($A343,'PRODUCT DATA'!$NP$2:$NP$25,0)))-1),$A343))</f>
        <v/>
      </c>
      <c r="AD343" s="45"/>
      <c r="AE343" s="45" t="str">
        <f t="shared" si="23"/>
        <v/>
      </c>
    </row>
    <row r="344" spans="1:31" ht="15" customHeight="1" x14ac:dyDescent="0.25">
      <c r="A344" s="40"/>
      <c r="B344" s="43" t="str">
        <f>IF($A344="","",IFERROR(VLOOKUP($AC344,'PRODUCT DATA'!$NR$2:$NS$374,2,FALSE()),"UNKNOWN ITEM CODE - please check"))</f>
        <v/>
      </c>
      <c r="C344" s="39">
        <v>1</v>
      </c>
      <c r="D344" s="39"/>
      <c r="E344" s="40"/>
      <c r="F344" s="41"/>
      <c r="G344" s="39"/>
      <c r="H344" s="41"/>
      <c r="I344" s="41"/>
      <c r="J344" s="39"/>
      <c r="K344" s="41"/>
      <c r="L344" s="40"/>
      <c r="M344" s="40"/>
      <c r="N344" s="42" t="str">
        <f>IF($M344="","",IFERROR(INDEX('PRODUCT DATA'!$B$2:$B$58,MATCH(IF(UPPER($M344)="UK","GB",$M344),'PRODUCT DATA'!$B$2:$B$58,0)),IFERROR(INDEX('PRODUCT DATA'!$B$2:$B$58,MATCH(IF(UPPER($M344)="UK","GB",$M344),'PRODUCT DATA'!$A$2:$A$58,0)),"UNKNOWN COUNTRY - please check")))</f>
        <v/>
      </c>
      <c r="O344" s="41"/>
      <c r="P344" s="41"/>
      <c r="Q344" s="41"/>
      <c r="R344" s="41"/>
      <c r="S344" s="41"/>
      <c r="T344" s="41"/>
      <c r="U344" s="41"/>
      <c r="V344" s="43" t="str">
        <f t="shared" si="20"/>
        <v/>
      </c>
      <c r="W344" s="44" t="str">
        <f ca="1">IF(COUNTA($A344,$D344:$M344,$O344:$U344)=0,"",IF($A344="","Item Code; ","")&amp;IF(AND($A344&lt;&gt;"",ISNA(MATCH($AC344,'PRODUCT DATA'!$D$2:$D$394,0))),"Item Code; ","")&amp;IF($M344="","Country; ","")&amp;IF(AND($M344&lt;&gt;"",NOT(OR(NOT(ISNA(MATCH(IF(UPPER($M344)="UK","GB",$M344),'PRODUCT DATA'!$A$2:$A$58,0))),NOT(ISNA(MATCH(IF(UPPER($M344)="UK","GB",$M344),'PRODUCT DATA'!$B$2:$B$58,0)))))),"Country; ","")&amp;IF(AND($A344&lt;&gt;"",$M344&lt;&gt;"",NOT(ISNA(MATCH($AC344,'PRODUCT DATA'!$D$2:$D$394,0))),OR(NOT(ISNA(MATCH(IF(UPPER($M344)="UK","GB",$M344),'PRODUCT DATA'!$A$2:$A$58,0))),NOT(ISNA(MATCH(IF(UPPER($M344)="UK","GB",$M344),'PRODUCT DATA'!$B$2:$B$58,0)))),NOT(IFERROR(COUNTIF(OFFSET('PRODUCT DATA'!$F$2,0,MATCH($AC344,'PRODUCT DATA'!$F$1:$NN$1,0)-1,114,1),$N344)&gt;0,FALSE()))),IF(UPPER(IFERROR(OFFSET('PRODUCT DATA'!$C$2,MATCH($N344,'PRODUCT DATA'!$B$2:$B$58,0)-1,0),""))="NO","Alcohol Restriction; ","Item Code / Country combination; "),"")&amp;IF($C344="","Quantity; ","")&amp;IF(AND($C344&lt;&gt;"",OR(NOT(ISNUMBER($C344)),$C344&lt;1,$C344&gt;999,MOD($C344,1)&lt;&gt;0)),"Quantity; ","")&amp;IF($D344="","Recipient Name; ","")&amp;IF(LEN($D344)&gt;35,"Recipient Name; ","")&amp;IF($E344="","Recipient Phone; ","")&amp;IF(AND($E344&lt;&gt;"",OR(LEN($E344)&lt;6,LEN($E344)&gt;20,NOT(IFERROR(ISNUMBER(1*$E344),FALSE())))),"Recipient Phone; ","")&amp;IF(LEN($F344)&gt;35,"Recipient Company Name; ","")&amp;IF($G344="","Address Line 1; ","")&amp;IF(LEN($G344)&gt;35,"Address Line 1; ","")&amp;IF(LEN($H344)&gt;35,"Address Line 2; ","")&amp;IF(LEN($I344)&gt;35,"Address Line 3; ","")&amp;IF($J344="","Town; ","")&amp;IF(LEN($J344)&gt;35,"Town; ","")&amp;IF(AND($N344="IE",$K344=""),"County; ","")&amp;IF(LEN($AB344)&gt;35,"County; ","")&amp;IF(AND($L344="",AND($N344&lt;&gt;"AE",$N344&lt;&gt;"QA")),"Postcode; ","")&amp;IF(LEN($L344)&gt;35,"Postcode; ","")&amp;IF($AE344&lt;&gt;"","Postcode; ","")&amp;IF(LEN($O344)&gt;40,"Gift Message 1; ","")&amp;IF(LEN($P344)&gt;40,"Gift Message 2; ","")&amp;IF(LEN($Q344)&gt;40,"Gift Message 3; ","")&amp;IF(LEN($R344)&gt;40,"Gift Message 4; ","")&amp;IF(LEN($S344)&gt;40,"Gift Message 5; ","")&amp;IF(LEN($T344)&gt;40,"Gift Message 6; ","")&amp;IF(LEN($U344)&gt;40,"Gift Message 7; ",""))</f>
        <v/>
      </c>
      <c r="X344" s="44" t="str">
        <f ca="1">IF(COUNTA($A344,$D344:$M344,$O344:$U344)=0,"",IF($A344="","Enter the Item Code (hamper) - type it, paste it, or choose it from the dropdown. ","")&amp;IF(AND($A344&lt;&gt;"",ISNA(MATCH($AC344,'PRODUCT DATA'!$D$2:$D$394,0))),"This Item Code is not recognised. Check the code (case does not matter, but spelling and digits must match exactly) or choose it from the dropdown. ","")&amp;IF($M344="","Enter the Country after the Item Code - type or paste the name or the 2-letter code, or choose it from the dropdown. ","")&amp;IF(AND($M344&lt;&gt;"",NOT(OR(NOT(ISNA(MATCH(IF(UPPER($M344)="UK","GB",$M344),'PRODUCT DATA'!$A$2:$A$58,0))),NOT(ISNA(MATCH(IF(UPPER($M344)="UK","GB",$M344),'PRODUCT DATA'!$B$2:$B$58,0)))))),"This Country is not recognised as either a full name or a 2-letter code. Check the spelling (case does not matter) or choose it from the dropdown. ","")&amp;IF(AND($A344&lt;&gt;"",$M344&lt;&gt;"",NOT(ISNA(MATCH($AC344,'PRODUCT DATA'!$D$2:$D$394,0))),OR(NOT(ISNA(MATCH(IF(UPPER($M344)="UK","GB",$M344),'PRODUCT DATA'!$A$2:$A$58,0))),NOT(ISNA(MATCH(IF(UPPER($M344)="UK","GB",$M344),'PRODUCT DATA'!$B$2:$B$58,0)))),NOT(IFERROR(COUNTIF(OFFSET('PRODUCT DATA'!$F$2,0,MATCH($AC344,'PRODUCT DATA'!$F$1:$NN$1,0)-1,114,1),$N344)&gt;0,FALSE()))),IF(UPPER(IFERROR(OFFSET('PRODUCT DATA'!$C$2,MATCH($N344,'PRODUCT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"),"")&amp;IF($C344="","Enter Quantity. ","")&amp;IF(AND($C344&lt;&gt;"",OR(NOT(ISNUMBER($C344)),$C344&lt;1,$C344&gt;999,MOD($C344,1)&lt;&gt;0)),"Quantity must be a whole number from 1 to 999 (use a quantity above 1 only for a genuine bulk order of identical items to ONE address — otherwise use a separate row per recipient). ","")&amp;IF($D344="","Enter Recipient Name. ","")&amp;IF(LEN($D344)&gt;35,"Recipient Name exceeds 35 characters. ","")&amp;IF($E344="","Enter Recipient Phone. ","")&amp;IF(AND($E344&lt;&gt;"",OR(LEN($E344)&lt;6,LEN($E344)&gt;20,NOT(IFERROR(ISNUMBER(1*$E344),FALSE())))),"Phone must be the LOCAL number for the destination country: digits only, no +, spaces, or country code, 6 to 20 digits. ","")&amp;IF(LEN($F344)&gt;35,"Recipient Company Name exceeds 35 characters. ","")&amp;IF($G344="","Enter Address Line 1. ","")&amp;IF(LEN($G344)&gt;35,"Address Line 1 exceeds the 35-character SAP limit. ","")&amp;IF(LEN($H344)&gt;35,"Address Line 2 exceeds the 35-character SAP limit. ","")&amp;IF(LEN($I344)&gt;35,"Address Line 3 exceeds the 35-character SAP limit. ","")&amp;IF($J344="","Enter Town. This must never be left blank, even if there is no conventional town name. ","")&amp;IF(LEN($J344)&gt;35,"Town exceeds 35 characters. ","")&amp;IF(AND($N344="IE",$K344=""),"County is required for deliveries within the Republic of Ireland. ","")&amp;IF(LEN($AB344)&gt;35,"County exceeds 35 characters. ","")&amp;IF(AND($L344="",AND($N344&lt;&gt;"AE",$N344&lt;&gt;"QA")),"Postcode is required for the selected country. If there is genuinely no postcode, enter the first 3 characters of the area (e.g. D15). ","")&amp;IF(LEN($L344)&gt;35,"Postcode exceeds 35 characters. ","")&amp;IF($AE344&lt;&gt;"",$AE344,"")&amp;IF(LEN($O344)&gt;40,"Gift Message Line 1 exceeds 40 characters. ","")&amp;IF(LEN($P344)&gt;40,"Gift Message Line 2 exceeds 40 characters. ","")&amp;IF(LEN($Q344)&gt;40,"Gift Message Line 3 exceeds 40 characters. ","")&amp;IF(LEN($R344)&gt;40,"Gift Message Line 4 exceeds 40 characters. ","")&amp;IF(LEN($S344)&gt;40,"Gift Message Line 5 exceeds 40 characters. ","")&amp;IF(LEN($T344)&gt;40,"Gift Message Line 6 exceeds 40 characters. ","")&amp;IF(LEN($U344)&gt;40,"Gift Message Line 7 exceeds 40 characters. ",""))</f>
        <v/>
      </c>
      <c r="Y344" s="44" t="str">
        <f t="shared" si="21"/>
        <v/>
      </c>
      <c r="Z344" s="44"/>
      <c r="AA344" s="44"/>
      <c r="AB344" s="32" t="str">
        <f t="shared" si="22"/>
        <v/>
      </c>
      <c r="AC344" s="32" t="str">
        <f>IF($A344="","",IFERROR(LEFT(INDEX('PRODUCT DATA'!$NO$2:$NO$25,MATCH($A344,'PRODUCT DATA'!$NP$2:$NP$25,0)),FIND("|",INDEX('PRODUCT DATA'!$NO$2:$NO$25,MATCH($A344,'PRODUCT DATA'!$NP$2:$NP$25,0)))-1),$A344))</f>
        <v/>
      </c>
      <c r="AD344" s="45"/>
      <c r="AE344" s="45" t="str">
        <f t="shared" si="23"/>
        <v/>
      </c>
    </row>
    <row r="345" spans="1:31" ht="15" customHeight="1" x14ac:dyDescent="0.25">
      <c r="A345" s="40"/>
      <c r="B345" s="43" t="str">
        <f>IF($A345="","",IFERROR(VLOOKUP($AC345,'PRODUCT DATA'!$NR$2:$NS$374,2,FALSE()),"UNKNOWN ITEM CODE - please check"))</f>
        <v/>
      </c>
      <c r="C345" s="39">
        <v>1</v>
      </c>
      <c r="D345" s="39"/>
      <c r="E345" s="40"/>
      <c r="F345" s="41"/>
      <c r="G345" s="39"/>
      <c r="H345" s="41"/>
      <c r="I345" s="41"/>
      <c r="J345" s="39"/>
      <c r="K345" s="41"/>
      <c r="L345" s="40"/>
      <c r="M345" s="40"/>
      <c r="N345" s="42" t="str">
        <f>IF($M345="","",IFERROR(INDEX('PRODUCT DATA'!$B$2:$B$58,MATCH(IF(UPPER($M345)="UK","GB",$M345),'PRODUCT DATA'!$B$2:$B$58,0)),IFERROR(INDEX('PRODUCT DATA'!$B$2:$B$58,MATCH(IF(UPPER($M345)="UK","GB",$M345),'PRODUCT DATA'!$A$2:$A$58,0)),"UNKNOWN COUNTRY - please check")))</f>
        <v/>
      </c>
      <c r="O345" s="41"/>
      <c r="P345" s="41"/>
      <c r="Q345" s="41"/>
      <c r="R345" s="41"/>
      <c r="S345" s="41"/>
      <c r="T345" s="41"/>
      <c r="U345" s="41"/>
      <c r="V345" s="43" t="str">
        <f t="shared" si="20"/>
        <v/>
      </c>
      <c r="W345" s="44" t="str">
        <f ca="1">IF(COUNTA($A345,$D345:$M345,$O345:$U345)=0,"",IF($A345="","Item Code; ","")&amp;IF(AND($A345&lt;&gt;"",ISNA(MATCH($AC345,'PRODUCT DATA'!$D$2:$D$394,0))),"Item Code; ","")&amp;IF($M345="","Country; ","")&amp;IF(AND($M345&lt;&gt;"",NOT(OR(NOT(ISNA(MATCH(IF(UPPER($M345)="UK","GB",$M345),'PRODUCT DATA'!$A$2:$A$58,0))),NOT(ISNA(MATCH(IF(UPPER($M345)="UK","GB",$M345),'PRODUCT DATA'!$B$2:$B$58,0)))))),"Country; ","")&amp;IF(AND($A345&lt;&gt;"",$M345&lt;&gt;"",NOT(ISNA(MATCH($AC345,'PRODUCT DATA'!$D$2:$D$394,0))),OR(NOT(ISNA(MATCH(IF(UPPER($M345)="UK","GB",$M345),'PRODUCT DATA'!$A$2:$A$58,0))),NOT(ISNA(MATCH(IF(UPPER($M345)="UK","GB",$M345),'PRODUCT DATA'!$B$2:$B$58,0)))),NOT(IFERROR(COUNTIF(OFFSET('PRODUCT DATA'!$F$2,0,MATCH($AC345,'PRODUCT DATA'!$F$1:$NN$1,0)-1,114,1),$N345)&gt;0,FALSE()))),IF(UPPER(IFERROR(OFFSET('PRODUCT DATA'!$C$2,MATCH($N345,'PRODUCT DATA'!$B$2:$B$58,0)-1,0),""))="NO","Alcohol Restriction; ","Item Code / Country combination; "),"")&amp;IF($C345="","Quantity; ","")&amp;IF(AND($C345&lt;&gt;"",OR(NOT(ISNUMBER($C345)),$C345&lt;1,$C345&gt;999,MOD($C345,1)&lt;&gt;0)),"Quantity; ","")&amp;IF($D345="","Recipient Name; ","")&amp;IF(LEN($D345)&gt;35,"Recipient Name; ","")&amp;IF($E345="","Recipient Phone; ","")&amp;IF(AND($E345&lt;&gt;"",OR(LEN($E345)&lt;6,LEN($E345)&gt;20,NOT(IFERROR(ISNUMBER(1*$E345),FALSE())))),"Recipient Phone; ","")&amp;IF(LEN($F345)&gt;35,"Recipient Company Name; ","")&amp;IF($G345="","Address Line 1; ","")&amp;IF(LEN($G345)&gt;35,"Address Line 1; ","")&amp;IF(LEN($H345)&gt;35,"Address Line 2; ","")&amp;IF(LEN($I345)&gt;35,"Address Line 3; ","")&amp;IF($J345="","Town; ","")&amp;IF(LEN($J345)&gt;35,"Town; ","")&amp;IF(AND($N345="IE",$K345=""),"County; ","")&amp;IF(LEN($AB345)&gt;35,"County; ","")&amp;IF(AND($L345="",AND($N345&lt;&gt;"AE",$N345&lt;&gt;"QA")),"Postcode; ","")&amp;IF(LEN($L345)&gt;35,"Postcode; ","")&amp;IF($AE345&lt;&gt;"","Postcode; ","")&amp;IF(LEN($O345)&gt;40,"Gift Message 1; ","")&amp;IF(LEN($P345)&gt;40,"Gift Message 2; ","")&amp;IF(LEN($Q345)&gt;40,"Gift Message 3; ","")&amp;IF(LEN($R345)&gt;40,"Gift Message 4; ","")&amp;IF(LEN($S345)&gt;40,"Gift Message 5; ","")&amp;IF(LEN($T345)&gt;40,"Gift Message 6; ","")&amp;IF(LEN($U345)&gt;40,"Gift Message 7; ",""))</f>
        <v/>
      </c>
      <c r="X345" s="44" t="str">
        <f ca="1">IF(COUNTA($A345,$D345:$M345,$O345:$U345)=0,"",IF($A345="","Enter the Item Code (hamper) - type it, paste it, or choose it from the dropdown. ","")&amp;IF(AND($A345&lt;&gt;"",ISNA(MATCH($AC345,'PRODUCT DATA'!$D$2:$D$394,0))),"This Item Code is not recognised. Check the code (case does not matter, but spelling and digits must match exactly) or choose it from the dropdown. ","")&amp;IF($M345="","Enter the Country after the Item Code - type or paste the name or the 2-letter code, or choose it from the dropdown. ","")&amp;IF(AND($M345&lt;&gt;"",NOT(OR(NOT(ISNA(MATCH(IF(UPPER($M345)="UK","GB",$M345),'PRODUCT DATA'!$A$2:$A$58,0))),NOT(ISNA(MATCH(IF(UPPER($M345)="UK","GB",$M345),'PRODUCT DATA'!$B$2:$B$58,0)))))),"This Country is not recognised as either a full name or a 2-letter code. Check the spelling (case does not matter) or choose it from the dropdown. ","")&amp;IF(AND($A345&lt;&gt;"",$M345&lt;&gt;"",NOT(ISNA(MATCH($AC345,'PRODUCT DATA'!$D$2:$D$394,0))),OR(NOT(ISNA(MATCH(IF(UPPER($M345)="UK","GB",$M345),'PRODUCT DATA'!$A$2:$A$58,0))),NOT(ISNA(MATCH(IF(UPPER($M345)="UK","GB",$M345),'PRODUCT DATA'!$B$2:$B$58,0)))),NOT(IFERROR(COUNTIF(OFFSET('PRODUCT DATA'!$F$2,0,MATCH($AC345,'PRODUCT DATA'!$F$1:$NN$1,0)-1,114,1),$N345)&gt;0,FALSE()))),IF(UPPER(IFERROR(OFFSET('PRODUCT DATA'!$C$2,MATCH($N345,'PRODUCT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"),"")&amp;IF($C345="","Enter Quantity. ","")&amp;IF(AND($C345&lt;&gt;"",OR(NOT(ISNUMBER($C345)),$C345&lt;1,$C345&gt;999,MOD($C345,1)&lt;&gt;0)),"Quantity must be a whole number from 1 to 999 (use a quantity above 1 only for a genuine bulk order of identical items to ONE address — otherwise use a separate row per recipient). ","")&amp;IF($D345="","Enter Recipient Name. ","")&amp;IF(LEN($D345)&gt;35,"Recipient Name exceeds 35 characters. ","")&amp;IF($E345="","Enter Recipient Phone. ","")&amp;IF(AND($E345&lt;&gt;"",OR(LEN($E345)&lt;6,LEN($E345)&gt;20,NOT(IFERROR(ISNUMBER(1*$E345),FALSE())))),"Phone must be the LOCAL number for the destination country: digits only, no +, spaces, or country code, 6 to 20 digits. ","")&amp;IF(LEN($F345)&gt;35,"Recipient Company Name exceeds 35 characters. ","")&amp;IF($G345="","Enter Address Line 1. ","")&amp;IF(LEN($G345)&gt;35,"Address Line 1 exceeds the 35-character SAP limit. ","")&amp;IF(LEN($H345)&gt;35,"Address Line 2 exceeds the 35-character SAP limit. ","")&amp;IF(LEN($I345)&gt;35,"Address Line 3 exceeds the 35-character SAP limit. ","")&amp;IF($J345="","Enter Town. This must never be left blank, even if there is no conventional town name. ","")&amp;IF(LEN($J345)&gt;35,"Town exceeds 35 characters. ","")&amp;IF(AND($N345="IE",$K345=""),"County is required for deliveries within the Republic of Ireland. ","")&amp;IF(LEN($AB345)&gt;35,"County exceeds 35 characters. ","")&amp;IF(AND($L345="",AND($N345&lt;&gt;"AE",$N345&lt;&gt;"QA")),"Postcode is required for the selected country. If there is genuinely no postcode, enter the first 3 characters of the area (e.g. D15). ","")&amp;IF(LEN($L345)&gt;35,"Postcode exceeds 35 characters. ","")&amp;IF($AE345&lt;&gt;"",$AE345,"")&amp;IF(LEN($O345)&gt;40,"Gift Message Line 1 exceeds 40 characters. ","")&amp;IF(LEN($P345)&gt;40,"Gift Message Line 2 exceeds 40 characters. ","")&amp;IF(LEN($Q345)&gt;40,"Gift Message Line 3 exceeds 40 characters. ","")&amp;IF(LEN($R345)&gt;40,"Gift Message Line 4 exceeds 40 characters. ","")&amp;IF(LEN($S345)&gt;40,"Gift Message Line 5 exceeds 40 characters. ","")&amp;IF(LEN($T345)&gt;40,"Gift Message Line 6 exceeds 40 characters. ","")&amp;IF(LEN($U345)&gt;40,"Gift Message Line 7 exceeds 40 characters. ",""))</f>
        <v/>
      </c>
      <c r="Y345" s="44" t="str">
        <f t="shared" si="21"/>
        <v/>
      </c>
      <c r="Z345" s="44"/>
      <c r="AA345" s="44"/>
      <c r="AB345" s="32" t="str">
        <f t="shared" si="22"/>
        <v/>
      </c>
      <c r="AC345" s="32" t="str">
        <f>IF($A345="","",IFERROR(LEFT(INDEX('PRODUCT DATA'!$NO$2:$NO$25,MATCH($A345,'PRODUCT DATA'!$NP$2:$NP$25,0)),FIND("|",INDEX('PRODUCT DATA'!$NO$2:$NO$25,MATCH($A345,'PRODUCT DATA'!$NP$2:$NP$25,0)))-1),$A345))</f>
        <v/>
      </c>
      <c r="AD345" s="45"/>
      <c r="AE345" s="45" t="str">
        <f t="shared" si="23"/>
        <v/>
      </c>
    </row>
    <row r="346" spans="1:31" ht="15" customHeight="1" x14ac:dyDescent="0.25">
      <c r="A346" s="40"/>
      <c r="B346" s="43" t="str">
        <f>IF($A346="","",IFERROR(VLOOKUP($AC346,'PRODUCT DATA'!$NR$2:$NS$374,2,FALSE()),"UNKNOWN ITEM CODE - please check"))</f>
        <v/>
      </c>
      <c r="C346" s="39">
        <v>1</v>
      </c>
      <c r="D346" s="39"/>
      <c r="E346" s="40"/>
      <c r="F346" s="41"/>
      <c r="G346" s="39"/>
      <c r="H346" s="41"/>
      <c r="I346" s="41"/>
      <c r="J346" s="39"/>
      <c r="K346" s="41"/>
      <c r="L346" s="40"/>
      <c r="M346" s="40"/>
      <c r="N346" s="42" t="str">
        <f>IF($M346="","",IFERROR(INDEX('PRODUCT DATA'!$B$2:$B$58,MATCH(IF(UPPER($M346)="UK","GB",$M346),'PRODUCT DATA'!$B$2:$B$58,0)),IFERROR(INDEX('PRODUCT DATA'!$B$2:$B$58,MATCH(IF(UPPER($M346)="UK","GB",$M346),'PRODUCT DATA'!$A$2:$A$58,0)),"UNKNOWN COUNTRY - please check")))</f>
        <v/>
      </c>
      <c r="O346" s="41"/>
      <c r="P346" s="41"/>
      <c r="Q346" s="41"/>
      <c r="R346" s="41"/>
      <c r="S346" s="41"/>
      <c r="T346" s="41"/>
      <c r="U346" s="41"/>
      <c r="V346" s="43" t="str">
        <f t="shared" si="20"/>
        <v/>
      </c>
      <c r="W346" s="44" t="str">
        <f ca="1">IF(COUNTA($A346,$D346:$M346,$O346:$U346)=0,"",IF($A346="","Item Code; ","")&amp;IF(AND($A346&lt;&gt;"",ISNA(MATCH($AC346,'PRODUCT DATA'!$D$2:$D$394,0))),"Item Code; ","")&amp;IF($M346="","Country; ","")&amp;IF(AND($M346&lt;&gt;"",NOT(OR(NOT(ISNA(MATCH(IF(UPPER($M346)="UK","GB",$M346),'PRODUCT DATA'!$A$2:$A$58,0))),NOT(ISNA(MATCH(IF(UPPER($M346)="UK","GB",$M346),'PRODUCT DATA'!$B$2:$B$58,0)))))),"Country; ","")&amp;IF(AND($A346&lt;&gt;"",$M346&lt;&gt;"",NOT(ISNA(MATCH($AC346,'PRODUCT DATA'!$D$2:$D$394,0))),OR(NOT(ISNA(MATCH(IF(UPPER($M346)="UK","GB",$M346),'PRODUCT DATA'!$A$2:$A$58,0))),NOT(ISNA(MATCH(IF(UPPER($M346)="UK","GB",$M346),'PRODUCT DATA'!$B$2:$B$58,0)))),NOT(IFERROR(COUNTIF(OFFSET('PRODUCT DATA'!$F$2,0,MATCH($AC346,'PRODUCT DATA'!$F$1:$NN$1,0)-1,114,1),$N346)&gt;0,FALSE()))),IF(UPPER(IFERROR(OFFSET('PRODUCT DATA'!$C$2,MATCH($N346,'PRODUCT DATA'!$B$2:$B$58,0)-1,0),""))="NO","Alcohol Restriction; ","Item Code / Country combination; "),"")&amp;IF($C346="","Quantity; ","")&amp;IF(AND($C346&lt;&gt;"",OR(NOT(ISNUMBER($C346)),$C346&lt;1,$C346&gt;999,MOD($C346,1)&lt;&gt;0)),"Quantity; ","")&amp;IF($D346="","Recipient Name; ","")&amp;IF(LEN($D346)&gt;35,"Recipient Name; ","")&amp;IF($E346="","Recipient Phone; ","")&amp;IF(AND($E346&lt;&gt;"",OR(LEN($E346)&lt;6,LEN($E346)&gt;20,NOT(IFERROR(ISNUMBER(1*$E346),FALSE())))),"Recipient Phone; ","")&amp;IF(LEN($F346)&gt;35,"Recipient Company Name; ","")&amp;IF($G346="","Address Line 1; ","")&amp;IF(LEN($G346)&gt;35,"Address Line 1; ","")&amp;IF(LEN($H346)&gt;35,"Address Line 2; ","")&amp;IF(LEN($I346)&gt;35,"Address Line 3; ","")&amp;IF($J346="","Town; ","")&amp;IF(LEN($J346)&gt;35,"Town; ","")&amp;IF(AND($N346="IE",$K346=""),"County; ","")&amp;IF(LEN($AB346)&gt;35,"County; ","")&amp;IF(AND($L346="",AND($N346&lt;&gt;"AE",$N346&lt;&gt;"QA")),"Postcode; ","")&amp;IF(LEN($L346)&gt;35,"Postcode; ","")&amp;IF($AE346&lt;&gt;"","Postcode; ","")&amp;IF(LEN($O346)&gt;40,"Gift Message 1; ","")&amp;IF(LEN($P346)&gt;40,"Gift Message 2; ","")&amp;IF(LEN($Q346)&gt;40,"Gift Message 3; ","")&amp;IF(LEN($R346)&gt;40,"Gift Message 4; ","")&amp;IF(LEN($S346)&gt;40,"Gift Message 5; ","")&amp;IF(LEN($T346)&gt;40,"Gift Message 6; ","")&amp;IF(LEN($U346)&gt;40,"Gift Message 7; ",""))</f>
        <v/>
      </c>
      <c r="X346" s="44" t="str">
        <f ca="1">IF(COUNTA($A346,$D346:$M346,$O346:$U346)=0,"",IF($A346="","Enter the Item Code (hamper) - type it, paste it, or choose it from the dropdown. ","")&amp;IF(AND($A346&lt;&gt;"",ISNA(MATCH($AC346,'PRODUCT DATA'!$D$2:$D$394,0))),"This Item Code is not recognised. Check the code (case does not matter, but spelling and digits must match exactly) or choose it from the dropdown. ","")&amp;IF($M346="","Enter the Country after the Item Code - type or paste the name or the 2-letter code, or choose it from the dropdown. ","")&amp;IF(AND($M346&lt;&gt;"",NOT(OR(NOT(ISNA(MATCH(IF(UPPER($M346)="UK","GB",$M346),'PRODUCT DATA'!$A$2:$A$58,0))),NOT(ISNA(MATCH(IF(UPPER($M346)="UK","GB",$M346),'PRODUCT DATA'!$B$2:$B$58,0)))))),"This Country is not recognised as either a full name or a 2-letter code. Check the spelling (case does not matter) or choose it from the dropdown. ","")&amp;IF(AND($A346&lt;&gt;"",$M346&lt;&gt;"",NOT(ISNA(MATCH($AC346,'PRODUCT DATA'!$D$2:$D$394,0))),OR(NOT(ISNA(MATCH(IF(UPPER($M346)="UK","GB",$M346),'PRODUCT DATA'!$A$2:$A$58,0))),NOT(ISNA(MATCH(IF(UPPER($M346)="UK","GB",$M346),'PRODUCT DATA'!$B$2:$B$58,0)))),NOT(IFERROR(COUNTIF(OFFSET('PRODUCT DATA'!$F$2,0,MATCH($AC346,'PRODUCT DATA'!$F$1:$NN$1,0)-1,114,1),$N346)&gt;0,FALSE()))),IF(UPPER(IFERROR(OFFSET('PRODUCT DATA'!$C$2,MATCH($N346,'PRODUCT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"),"")&amp;IF($C346="","Enter Quantity. ","")&amp;IF(AND($C346&lt;&gt;"",OR(NOT(ISNUMBER($C346)),$C346&lt;1,$C346&gt;999,MOD($C346,1)&lt;&gt;0)),"Quantity must be a whole number from 1 to 999 (use a quantity above 1 only for a genuine bulk order of identical items to ONE address — otherwise use a separate row per recipient). ","")&amp;IF($D346="","Enter Recipient Name. ","")&amp;IF(LEN($D346)&gt;35,"Recipient Name exceeds 35 characters. ","")&amp;IF($E346="","Enter Recipient Phone. ","")&amp;IF(AND($E346&lt;&gt;"",OR(LEN($E346)&lt;6,LEN($E346)&gt;20,NOT(IFERROR(ISNUMBER(1*$E346),FALSE())))),"Phone must be the LOCAL number for the destination country: digits only, no +, spaces, or country code, 6 to 20 digits. ","")&amp;IF(LEN($F346)&gt;35,"Recipient Company Name exceeds 35 characters. ","")&amp;IF($G346="","Enter Address Line 1. ","")&amp;IF(LEN($G346)&gt;35,"Address Line 1 exceeds the 35-character SAP limit. ","")&amp;IF(LEN($H346)&gt;35,"Address Line 2 exceeds the 35-character SAP limit. ","")&amp;IF(LEN($I346)&gt;35,"Address Line 3 exceeds the 35-character SAP limit. ","")&amp;IF($J346="","Enter Town. This must never be left blank, even if there is no conventional town name. ","")&amp;IF(LEN($J346)&gt;35,"Town exceeds 35 characters. ","")&amp;IF(AND($N346="IE",$K346=""),"County is required for deliveries within the Republic of Ireland. ","")&amp;IF(LEN($AB346)&gt;35,"County exceeds 35 characters. ","")&amp;IF(AND($L346="",AND($N346&lt;&gt;"AE",$N346&lt;&gt;"QA")),"Postcode is required for the selected country. If there is genuinely no postcode, enter the first 3 characters of the area (e.g. D15). ","")&amp;IF(LEN($L346)&gt;35,"Postcode exceeds 35 characters. ","")&amp;IF($AE346&lt;&gt;"",$AE346,"")&amp;IF(LEN($O346)&gt;40,"Gift Message Line 1 exceeds 40 characters. ","")&amp;IF(LEN($P346)&gt;40,"Gift Message Line 2 exceeds 40 characters. ","")&amp;IF(LEN($Q346)&gt;40,"Gift Message Line 3 exceeds 40 characters. ","")&amp;IF(LEN($R346)&gt;40,"Gift Message Line 4 exceeds 40 characters. ","")&amp;IF(LEN($S346)&gt;40,"Gift Message Line 5 exceeds 40 characters. ","")&amp;IF(LEN($T346)&gt;40,"Gift Message Line 6 exceeds 40 characters. ","")&amp;IF(LEN($U346)&gt;40,"Gift Message Line 7 exceeds 40 characters. ",""))</f>
        <v/>
      </c>
      <c r="Y346" s="44" t="str">
        <f t="shared" si="21"/>
        <v/>
      </c>
      <c r="Z346" s="44"/>
      <c r="AA346" s="44"/>
      <c r="AB346" s="32" t="str">
        <f t="shared" si="22"/>
        <v/>
      </c>
      <c r="AC346" s="32" t="str">
        <f>IF($A346="","",IFERROR(LEFT(INDEX('PRODUCT DATA'!$NO$2:$NO$25,MATCH($A346,'PRODUCT DATA'!$NP$2:$NP$25,0)),FIND("|",INDEX('PRODUCT DATA'!$NO$2:$NO$25,MATCH($A346,'PRODUCT DATA'!$NP$2:$NP$25,0)))-1),$A346))</f>
        <v/>
      </c>
      <c r="AD346" s="45"/>
      <c r="AE346" s="45" t="str">
        <f t="shared" si="23"/>
        <v/>
      </c>
    </row>
    <row r="347" spans="1:31" ht="15" customHeight="1" x14ac:dyDescent="0.25">
      <c r="A347" s="40"/>
      <c r="B347" s="43" t="str">
        <f>IF($A347="","",IFERROR(VLOOKUP($AC347,'PRODUCT DATA'!$NR$2:$NS$374,2,FALSE()),"UNKNOWN ITEM CODE - please check"))</f>
        <v/>
      </c>
      <c r="C347" s="39">
        <v>1</v>
      </c>
      <c r="D347" s="39"/>
      <c r="E347" s="40"/>
      <c r="F347" s="41"/>
      <c r="G347" s="39"/>
      <c r="H347" s="41"/>
      <c r="I347" s="41"/>
      <c r="J347" s="39"/>
      <c r="K347" s="41"/>
      <c r="L347" s="40"/>
      <c r="M347" s="40"/>
      <c r="N347" s="42" t="str">
        <f>IF($M347="","",IFERROR(INDEX('PRODUCT DATA'!$B$2:$B$58,MATCH(IF(UPPER($M347)="UK","GB",$M347),'PRODUCT DATA'!$B$2:$B$58,0)),IFERROR(INDEX('PRODUCT DATA'!$B$2:$B$58,MATCH(IF(UPPER($M347)="UK","GB",$M347),'PRODUCT DATA'!$A$2:$A$58,0)),"UNKNOWN COUNTRY - please check")))</f>
        <v/>
      </c>
      <c r="O347" s="41"/>
      <c r="P347" s="41"/>
      <c r="Q347" s="41"/>
      <c r="R347" s="41"/>
      <c r="S347" s="41"/>
      <c r="T347" s="41"/>
      <c r="U347" s="41"/>
      <c r="V347" s="43" t="str">
        <f t="shared" si="20"/>
        <v/>
      </c>
      <c r="W347" s="44" t="str">
        <f ca="1">IF(COUNTA($A347,$D347:$M347,$O347:$U347)=0,"",IF($A347="","Item Code; ","")&amp;IF(AND($A347&lt;&gt;"",ISNA(MATCH($AC347,'PRODUCT DATA'!$D$2:$D$394,0))),"Item Code; ","")&amp;IF($M347="","Country; ","")&amp;IF(AND($M347&lt;&gt;"",NOT(OR(NOT(ISNA(MATCH(IF(UPPER($M347)="UK","GB",$M347),'PRODUCT DATA'!$A$2:$A$58,0))),NOT(ISNA(MATCH(IF(UPPER($M347)="UK","GB",$M347),'PRODUCT DATA'!$B$2:$B$58,0)))))),"Country; ","")&amp;IF(AND($A347&lt;&gt;"",$M347&lt;&gt;"",NOT(ISNA(MATCH($AC347,'PRODUCT DATA'!$D$2:$D$394,0))),OR(NOT(ISNA(MATCH(IF(UPPER($M347)="UK","GB",$M347),'PRODUCT DATA'!$A$2:$A$58,0))),NOT(ISNA(MATCH(IF(UPPER($M347)="UK","GB",$M347),'PRODUCT DATA'!$B$2:$B$58,0)))),NOT(IFERROR(COUNTIF(OFFSET('PRODUCT DATA'!$F$2,0,MATCH($AC347,'PRODUCT DATA'!$F$1:$NN$1,0)-1,114,1),$N347)&gt;0,FALSE()))),IF(UPPER(IFERROR(OFFSET('PRODUCT DATA'!$C$2,MATCH($N347,'PRODUCT DATA'!$B$2:$B$58,0)-1,0),""))="NO","Alcohol Restriction; ","Item Code / Country combination; "),"")&amp;IF($C347="","Quantity; ","")&amp;IF(AND($C347&lt;&gt;"",OR(NOT(ISNUMBER($C347)),$C347&lt;1,$C347&gt;999,MOD($C347,1)&lt;&gt;0)),"Quantity; ","")&amp;IF($D347="","Recipient Name; ","")&amp;IF(LEN($D347)&gt;35,"Recipient Name; ","")&amp;IF($E347="","Recipient Phone; ","")&amp;IF(AND($E347&lt;&gt;"",OR(LEN($E347)&lt;6,LEN($E347)&gt;20,NOT(IFERROR(ISNUMBER(1*$E347),FALSE())))),"Recipient Phone; ","")&amp;IF(LEN($F347)&gt;35,"Recipient Company Name; ","")&amp;IF($G347="","Address Line 1; ","")&amp;IF(LEN($G347)&gt;35,"Address Line 1; ","")&amp;IF(LEN($H347)&gt;35,"Address Line 2; ","")&amp;IF(LEN($I347)&gt;35,"Address Line 3; ","")&amp;IF($J347="","Town; ","")&amp;IF(LEN($J347)&gt;35,"Town; ","")&amp;IF(AND($N347="IE",$K347=""),"County; ","")&amp;IF(LEN($AB347)&gt;35,"County; ","")&amp;IF(AND($L347="",AND($N347&lt;&gt;"AE",$N347&lt;&gt;"QA")),"Postcode; ","")&amp;IF(LEN($L347)&gt;35,"Postcode; ","")&amp;IF($AE347&lt;&gt;"","Postcode; ","")&amp;IF(LEN($O347)&gt;40,"Gift Message 1; ","")&amp;IF(LEN($P347)&gt;40,"Gift Message 2; ","")&amp;IF(LEN($Q347)&gt;40,"Gift Message 3; ","")&amp;IF(LEN($R347)&gt;40,"Gift Message 4; ","")&amp;IF(LEN($S347)&gt;40,"Gift Message 5; ","")&amp;IF(LEN($T347)&gt;40,"Gift Message 6; ","")&amp;IF(LEN($U347)&gt;40,"Gift Message 7; ",""))</f>
        <v/>
      </c>
      <c r="X347" s="44" t="str">
        <f ca="1">IF(COUNTA($A347,$D347:$M347,$O347:$U347)=0,"",IF($A347="","Enter the Item Code (hamper) - type it, paste it, or choose it from the dropdown. ","")&amp;IF(AND($A347&lt;&gt;"",ISNA(MATCH($AC347,'PRODUCT DATA'!$D$2:$D$394,0))),"This Item Code is not recognised. Check the code (case does not matter, but spelling and digits must match exactly) or choose it from the dropdown. ","")&amp;IF($M347="","Enter the Country after the Item Code - type or paste the name or the 2-letter code, or choose it from the dropdown. ","")&amp;IF(AND($M347&lt;&gt;"",NOT(OR(NOT(ISNA(MATCH(IF(UPPER($M347)="UK","GB",$M347),'PRODUCT DATA'!$A$2:$A$58,0))),NOT(ISNA(MATCH(IF(UPPER($M347)="UK","GB",$M347),'PRODUCT DATA'!$B$2:$B$58,0)))))),"This Country is not recognised as either a full name or a 2-letter code. Check the spelling (case does not matter) or choose it from the dropdown. ","")&amp;IF(AND($A347&lt;&gt;"",$M347&lt;&gt;"",NOT(ISNA(MATCH($AC347,'PRODUCT DATA'!$D$2:$D$394,0))),OR(NOT(ISNA(MATCH(IF(UPPER($M347)="UK","GB",$M347),'PRODUCT DATA'!$A$2:$A$58,0))),NOT(ISNA(MATCH(IF(UPPER($M347)="UK","GB",$M347),'PRODUCT DATA'!$B$2:$B$58,0)))),NOT(IFERROR(COUNTIF(OFFSET('PRODUCT DATA'!$F$2,0,MATCH($AC347,'PRODUCT DATA'!$F$1:$NN$1,0)-1,114,1),$N347)&gt;0,FALSE()))),IF(UPPER(IFERROR(OFFSET('PRODUCT DATA'!$C$2,MATCH($N347,'PRODUCT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"),"")&amp;IF($C347="","Enter Quantity. ","")&amp;IF(AND($C347&lt;&gt;"",OR(NOT(ISNUMBER($C347)),$C347&lt;1,$C347&gt;999,MOD($C347,1)&lt;&gt;0)),"Quantity must be a whole number from 1 to 999 (use a quantity above 1 only for a genuine bulk order of identical items to ONE address — otherwise use a separate row per recipient). ","")&amp;IF($D347="","Enter Recipient Name. ","")&amp;IF(LEN($D347)&gt;35,"Recipient Name exceeds 35 characters. ","")&amp;IF($E347="","Enter Recipient Phone. ","")&amp;IF(AND($E347&lt;&gt;"",OR(LEN($E347)&lt;6,LEN($E347)&gt;20,NOT(IFERROR(ISNUMBER(1*$E347),FALSE())))),"Phone must be the LOCAL number for the destination country: digits only, no +, spaces, or country code, 6 to 20 digits. ","")&amp;IF(LEN($F347)&gt;35,"Recipient Company Name exceeds 35 characters. ","")&amp;IF($G347="","Enter Address Line 1. ","")&amp;IF(LEN($G347)&gt;35,"Address Line 1 exceeds the 35-character SAP limit. ","")&amp;IF(LEN($H347)&gt;35,"Address Line 2 exceeds the 35-character SAP limit. ","")&amp;IF(LEN($I347)&gt;35,"Address Line 3 exceeds the 35-character SAP limit. ","")&amp;IF($J347="","Enter Town. This must never be left blank, even if there is no conventional town name. ","")&amp;IF(LEN($J347)&gt;35,"Town exceeds 35 characters. ","")&amp;IF(AND($N347="IE",$K347=""),"County is required for deliveries within the Republic of Ireland. ","")&amp;IF(LEN($AB347)&gt;35,"County exceeds 35 characters. ","")&amp;IF(AND($L347="",AND($N347&lt;&gt;"AE",$N347&lt;&gt;"QA")),"Postcode is required for the selected country. If there is genuinely no postcode, enter the first 3 characters of the area (e.g. D15). ","")&amp;IF(LEN($L347)&gt;35,"Postcode exceeds 35 characters. ","")&amp;IF($AE347&lt;&gt;"",$AE347,"")&amp;IF(LEN($O347)&gt;40,"Gift Message Line 1 exceeds 40 characters. ","")&amp;IF(LEN($P347)&gt;40,"Gift Message Line 2 exceeds 40 characters. ","")&amp;IF(LEN($Q347)&gt;40,"Gift Message Line 3 exceeds 40 characters. ","")&amp;IF(LEN($R347)&gt;40,"Gift Message Line 4 exceeds 40 characters. ","")&amp;IF(LEN($S347)&gt;40,"Gift Message Line 5 exceeds 40 characters. ","")&amp;IF(LEN($T347)&gt;40,"Gift Message Line 6 exceeds 40 characters. ","")&amp;IF(LEN($U347)&gt;40,"Gift Message Line 7 exceeds 40 characters. ",""))</f>
        <v/>
      </c>
      <c r="Y347" s="44" t="str">
        <f t="shared" si="21"/>
        <v/>
      </c>
      <c r="Z347" s="44"/>
      <c r="AA347" s="44"/>
      <c r="AB347" s="32" t="str">
        <f t="shared" si="22"/>
        <v/>
      </c>
      <c r="AC347" s="32" t="str">
        <f>IF($A347="","",IFERROR(LEFT(INDEX('PRODUCT DATA'!$NO$2:$NO$25,MATCH($A347,'PRODUCT DATA'!$NP$2:$NP$25,0)),FIND("|",INDEX('PRODUCT DATA'!$NO$2:$NO$25,MATCH($A347,'PRODUCT DATA'!$NP$2:$NP$25,0)))-1),$A347))</f>
        <v/>
      </c>
      <c r="AD347" s="45"/>
      <c r="AE347" s="45" t="str">
        <f t="shared" si="23"/>
        <v/>
      </c>
    </row>
    <row r="348" spans="1:31" ht="15" customHeight="1" x14ac:dyDescent="0.25">
      <c r="A348" s="40"/>
      <c r="B348" s="43" t="str">
        <f>IF($A348="","",IFERROR(VLOOKUP($AC348,'PRODUCT DATA'!$NR$2:$NS$374,2,FALSE()),"UNKNOWN ITEM CODE - please check"))</f>
        <v/>
      </c>
      <c r="C348" s="39">
        <v>1</v>
      </c>
      <c r="D348" s="39"/>
      <c r="E348" s="40"/>
      <c r="F348" s="41"/>
      <c r="G348" s="39"/>
      <c r="H348" s="41"/>
      <c r="I348" s="41"/>
      <c r="J348" s="39"/>
      <c r="K348" s="41"/>
      <c r="L348" s="40"/>
      <c r="M348" s="40"/>
      <c r="N348" s="42" t="str">
        <f>IF($M348="","",IFERROR(INDEX('PRODUCT DATA'!$B$2:$B$58,MATCH(IF(UPPER($M348)="UK","GB",$M348),'PRODUCT DATA'!$B$2:$B$58,0)),IFERROR(INDEX('PRODUCT DATA'!$B$2:$B$58,MATCH(IF(UPPER($M348)="UK","GB",$M348),'PRODUCT DATA'!$A$2:$A$58,0)),"UNKNOWN COUNTRY - please check")))</f>
        <v/>
      </c>
      <c r="O348" s="41"/>
      <c r="P348" s="41"/>
      <c r="Q348" s="41"/>
      <c r="R348" s="41"/>
      <c r="S348" s="41"/>
      <c r="T348" s="41"/>
      <c r="U348" s="41"/>
      <c r="V348" s="43" t="str">
        <f t="shared" si="20"/>
        <v/>
      </c>
      <c r="W348" s="44" t="str">
        <f ca="1">IF(COUNTA($A348,$D348:$M348,$O348:$U348)=0,"",IF($A348="","Item Code; ","")&amp;IF(AND($A348&lt;&gt;"",ISNA(MATCH($AC348,'PRODUCT DATA'!$D$2:$D$394,0))),"Item Code; ","")&amp;IF($M348="","Country; ","")&amp;IF(AND($M348&lt;&gt;"",NOT(OR(NOT(ISNA(MATCH(IF(UPPER($M348)="UK","GB",$M348),'PRODUCT DATA'!$A$2:$A$58,0))),NOT(ISNA(MATCH(IF(UPPER($M348)="UK","GB",$M348),'PRODUCT DATA'!$B$2:$B$58,0)))))),"Country; ","")&amp;IF(AND($A348&lt;&gt;"",$M348&lt;&gt;"",NOT(ISNA(MATCH($AC348,'PRODUCT DATA'!$D$2:$D$394,0))),OR(NOT(ISNA(MATCH(IF(UPPER($M348)="UK","GB",$M348),'PRODUCT DATA'!$A$2:$A$58,0))),NOT(ISNA(MATCH(IF(UPPER($M348)="UK","GB",$M348),'PRODUCT DATA'!$B$2:$B$58,0)))),NOT(IFERROR(COUNTIF(OFFSET('PRODUCT DATA'!$F$2,0,MATCH($AC348,'PRODUCT DATA'!$F$1:$NN$1,0)-1,114,1),$N348)&gt;0,FALSE()))),IF(UPPER(IFERROR(OFFSET('PRODUCT DATA'!$C$2,MATCH($N348,'PRODUCT DATA'!$B$2:$B$58,0)-1,0),""))="NO","Alcohol Restriction; ","Item Code / Country combination; "),"")&amp;IF($C348="","Quantity; ","")&amp;IF(AND($C348&lt;&gt;"",OR(NOT(ISNUMBER($C348)),$C348&lt;1,$C348&gt;999,MOD($C348,1)&lt;&gt;0)),"Quantity; ","")&amp;IF($D348="","Recipient Name; ","")&amp;IF(LEN($D348)&gt;35,"Recipient Name; ","")&amp;IF($E348="","Recipient Phone; ","")&amp;IF(AND($E348&lt;&gt;"",OR(LEN($E348)&lt;6,LEN($E348)&gt;20,NOT(IFERROR(ISNUMBER(1*$E348),FALSE())))),"Recipient Phone; ","")&amp;IF(LEN($F348)&gt;35,"Recipient Company Name; ","")&amp;IF($G348="","Address Line 1; ","")&amp;IF(LEN($G348)&gt;35,"Address Line 1; ","")&amp;IF(LEN($H348)&gt;35,"Address Line 2; ","")&amp;IF(LEN($I348)&gt;35,"Address Line 3; ","")&amp;IF($J348="","Town; ","")&amp;IF(LEN($J348)&gt;35,"Town; ","")&amp;IF(AND($N348="IE",$K348=""),"County; ","")&amp;IF(LEN($AB348)&gt;35,"County; ","")&amp;IF(AND($L348="",AND($N348&lt;&gt;"AE",$N348&lt;&gt;"QA")),"Postcode; ","")&amp;IF(LEN($L348)&gt;35,"Postcode; ","")&amp;IF($AE348&lt;&gt;"","Postcode; ","")&amp;IF(LEN($O348)&gt;40,"Gift Message 1; ","")&amp;IF(LEN($P348)&gt;40,"Gift Message 2; ","")&amp;IF(LEN($Q348)&gt;40,"Gift Message 3; ","")&amp;IF(LEN($R348)&gt;40,"Gift Message 4; ","")&amp;IF(LEN($S348)&gt;40,"Gift Message 5; ","")&amp;IF(LEN($T348)&gt;40,"Gift Message 6; ","")&amp;IF(LEN($U348)&gt;40,"Gift Message 7; ",""))</f>
        <v/>
      </c>
      <c r="X348" s="44" t="str">
        <f ca="1">IF(COUNTA($A348,$D348:$M348,$O348:$U348)=0,"",IF($A348="","Enter the Item Code (hamper) - type it, paste it, or choose it from the dropdown. ","")&amp;IF(AND($A348&lt;&gt;"",ISNA(MATCH($AC348,'PRODUCT DATA'!$D$2:$D$394,0))),"This Item Code is not recognised. Check the code (case does not matter, but spelling and digits must match exactly) or choose it from the dropdown. ","")&amp;IF($M348="","Enter the Country after the Item Code - type or paste the name or the 2-letter code, or choose it from the dropdown. ","")&amp;IF(AND($M348&lt;&gt;"",NOT(OR(NOT(ISNA(MATCH(IF(UPPER($M348)="UK","GB",$M348),'PRODUCT DATA'!$A$2:$A$58,0))),NOT(ISNA(MATCH(IF(UPPER($M348)="UK","GB",$M348),'PRODUCT DATA'!$B$2:$B$58,0)))))),"This Country is not recognised as either a full name or a 2-letter code. Check the spelling (case does not matter) or choose it from the dropdown. ","")&amp;IF(AND($A348&lt;&gt;"",$M348&lt;&gt;"",NOT(ISNA(MATCH($AC348,'PRODUCT DATA'!$D$2:$D$394,0))),OR(NOT(ISNA(MATCH(IF(UPPER($M348)="UK","GB",$M348),'PRODUCT DATA'!$A$2:$A$58,0))),NOT(ISNA(MATCH(IF(UPPER($M348)="UK","GB",$M348),'PRODUCT DATA'!$B$2:$B$58,0)))),NOT(IFERROR(COUNTIF(OFFSET('PRODUCT DATA'!$F$2,0,MATCH($AC348,'PRODUCT DATA'!$F$1:$NN$1,0)-1,114,1),$N348)&gt;0,FALSE()))),IF(UPPER(IFERROR(OFFSET('PRODUCT DATA'!$C$2,MATCH($N348,'PRODUCT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"),"")&amp;IF($C348="","Enter Quantity. ","")&amp;IF(AND($C348&lt;&gt;"",OR(NOT(ISNUMBER($C348)),$C348&lt;1,$C348&gt;999,MOD($C348,1)&lt;&gt;0)),"Quantity must be a whole number from 1 to 999 (use a quantity above 1 only for a genuine bulk order of identical items to ONE address — otherwise use a separate row per recipient). ","")&amp;IF($D348="","Enter Recipient Name. ","")&amp;IF(LEN($D348)&gt;35,"Recipient Name exceeds 35 characters. ","")&amp;IF($E348="","Enter Recipient Phone. ","")&amp;IF(AND($E348&lt;&gt;"",OR(LEN($E348)&lt;6,LEN($E348)&gt;20,NOT(IFERROR(ISNUMBER(1*$E348),FALSE())))),"Phone must be the LOCAL number for the destination country: digits only, no +, spaces, or country code, 6 to 20 digits. ","")&amp;IF(LEN($F348)&gt;35,"Recipient Company Name exceeds 35 characters. ","")&amp;IF($G348="","Enter Address Line 1. ","")&amp;IF(LEN($G348)&gt;35,"Address Line 1 exceeds the 35-character SAP limit. ","")&amp;IF(LEN($H348)&gt;35,"Address Line 2 exceeds the 35-character SAP limit. ","")&amp;IF(LEN($I348)&gt;35,"Address Line 3 exceeds the 35-character SAP limit. ","")&amp;IF($J348="","Enter Town. This must never be left blank, even if there is no conventional town name. ","")&amp;IF(LEN($J348)&gt;35,"Town exceeds 35 characters. ","")&amp;IF(AND($N348="IE",$K348=""),"County is required for deliveries within the Republic of Ireland. ","")&amp;IF(LEN($AB348)&gt;35,"County exceeds 35 characters. ","")&amp;IF(AND($L348="",AND($N348&lt;&gt;"AE",$N348&lt;&gt;"QA")),"Postcode is required for the selected country. If there is genuinely no postcode, enter the first 3 characters of the area (e.g. D15). ","")&amp;IF(LEN($L348)&gt;35,"Postcode exceeds 35 characters. ","")&amp;IF($AE348&lt;&gt;"",$AE348,"")&amp;IF(LEN($O348)&gt;40,"Gift Message Line 1 exceeds 40 characters. ","")&amp;IF(LEN($P348)&gt;40,"Gift Message Line 2 exceeds 40 characters. ","")&amp;IF(LEN($Q348)&gt;40,"Gift Message Line 3 exceeds 40 characters. ","")&amp;IF(LEN($R348)&gt;40,"Gift Message Line 4 exceeds 40 characters. ","")&amp;IF(LEN($S348)&gt;40,"Gift Message Line 5 exceeds 40 characters. ","")&amp;IF(LEN($T348)&gt;40,"Gift Message Line 6 exceeds 40 characters. ","")&amp;IF(LEN($U348)&gt;40,"Gift Message Line 7 exceeds 40 characters. ",""))</f>
        <v/>
      </c>
      <c r="Y348" s="44" t="str">
        <f t="shared" si="21"/>
        <v/>
      </c>
      <c r="Z348" s="44"/>
      <c r="AA348" s="44"/>
      <c r="AB348" s="32" t="str">
        <f t="shared" si="22"/>
        <v/>
      </c>
      <c r="AC348" s="32" t="str">
        <f>IF($A348="","",IFERROR(LEFT(INDEX('PRODUCT DATA'!$NO$2:$NO$25,MATCH($A348,'PRODUCT DATA'!$NP$2:$NP$25,0)),FIND("|",INDEX('PRODUCT DATA'!$NO$2:$NO$25,MATCH($A348,'PRODUCT DATA'!$NP$2:$NP$25,0)))-1),$A348))</f>
        <v/>
      </c>
      <c r="AD348" s="45"/>
      <c r="AE348" s="45" t="str">
        <f t="shared" si="23"/>
        <v/>
      </c>
    </row>
    <row r="349" spans="1:31" ht="15" customHeight="1" x14ac:dyDescent="0.25">
      <c r="A349" s="40"/>
      <c r="B349" s="43" t="str">
        <f>IF($A349="","",IFERROR(VLOOKUP($AC349,'PRODUCT DATA'!$NR$2:$NS$374,2,FALSE()),"UNKNOWN ITEM CODE - please check"))</f>
        <v/>
      </c>
      <c r="C349" s="39">
        <v>1</v>
      </c>
      <c r="D349" s="39"/>
      <c r="E349" s="40"/>
      <c r="F349" s="41"/>
      <c r="G349" s="39"/>
      <c r="H349" s="41"/>
      <c r="I349" s="41"/>
      <c r="J349" s="39"/>
      <c r="K349" s="41"/>
      <c r="L349" s="40"/>
      <c r="M349" s="40"/>
      <c r="N349" s="42" t="str">
        <f>IF($M349="","",IFERROR(INDEX('PRODUCT DATA'!$B$2:$B$58,MATCH(IF(UPPER($M349)="UK","GB",$M349),'PRODUCT DATA'!$B$2:$B$58,0)),IFERROR(INDEX('PRODUCT DATA'!$B$2:$B$58,MATCH(IF(UPPER($M349)="UK","GB",$M349),'PRODUCT DATA'!$A$2:$A$58,0)),"UNKNOWN COUNTRY - please check")))</f>
        <v/>
      </c>
      <c r="O349" s="41"/>
      <c r="P349" s="41"/>
      <c r="Q349" s="41"/>
      <c r="R349" s="41"/>
      <c r="S349" s="41"/>
      <c r="T349" s="41"/>
      <c r="U349" s="41"/>
      <c r="V349" s="43" t="str">
        <f t="shared" si="20"/>
        <v/>
      </c>
      <c r="W349" s="44" t="str">
        <f ca="1">IF(COUNTA($A349,$D349:$M349,$O349:$U349)=0,"",IF($A349="","Item Code; ","")&amp;IF(AND($A349&lt;&gt;"",ISNA(MATCH($AC349,'PRODUCT DATA'!$D$2:$D$394,0))),"Item Code; ","")&amp;IF($M349="","Country; ","")&amp;IF(AND($M349&lt;&gt;"",NOT(OR(NOT(ISNA(MATCH(IF(UPPER($M349)="UK","GB",$M349),'PRODUCT DATA'!$A$2:$A$58,0))),NOT(ISNA(MATCH(IF(UPPER($M349)="UK","GB",$M349),'PRODUCT DATA'!$B$2:$B$58,0)))))),"Country; ","")&amp;IF(AND($A349&lt;&gt;"",$M349&lt;&gt;"",NOT(ISNA(MATCH($AC349,'PRODUCT DATA'!$D$2:$D$394,0))),OR(NOT(ISNA(MATCH(IF(UPPER($M349)="UK","GB",$M349),'PRODUCT DATA'!$A$2:$A$58,0))),NOT(ISNA(MATCH(IF(UPPER($M349)="UK","GB",$M349),'PRODUCT DATA'!$B$2:$B$58,0)))),NOT(IFERROR(COUNTIF(OFFSET('PRODUCT DATA'!$F$2,0,MATCH($AC349,'PRODUCT DATA'!$F$1:$NN$1,0)-1,114,1),$N349)&gt;0,FALSE()))),IF(UPPER(IFERROR(OFFSET('PRODUCT DATA'!$C$2,MATCH($N349,'PRODUCT DATA'!$B$2:$B$58,0)-1,0),""))="NO","Alcohol Restriction; ","Item Code / Country combination; "),"")&amp;IF($C349="","Quantity; ","")&amp;IF(AND($C349&lt;&gt;"",OR(NOT(ISNUMBER($C349)),$C349&lt;1,$C349&gt;999,MOD($C349,1)&lt;&gt;0)),"Quantity; ","")&amp;IF($D349="","Recipient Name; ","")&amp;IF(LEN($D349)&gt;35,"Recipient Name; ","")&amp;IF($E349="","Recipient Phone; ","")&amp;IF(AND($E349&lt;&gt;"",OR(LEN($E349)&lt;6,LEN($E349)&gt;20,NOT(IFERROR(ISNUMBER(1*$E349),FALSE())))),"Recipient Phone; ","")&amp;IF(LEN($F349)&gt;35,"Recipient Company Name; ","")&amp;IF($G349="","Address Line 1; ","")&amp;IF(LEN($G349)&gt;35,"Address Line 1; ","")&amp;IF(LEN($H349)&gt;35,"Address Line 2; ","")&amp;IF(LEN($I349)&gt;35,"Address Line 3; ","")&amp;IF($J349="","Town; ","")&amp;IF(LEN($J349)&gt;35,"Town; ","")&amp;IF(AND($N349="IE",$K349=""),"County; ","")&amp;IF(LEN($AB349)&gt;35,"County; ","")&amp;IF(AND($L349="",AND($N349&lt;&gt;"AE",$N349&lt;&gt;"QA")),"Postcode; ","")&amp;IF(LEN($L349)&gt;35,"Postcode; ","")&amp;IF($AE349&lt;&gt;"","Postcode; ","")&amp;IF(LEN($O349)&gt;40,"Gift Message 1; ","")&amp;IF(LEN($P349)&gt;40,"Gift Message 2; ","")&amp;IF(LEN($Q349)&gt;40,"Gift Message 3; ","")&amp;IF(LEN($R349)&gt;40,"Gift Message 4; ","")&amp;IF(LEN($S349)&gt;40,"Gift Message 5; ","")&amp;IF(LEN($T349)&gt;40,"Gift Message 6; ","")&amp;IF(LEN($U349)&gt;40,"Gift Message 7; ",""))</f>
        <v/>
      </c>
      <c r="X349" s="44" t="str">
        <f ca="1">IF(COUNTA($A349,$D349:$M349,$O349:$U349)=0,"",IF($A349="","Enter the Item Code (hamper) - type it, paste it, or choose it from the dropdown. ","")&amp;IF(AND($A349&lt;&gt;"",ISNA(MATCH($AC349,'PRODUCT DATA'!$D$2:$D$394,0))),"This Item Code is not recognised. Check the code (case does not matter, but spelling and digits must match exactly) or choose it from the dropdown. ","")&amp;IF($M349="","Enter the Country after the Item Code - type or paste the name or the 2-letter code, or choose it from the dropdown. ","")&amp;IF(AND($M349&lt;&gt;"",NOT(OR(NOT(ISNA(MATCH(IF(UPPER($M349)="UK","GB",$M349),'PRODUCT DATA'!$A$2:$A$58,0))),NOT(ISNA(MATCH(IF(UPPER($M349)="UK","GB",$M349),'PRODUCT DATA'!$B$2:$B$58,0)))))),"This Country is not recognised as either a full name or a 2-letter code. Check the spelling (case does not matter) or choose it from the dropdown. ","")&amp;IF(AND($A349&lt;&gt;"",$M349&lt;&gt;"",NOT(ISNA(MATCH($AC349,'PRODUCT DATA'!$D$2:$D$394,0))),OR(NOT(ISNA(MATCH(IF(UPPER($M349)="UK","GB",$M349),'PRODUCT DATA'!$A$2:$A$58,0))),NOT(ISNA(MATCH(IF(UPPER($M349)="UK","GB",$M349),'PRODUCT DATA'!$B$2:$B$58,0)))),NOT(IFERROR(COUNTIF(OFFSET('PRODUCT DATA'!$F$2,0,MATCH($AC349,'PRODUCT DATA'!$F$1:$NN$1,0)-1,114,1),$N349)&gt;0,FALSE()))),IF(UPPER(IFERROR(OFFSET('PRODUCT DATA'!$C$2,MATCH($N349,'PRODUCT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"),"")&amp;IF($C349="","Enter Quantity. ","")&amp;IF(AND($C349&lt;&gt;"",OR(NOT(ISNUMBER($C349)),$C349&lt;1,$C349&gt;999,MOD($C349,1)&lt;&gt;0)),"Quantity must be a whole number from 1 to 999 (use a quantity above 1 only for a genuine bulk order of identical items to ONE address — otherwise use a separate row per recipient). ","")&amp;IF($D349="","Enter Recipient Name. ","")&amp;IF(LEN($D349)&gt;35,"Recipient Name exceeds 35 characters. ","")&amp;IF($E349="","Enter Recipient Phone. ","")&amp;IF(AND($E349&lt;&gt;"",OR(LEN($E349)&lt;6,LEN($E349)&gt;20,NOT(IFERROR(ISNUMBER(1*$E349),FALSE())))),"Phone must be the LOCAL number for the destination country: digits only, no +, spaces, or country code, 6 to 20 digits. ","")&amp;IF(LEN($F349)&gt;35,"Recipient Company Name exceeds 35 characters. ","")&amp;IF($G349="","Enter Address Line 1. ","")&amp;IF(LEN($G349)&gt;35,"Address Line 1 exceeds the 35-character SAP limit. ","")&amp;IF(LEN($H349)&gt;35,"Address Line 2 exceeds the 35-character SAP limit. ","")&amp;IF(LEN($I349)&gt;35,"Address Line 3 exceeds the 35-character SAP limit. ","")&amp;IF($J349="","Enter Town. This must never be left blank, even if there is no conventional town name. ","")&amp;IF(LEN($J349)&gt;35,"Town exceeds 35 characters. ","")&amp;IF(AND($N349="IE",$K349=""),"County is required for deliveries within the Republic of Ireland. ","")&amp;IF(LEN($AB349)&gt;35,"County exceeds 35 characters. ","")&amp;IF(AND($L349="",AND($N349&lt;&gt;"AE",$N349&lt;&gt;"QA")),"Postcode is required for the selected country. If there is genuinely no postcode, enter the first 3 characters of the area (e.g. D15). ","")&amp;IF(LEN($L349)&gt;35,"Postcode exceeds 35 characters. ","")&amp;IF($AE349&lt;&gt;"",$AE349,"")&amp;IF(LEN($O349)&gt;40,"Gift Message Line 1 exceeds 40 characters. ","")&amp;IF(LEN($P349)&gt;40,"Gift Message Line 2 exceeds 40 characters. ","")&amp;IF(LEN($Q349)&gt;40,"Gift Message Line 3 exceeds 40 characters. ","")&amp;IF(LEN($R349)&gt;40,"Gift Message Line 4 exceeds 40 characters. ","")&amp;IF(LEN($S349)&gt;40,"Gift Message Line 5 exceeds 40 characters. ","")&amp;IF(LEN($T349)&gt;40,"Gift Message Line 6 exceeds 40 characters. ","")&amp;IF(LEN($U349)&gt;40,"Gift Message Line 7 exceeds 40 characters. ",""))</f>
        <v/>
      </c>
      <c r="Y349" s="44" t="str">
        <f t="shared" si="21"/>
        <v/>
      </c>
      <c r="Z349" s="44"/>
      <c r="AA349" s="44"/>
      <c r="AB349" s="32" t="str">
        <f t="shared" si="22"/>
        <v/>
      </c>
      <c r="AC349" s="32" t="str">
        <f>IF($A349="","",IFERROR(LEFT(INDEX('PRODUCT DATA'!$NO$2:$NO$25,MATCH($A349,'PRODUCT DATA'!$NP$2:$NP$25,0)),FIND("|",INDEX('PRODUCT DATA'!$NO$2:$NO$25,MATCH($A349,'PRODUCT DATA'!$NP$2:$NP$25,0)))-1),$A349))</f>
        <v/>
      </c>
      <c r="AD349" s="45"/>
      <c r="AE349" s="45" t="str">
        <f t="shared" si="23"/>
        <v/>
      </c>
    </row>
    <row r="350" spans="1:31" ht="15" customHeight="1" x14ac:dyDescent="0.25">
      <c r="A350" s="40"/>
      <c r="B350" s="43" t="str">
        <f>IF($A350="","",IFERROR(VLOOKUP($AC350,'PRODUCT DATA'!$NR$2:$NS$374,2,FALSE()),"UNKNOWN ITEM CODE - please check"))</f>
        <v/>
      </c>
      <c r="C350" s="39">
        <v>1</v>
      </c>
      <c r="D350" s="39"/>
      <c r="E350" s="40"/>
      <c r="F350" s="41"/>
      <c r="G350" s="39"/>
      <c r="H350" s="41"/>
      <c r="I350" s="41"/>
      <c r="J350" s="39"/>
      <c r="K350" s="41"/>
      <c r="L350" s="40"/>
      <c r="M350" s="40"/>
      <c r="N350" s="42" t="str">
        <f>IF($M350="","",IFERROR(INDEX('PRODUCT DATA'!$B$2:$B$58,MATCH(IF(UPPER($M350)="UK","GB",$M350),'PRODUCT DATA'!$B$2:$B$58,0)),IFERROR(INDEX('PRODUCT DATA'!$B$2:$B$58,MATCH(IF(UPPER($M350)="UK","GB",$M350),'PRODUCT DATA'!$A$2:$A$58,0)),"UNKNOWN COUNTRY - please check")))</f>
        <v/>
      </c>
      <c r="O350" s="41"/>
      <c r="P350" s="41"/>
      <c r="Q350" s="41"/>
      <c r="R350" s="41"/>
      <c r="S350" s="41"/>
      <c r="T350" s="41"/>
      <c r="U350" s="41"/>
      <c r="V350" s="43" t="str">
        <f t="shared" si="20"/>
        <v/>
      </c>
      <c r="W350" s="44" t="str">
        <f ca="1">IF(COUNTA($A350,$D350:$M350,$O350:$U350)=0,"",IF($A350="","Item Code; ","")&amp;IF(AND($A350&lt;&gt;"",ISNA(MATCH($AC350,'PRODUCT DATA'!$D$2:$D$394,0))),"Item Code; ","")&amp;IF($M350="","Country; ","")&amp;IF(AND($M350&lt;&gt;"",NOT(OR(NOT(ISNA(MATCH(IF(UPPER($M350)="UK","GB",$M350),'PRODUCT DATA'!$A$2:$A$58,0))),NOT(ISNA(MATCH(IF(UPPER($M350)="UK","GB",$M350),'PRODUCT DATA'!$B$2:$B$58,0)))))),"Country; ","")&amp;IF(AND($A350&lt;&gt;"",$M350&lt;&gt;"",NOT(ISNA(MATCH($AC350,'PRODUCT DATA'!$D$2:$D$394,0))),OR(NOT(ISNA(MATCH(IF(UPPER($M350)="UK","GB",$M350),'PRODUCT DATA'!$A$2:$A$58,0))),NOT(ISNA(MATCH(IF(UPPER($M350)="UK","GB",$M350),'PRODUCT DATA'!$B$2:$B$58,0)))),NOT(IFERROR(COUNTIF(OFFSET('PRODUCT DATA'!$F$2,0,MATCH($AC350,'PRODUCT DATA'!$F$1:$NN$1,0)-1,114,1),$N350)&gt;0,FALSE()))),IF(UPPER(IFERROR(OFFSET('PRODUCT DATA'!$C$2,MATCH($N350,'PRODUCT DATA'!$B$2:$B$58,0)-1,0),""))="NO","Alcohol Restriction; ","Item Code / Country combination; "),"")&amp;IF($C350="","Quantity; ","")&amp;IF(AND($C350&lt;&gt;"",OR(NOT(ISNUMBER($C350)),$C350&lt;1,$C350&gt;999,MOD($C350,1)&lt;&gt;0)),"Quantity; ","")&amp;IF($D350="","Recipient Name; ","")&amp;IF(LEN($D350)&gt;35,"Recipient Name; ","")&amp;IF($E350="","Recipient Phone; ","")&amp;IF(AND($E350&lt;&gt;"",OR(LEN($E350)&lt;6,LEN($E350)&gt;20,NOT(IFERROR(ISNUMBER(1*$E350),FALSE())))),"Recipient Phone; ","")&amp;IF(LEN($F350)&gt;35,"Recipient Company Name; ","")&amp;IF($G350="","Address Line 1; ","")&amp;IF(LEN($G350)&gt;35,"Address Line 1; ","")&amp;IF(LEN($H350)&gt;35,"Address Line 2; ","")&amp;IF(LEN($I350)&gt;35,"Address Line 3; ","")&amp;IF($J350="","Town; ","")&amp;IF(LEN($J350)&gt;35,"Town; ","")&amp;IF(AND($N350="IE",$K350=""),"County; ","")&amp;IF(LEN($AB350)&gt;35,"County; ","")&amp;IF(AND($L350="",AND($N350&lt;&gt;"AE",$N350&lt;&gt;"QA")),"Postcode; ","")&amp;IF(LEN($L350)&gt;35,"Postcode; ","")&amp;IF($AE350&lt;&gt;"","Postcode; ","")&amp;IF(LEN($O350)&gt;40,"Gift Message 1; ","")&amp;IF(LEN($P350)&gt;40,"Gift Message 2; ","")&amp;IF(LEN($Q350)&gt;40,"Gift Message 3; ","")&amp;IF(LEN($R350)&gt;40,"Gift Message 4; ","")&amp;IF(LEN($S350)&gt;40,"Gift Message 5; ","")&amp;IF(LEN($T350)&gt;40,"Gift Message 6; ","")&amp;IF(LEN($U350)&gt;40,"Gift Message 7; ",""))</f>
        <v/>
      </c>
      <c r="X350" s="44" t="str">
        <f ca="1">IF(COUNTA($A350,$D350:$M350,$O350:$U350)=0,"",IF($A350="","Enter the Item Code (hamper) - type it, paste it, or choose it from the dropdown. ","")&amp;IF(AND($A350&lt;&gt;"",ISNA(MATCH($AC350,'PRODUCT DATA'!$D$2:$D$394,0))),"This Item Code is not recognised. Check the code (case does not matter, but spelling and digits must match exactly) or choose it from the dropdown. ","")&amp;IF($M350="","Enter the Country after the Item Code - type or paste the name or the 2-letter code, or choose it from the dropdown. ","")&amp;IF(AND($M350&lt;&gt;"",NOT(OR(NOT(ISNA(MATCH(IF(UPPER($M350)="UK","GB",$M350),'PRODUCT DATA'!$A$2:$A$58,0))),NOT(ISNA(MATCH(IF(UPPER($M350)="UK","GB",$M350),'PRODUCT DATA'!$B$2:$B$58,0)))))),"This Country is not recognised as either a full name or a 2-letter code. Check the spelling (case does not matter) or choose it from the dropdown. ","")&amp;IF(AND($A350&lt;&gt;"",$M350&lt;&gt;"",NOT(ISNA(MATCH($AC350,'PRODUCT DATA'!$D$2:$D$394,0))),OR(NOT(ISNA(MATCH(IF(UPPER($M350)="UK","GB",$M350),'PRODUCT DATA'!$A$2:$A$58,0))),NOT(ISNA(MATCH(IF(UPPER($M350)="UK","GB",$M350),'PRODUCT DATA'!$B$2:$B$58,0)))),NOT(IFERROR(COUNTIF(OFFSET('PRODUCT DATA'!$F$2,0,MATCH($AC350,'PRODUCT DATA'!$F$1:$NN$1,0)-1,114,1),$N350)&gt;0,FALSE()))),IF(UPPER(IFERROR(OFFSET('PRODUCT DATA'!$C$2,MATCH($N350,'PRODUCT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"),"")&amp;IF($C350="","Enter Quantity. ","")&amp;IF(AND($C350&lt;&gt;"",OR(NOT(ISNUMBER($C350)),$C350&lt;1,$C350&gt;999,MOD($C350,1)&lt;&gt;0)),"Quantity must be a whole number from 1 to 999 (use a quantity above 1 only for a genuine bulk order of identical items to ONE address — otherwise use a separate row per recipient). ","")&amp;IF($D350="","Enter Recipient Name. ","")&amp;IF(LEN($D350)&gt;35,"Recipient Name exceeds 35 characters. ","")&amp;IF($E350="","Enter Recipient Phone. ","")&amp;IF(AND($E350&lt;&gt;"",OR(LEN($E350)&lt;6,LEN($E350)&gt;20,NOT(IFERROR(ISNUMBER(1*$E350),FALSE())))),"Phone must be the LOCAL number for the destination country: digits only, no +, spaces, or country code, 6 to 20 digits. ","")&amp;IF(LEN($F350)&gt;35,"Recipient Company Name exceeds 35 characters. ","")&amp;IF($G350="","Enter Address Line 1. ","")&amp;IF(LEN($G350)&gt;35,"Address Line 1 exceeds the 35-character SAP limit. ","")&amp;IF(LEN($H350)&gt;35,"Address Line 2 exceeds the 35-character SAP limit. ","")&amp;IF(LEN($I350)&gt;35,"Address Line 3 exceeds the 35-character SAP limit. ","")&amp;IF($J350="","Enter Town. This must never be left blank, even if there is no conventional town name. ","")&amp;IF(LEN($J350)&gt;35,"Town exceeds 35 characters. ","")&amp;IF(AND($N350="IE",$K350=""),"County is required for deliveries within the Republic of Ireland. ","")&amp;IF(LEN($AB350)&gt;35,"County exceeds 35 characters. ","")&amp;IF(AND($L350="",AND($N350&lt;&gt;"AE",$N350&lt;&gt;"QA")),"Postcode is required for the selected country. If there is genuinely no postcode, enter the first 3 characters of the area (e.g. D15). ","")&amp;IF(LEN($L350)&gt;35,"Postcode exceeds 35 characters. ","")&amp;IF($AE350&lt;&gt;"",$AE350,"")&amp;IF(LEN($O350)&gt;40,"Gift Message Line 1 exceeds 40 characters. ","")&amp;IF(LEN($P350)&gt;40,"Gift Message Line 2 exceeds 40 characters. ","")&amp;IF(LEN($Q350)&gt;40,"Gift Message Line 3 exceeds 40 characters. ","")&amp;IF(LEN($R350)&gt;40,"Gift Message Line 4 exceeds 40 characters. ","")&amp;IF(LEN($S350)&gt;40,"Gift Message Line 5 exceeds 40 characters. ","")&amp;IF(LEN($T350)&gt;40,"Gift Message Line 6 exceeds 40 characters. ","")&amp;IF(LEN($U350)&gt;40,"Gift Message Line 7 exceeds 40 characters. ",""))</f>
        <v/>
      </c>
      <c r="Y350" s="44" t="str">
        <f t="shared" si="21"/>
        <v/>
      </c>
      <c r="Z350" s="44"/>
      <c r="AA350" s="44"/>
      <c r="AB350" s="32" t="str">
        <f t="shared" si="22"/>
        <v/>
      </c>
      <c r="AC350" s="32" t="str">
        <f>IF($A350="","",IFERROR(LEFT(INDEX('PRODUCT DATA'!$NO$2:$NO$25,MATCH($A350,'PRODUCT DATA'!$NP$2:$NP$25,0)),FIND("|",INDEX('PRODUCT DATA'!$NO$2:$NO$25,MATCH($A350,'PRODUCT DATA'!$NP$2:$NP$25,0)))-1),$A350))</f>
        <v/>
      </c>
      <c r="AD350" s="45"/>
      <c r="AE350" s="45" t="str">
        <f t="shared" si="23"/>
        <v/>
      </c>
    </row>
    <row r="351" spans="1:31" ht="15" customHeight="1" x14ac:dyDescent="0.25">
      <c r="A351" s="40"/>
      <c r="B351" s="43" t="str">
        <f>IF($A351="","",IFERROR(VLOOKUP($AC351,'PRODUCT DATA'!$NR$2:$NS$374,2,FALSE()),"UNKNOWN ITEM CODE - please check"))</f>
        <v/>
      </c>
      <c r="C351" s="39">
        <v>1</v>
      </c>
      <c r="D351" s="39"/>
      <c r="E351" s="40"/>
      <c r="F351" s="41"/>
      <c r="G351" s="39"/>
      <c r="H351" s="41"/>
      <c r="I351" s="41"/>
      <c r="J351" s="39"/>
      <c r="K351" s="41"/>
      <c r="L351" s="40"/>
      <c r="M351" s="40"/>
      <c r="N351" s="42" t="str">
        <f>IF($M351="","",IFERROR(INDEX('PRODUCT DATA'!$B$2:$B$58,MATCH(IF(UPPER($M351)="UK","GB",$M351),'PRODUCT DATA'!$B$2:$B$58,0)),IFERROR(INDEX('PRODUCT DATA'!$B$2:$B$58,MATCH(IF(UPPER($M351)="UK","GB",$M351),'PRODUCT DATA'!$A$2:$A$58,0)),"UNKNOWN COUNTRY - please check")))</f>
        <v/>
      </c>
      <c r="O351" s="41"/>
      <c r="P351" s="41"/>
      <c r="Q351" s="41"/>
      <c r="R351" s="41"/>
      <c r="S351" s="41"/>
      <c r="T351" s="41"/>
      <c r="U351" s="41"/>
      <c r="V351" s="43" t="str">
        <f t="shared" si="20"/>
        <v/>
      </c>
      <c r="W351" s="44" t="str">
        <f ca="1">IF(COUNTA($A351,$D351:$M351,$O351:$U351)=0,"",IF($A351="","Item Code; ","")&amp;IF(AND($A351&lt;&gt;"",ISNA(MATCH($AC351,'PRODUCT DATA'!$D$2:$D$394,0))),"Item Code; ","")&amp;IF($M351="","Country; ","")&amp;IF(AND($M351&lt;&gt;"",NOT(OR(NOT(ISNA(MATCH(IF(UPPER($M351)="UK","GB",$M351),'PRODUCT DATA'!$A$2:$A$58,0))),NOT(ISNA(MATCH(IF(UPPER($M351)="UK","GB",$M351),'PRODUCT DATA'!$B$2:$B$58,0)))))),"Country; ","")&amp;IF(AND($A351&lt;&gt;"",$M351&lt;&gt;"",NOT(ISNA(MATCH($AC351,'PRODUCT DATA'!$D$2:$D$394,0))),OR(NOT(ISNA(MATCH(IF(UPPER($M351)="UK","GB",$M351),'PRODUCT DATA'!$A$2:$A$58,0))),NOT(ISNA(MATCH(IF(UPPER($M351)="UK","GB",$M351),'PRODUCT DATA'!$B$2:$B$58,0)))),NOT(IFERROR(COUNTIF(OFFSET('PRODUCT DATA'!$F$2,0,MATCH($AC351,'PRODUCT DATA'!$F$1:$NN$1,0)-1,114,1),$N351)&gt;0,FALSE()))),IF(UPPER(IFERROR(OFFSET('PRODUCT DATA'!$C$2,MATCH($N351,'PRODUCT DATA'!$B$2:$B$58,0)-1,0),""))="NO","Alcohol Restriction; ","Item Code / Country combination; "),"")&amp;IF($C351="","Quantity; ","")&amp;IF(AND($C351&lt;&gt;"",OR(NOT(ISNUMBER($C351)),$C351&lt;1,$C351&gt;999,MOD($C351,1)&lt;&gt;0)),"Quantity; ","")&amp;IF($D351="","Recipient Name; ","")&amp;IF(LEN($D351)&gt;35,"Recipient Name; ","")&amp;IF($E351="","Recipient Phone; ","")&amp;IF(AND($E351&lt;&gt;"",OR(LEN($E351)&lt;6,LEN($E351)&gt;20,NOT(IFERROR(ISNUMBER(1*$E351),FALSE())))),"Recipient Phone; ","")&amp;IF(LEN($F351)&gt;35,"Recipient Company Name; ","")&amp;IF($G351="","Address Line 1; ","")&amp;IF(LEN($G351)&gt;35,"Address Line 1; ","")&amp;IF(LEN($H351)&gt;35,"Address Line 2; ","")&amp;IF(LEN($I351)&gt;35,"Address Line 3; ","")&amp;IF($J351="","Town; ","")&amp;IF(LEN($J351)&gt;35,"Town; ","")&amp;IF(AND($N351="IE",$K351=""),"County; ","")&amp;IF(LEN($AB351)&gt;35,"County; ","")&amp;IF(AND($L351="",AND($N351&lt;&gt;"AE",$N351&lt;&gt;"QA")),"Postcode; ","")&amp;IF(LEN($L351)&gt;35,"Postcode; ","")&amp;IF($AE351&lt;&gt;"","Postcode; ","")&amp;IF(LEN($O351)&gt;40,"Gift Message 1; ","")&amp;IF(LEN($P351)&gt;40,"Gift Message 2; ","")&amp;IF(LEN($Q351)&gt;40,"Gift Message 3; ","")&amp;IF(LEN($R351)&gt;40,"Gift Message 4; ","")&amp;IF(LEN($S351)&gt;40,"Gift Message 5; ","")&amp;IF(LEN($T351)&gt;40,"Gift Message 6; ","")&amp;IF(LEN($U351)&gt;40,"Gift Message 7; ",""))</f>
        <v/>
      </c>
      <c r="X351" s="44" t="str">
        <f ca="1">IF(COUNTA($A351,$D351:$M351,$O351:$U351)=0,"",IF($A351="","Enter the Item Code (hamper) - type it, paste it, or choose it from the dropdown. ","")&amp;IF(AND($A351&lt;&gt;"",ISNA(MATCH($AC351,'PRODUCT DATA'!$D$2:$D$394,0))),"This Item Code is not recognised. Check the code (case does not matter, but spelling and digits must match exactly) or choose it from the dropdown. ","")&amp;IF($M351="","Enter the Country after the Item Code - type or paste the name or the 2-letter code, or choose it from the dropdown. ","")&amp;IF(AND($M351&lt;&gt;"",NOT(OR(NOT(ISNA(MATCH(IF(UPPER($M351)="UK","GB",$M351),'PRODUCT DATA'!$A$2:$A$58,0))),NOT(ISNA(MATCH(IF(UPPER($M351)="UK","GB",$M351),'PRODUCT DATA'!$B$2:$B$58,0)))))),"This Country is not recognised as either a full name or a 2-letter code. Check the spelling (case does not matter) or choose it from the dropdown. ","")&amp;IF(AND($A351&lt;&gt;"",$M351&lt;&gt;"",NOT(ISNA(MATCH($AC351,'PRODUCT DATA'!$D$2:$D$394,0))),OR(NOT(ISNA(MATCH(IF(UPPER($M351)="UK","GB",$M351),'PRODUCT DATA'!$A$2:$A$58,0))),NOT(ISNA(MATCH(IF(UPPER($M351)="UK","GB",$M351),'PRODUCT DATA'!$B$2:$B$58,0)))),NOT(IFERROR(COUNTIF(OFFSET('PRODUCT DATA'!$F$2,0,MATCH($AC351,'PRODUCT DATA'!$F$1:$NN$1,0)-1,114,1),$N351)&gt;0,FALSE()))),IF(UPPER(IFERROR(OFFSET('PRODUCT DATA'!$C$2,MATCH($N351,'PRODUCT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"),"")&amp;IF($C351="","Enter Quantity. ","")&amp;IF(AND($C351&lt;&gt;"",OR(NOT(ISNUMBER($C351)),$C351&lt;1,$C351&gt;999,MOD($C351,1)&lt;&gt;0)),"Quantity must be a whole number from 1 to 999 (use a quantity above 1 only for a genuine bulk order of identical items to ONE address — otherwise use a separate row per recipient). ","")&amp;IF($D351="","Enter Recipient Name. ","")&amp;IF(LEN($D351)&gt;35,"Recipient Name exceeds 35 characters. ","")&amp;IF($E351="","Enter Recipient Phone. ","")&amp;IF(AND($E351&lt;&gt;"",OR(LEN($E351)&lt;6,LEN($E351)&gt;20,NOT(IFERROR(ISNUMBER(1*$E351),FALSE())))),"Phone must be the LOCAL number for the destination country: digits only, no +, spaces, or country code, 6 to 20 digits. ","")&amp;IF(LEN($F351)&gt;35,"Recipient Company Name exceeds 35 characters. ","")&amp;IF($G351="","Enter Address Line 1. ","")&amp;IF(LEN($G351)&gt;35,"Address Line 1 exceeds the 35-character SAP limit. ","")&amp;IF(LEN($H351)&gt;35,"Address Line 2 exceeds the 35-character SAP limit. ","")&amp;IF(LEN($I351)&gt;35,"Address Line 3 exceeds the 35-character SAP limit. ","")&amp;IF($J351="","Enter Town. This must never be left blank, even if there is no conventional town name. ","")&amp;IF(LEN($J351)&gt;35,"Town exceeds 35 characters. ","")&amp;IF(AND($N351="IE",$K351=""),"County is required for deliveries within the Republic of Ireland. ","")&amp;IF(LEN($AB351)&gt;35,"County exceeds 35 characters. ","")&amp;IF(AND($L351="",AND($N351&lt;&gt;"AE",$N351&lt;&gt;"QA")),"Postcode is required for the selected country. If there is genuinely no postcode, enter the first 3 characters of the area (e.g. D15). ","")&amp;IF(LEN($L351)&gt;35,"Postcode exceeds 35 characters. ","")&amp;IF($AE351&lt;&gt;"",$AE351,"")&amp;IF(LEN($O351)&gt;40,"Gift Message Line 1 exceeds 40 characters. ","")&amp;IF(LEN($P351)&gt;40,"Gift Message Line 2 exceeds 40 characters. ","")&amp;IF(LEN($Q351)&gt;40,"Gift Message Line 3 exceeds 40 characters. ","")&amp;IF(LEN($R351)&gt;40,"Gift Message Line 4 exceeds 40 characters. ","")&amp;IF(LEN($S351)&gt;40,"Gift Message Line 5 exceeds 40 characters. ","")&amp;IF(LEN($T351)&gt;40,"Gift Message Line 6 exceeds 40 characters. ","")&amp;IF(LEN($U351)&gt;40,"Gift Message Line 7 exceeds 40 characters. ",""))</f>
        <v/>
      </c>
      <c r="Y351" s="44" t="str">
        <f t="shared" si="21"/>
        <v/>
      </c>
      <c r="Z351" s="44"/>
      <c r="AA351" s="44"/>
      <c r="AB351" s="32" t="str">
        <f t="shared" si="22"/>
        <v/>
      </c>
      <c r="AC351" s="32" t="str">
        <f>IF($A351="","",IFERROR(LEFT(INDEX('PRODUCT DATA'!$NO$2:$NO$25,MATCH($A351,'PRODUCT DATA'!$NP$2:$NP$25,0)),FIND("|",INDEX('PRODUCT DATA'!$NO$2:$NO$25,MATCH($A351,'PRODUCT DATA'!$NP$2:$NP$25,0)))-1),$A351))</f>
        <v/>
      </c>
      <c r="AD351" s="45"/>
      <c r="AE351" s="45" t="str">
        <f t="shared" si="23"/>
        <v/>
      </c>
    </row>
    <row r="352" spans="1:31" ht="15" customHeight="1" x14ac:dyDescent="0.25">
      <c r="A352" s="40"/>
      <c r="B352" s="43" t="str">
        <f>IF($A352="","",IFERROR(VLOOKUP($AC352,'PRODUCT DATA'!$NR$2:$NS$374,2,FALSE()),"UNKNOWN ITEM CODE - please check"))</f>
        <v/>
      </c>
      <c r="C352" s="39">
        <v>1</v>
      </c>
      <c r="D352" s="39"/>
      <c r="E352" s="40"/>
      <c r="F352" s="41"/>
      <c r="G352" s="39"/>
      <c r="H352" s="41"/>
      <c r="I352" s="41"/>
      <c r="J352" s="39"/>
      <c r="K352" s="41"/>
      <c r="L352" s="40"/>
      <c r="M352" s="40"/>
      <c r="N352" s="42" t="str">
        <f>IF($M352="","",IFERROR(INDEX('PRODUCT DATA'!$B$2:$B$58,MATCH(IF(UPPER($M352)="UK","GB",$M352),'PRODUCT DATA'!$B$2:$B$58,0)),IFERROR(INDEX('PRODUCT DATA'!$B$2:$B$58,MATCH(IF(UPPER($M352)="UK","GB",$M352),'PRODUCT DATA'!$A$2:$A$58,0)),"UNKNOWN COUNTRY - please check")))</f>
        <v/>
      </c>
      <c r="O352" s="41"/>
      <c r="P352" s="41"/>
      <c r="Q352" s="41"/>
      <c r="R352" s="41"/>
      <c r="S352" s="41"/>
      <c r="T352" s="41"/>
      <c r="U352" s="41"/>
      <c r="V352" s="43" t="str">
        <f t="shared" si="20"/>
        <v/>
      </c>
      <c r="W352" s="44" t="str">
        <f ca="1">IF(COUNTA($A352,$D352:$M352,$O352:$U352)=0,"",IF($A352="","Item Code; ","")&amp;IF(AND($A352&lt;&gt;"",ISNA(MATCH($AC352,'PRODUCT DATA'!$D$2:$D$394,0))),"Item Code; ","")&amp;IF($M352="","Country; ","")&amp;IF(AND($M352&lt;&gt;"",NOT(OR(NOT(ISNA(MATCH(IF(UPPER($M352)="UK","GB",$M352),'PRODUCT DATA'!$A$2:$A$58,0))),NOT(ISNA(MATCH(IF(UPPER($M352)="UK","GB",$M352),'PRODUCT DATA'!$B$2:$B$58,0)))))),"Country; ","")&amp;IF(AND($A352&lt;&gt;"",$M352&lt;&gt;"",NOT(ISNA(MATCH($AC352,'PRODUCT DATA'!$D$2:$D$394,0))),OR(NOT(ISNA(MATCH(IF(UPPER($M352)="UK","GB",$M352),'PRODUCT DATA'!$A$2:$A$58,0))),NOT(ISNA(MATCH(IF(UPPER($M352)="UK","GB",$M352),'PRODUCT DATA'!$B$2:$B$58,0)))),NOT(IFERROR(COUNTIF(OFFSET('PRODUCT DATA'!$F$2,0,MATCH($AC352,'PRODUCT DATA'!$F$1:$NN$1,0)-1,114,1),$N352)&gt;0,FALSE()))),IF(UPPER(IFERROR(OFFSET('PRODUCT DATA'!$C$2,MATCH($N352,'PRODUCT DATA'!$B$2:$B$58,0)-1,0),""))="NO","Alcohol Restriction; ","Item Code / Country combination; "),"")&amp;IF($C352="","Quantity; ","")&amp;IF(AND($C352&lt;&gt;"",OR(NOT(ISNUMBER($C352)),$C352&lt;1,$C352&gt;999,MOD($C352,1)&lt;&gt;0)),"Quantity; ","")&amp;IF($D352="","Recipient Name; ","")&amp;IF(LEN($D352)&gt;35,"Recipient Name; ","")&amp;IF($E352="","Recipient Phone; ","")&amp;IF(AND($E352&lt;&gt;"",OR(LEN($E352)&lt;6,LEN($E352)&gt;20,NOT(IFERROR(ISNUMBER(1*$E352),FALSE())))),"Recipient Phone; ","")&amp;IF(LEN($F352)&gt;35,"Recipient Company Name; ","")&amp;IF($G352="","Address Line 1; ","")&amp;IF(LEN($G352)&gt;35,"Address Line 1; ","")&amp;IF(LEN($H352)&gt;35,"Address Line 2; ","")&amp;IF(LEN($I352)&gt;35,"Address Line 3; ","")&amp;IF($J352="","Town; ","")&amp;IF(LEN($J352)&gt;35,"Town; ","")&amp;IF(AND($N352="IE",$K352=""),"County; ","")&amp;IF(LEN($AB352)&gt;35,"County; ","")&amp;IF(AND($L352="",AND($N352&lt;&gt;"AE",$N352&lt;&gt;"QA")),"Postcode; ","")&amp;IF(LEN($L352)&gt;35,"Postcode; ","")&amp;IF($AE352&lt;&gt;"","Postcode; ","")&amp;IF(LEN($O352)&gt;40,"Gift Message 1; ","")&amp;IF(LEN($P352)&gt;40,"Gift Message 2; ","")&amp;IF(LEN($Q352)&gt;40,"Gift Message 3; ","")&amp;IF(LEN($R352)&gt;40,"Gift Message 4; ","")&amp;IF(LEN($S352)&gt;40,"Gift Message 5; ","")&amp;IF(LEN($T352)&gt;40,"Gift Message 6; ","")&amp;IF(LEN($U352)&gt;40,"Gift Message 7; ",""))</f>
        <v/>
      </c>
      <c r="X352" s="44" t="str">
        <f ca="1">IF(COUNTA($A352,$D352:$M352,$O352:$U352)=0,"",IF($A352="","Enter the Item Code (hamper) - type it, paste it, or choose it from the dropdown. ","")&amp;IF(AND($A352&lt;&gt;"",ISNA(MATCH($AC352,'PRODUCT DATA'!$D$2:$D$394,0))),"This Item Code is not recognised. Check the code (case does not matter, but spelling and digits must match exactly) or choose it from the dropdown. ","")&amp;IF($M352="","Enter the Country after the Item Code - type or paste the name or the 2-letter code, or choose it from the dropdown. ","")&amp;IF(AND($M352&lt;&gt;"",NOT(OR(NOT(ISNA(MATCH(IF(UPPER($M352)="UK","GB",$M352),'PRODUCT DATA'!$A$2:$A$58,0))),NOT(ISNA(MATCH(IF(UPPER($M352)="UK","GB",$M352),'PRODUCT DATA'!$B$2:$B$58,0)))))),"This Country is not recognised as either a full name or a 2-letter code. Check the spelling (case does not matter) or choose it from the dropdown. ","")&amp;IF(AND($A352&lt;&gt;"",$M352&lt;&gt;"",NOT(ISNA(MATCH($AC352,'PRODUCT DATA'!$D$2:$D$394,0))),OR(NOT(ISNA(MATCH(IF(UPPER($M352)="UK","GB",$M352),'PRODUCT DATA'!$A$2:$A$58,0))),NOT(ISNA(MATCH(IF(UPPER($M352)="UK","GB",$M352),'PRODUCT DATA'!$B$2:$B$58,0)))),NOT(IFERROR(COUNTIF(OFFSET('PRODUCT DATA'!$F$2,0,MATCH($AC352,'PRODUCT DATA'!$F$1:$NN$1,0)-1,114,1),$N352)&gt;0,FALSE()))),IF(UPPER(IFERROR(OFFSET('PRODUCT DATA'!$C$2,MATCH($N352,'PRODUCT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"),"")&amp;IF($C352="","Enter Quantity. ","")&amp;IF(AND($C352&lt;&gt;"",OR(NOT(ISNUMBER($C352)),$C352&lt;1,$C352&gt;999,MOD($C352,1)&lt;&gt;0)),"Quantity must be a whole number from 1 to 999 (use a quantity above 1 only for a genuine bulk order of identical items to ONE address — otherwise use a separate row per recipient). ","")&amp;IF($D352="","Enter Recipient Name. ","")&amp;IF(LEN($D352)&gt;35,"Recipient Name exceeds 35 characters. ","")&amp;IF($E352="","Enter Recipient Phone. ","")&amp;IF(AND($E352&lt;&gt;"",OR(LEN($E352)&lt;6,LEN($E352)&gt;20,NOT(IFERROR(ISNUMBER(1*$E352),FALSE())))),"Phone must be the LOCAL number for the destination country: digits only, no +, spaces, or country code, 6 to 20 digits. ","")&amp;IF(LEN($F352)&gt;35,"Recipient Company Name exceeds 35 characters. ","")&amp;IF($G352="","Enter Address Line 1. ","")&amp;IF(LEN($G352)&gt;35,"Address Line 1 exceeds the 35-character SAP limit. ","")&amp;IF(LEN($H352)&gt;35,"Address Line 2 exceeds the 35-character SAP limit. ","")&amp;IF(LEN($I352)&gt;35,"Address Line 3 exceeds the 35-character SAP limit. ","")&amp;IF($J352="","Enter Town. This must never be left blank, even if there is no conventional town name. ","")&amp;IF(LEN($J352)&gt;35,"Town exceeds 35 characters. ","")&amp;IF(AND($N352="IE",$K352=""),"County is required for deliveries within the Republic of Ireland. ","")&amp;IF(LEN($AB352)&gt;35,"County exceeds 35 characters. ","")&amp;IF(AND($L352="",AND($N352&lt;&gt;"AE",$N352&lt;&gt;"QA")),"Postcode is required for the selected country. If there is genuinely no postcode, enter the first 3 characters of the area (e.g. D15). ","")&amp;IF(LEN($L352)&gt;35,"Postcode exceeds 35 characters. ","")&amp;IF($AE352&lt;&gt;"",$AE352,"")&amp;IF(LEN($O352)&gt;40,"Gift Message Line 1 exceeds 40 characters. ","")&amp;IF(LEN($P352)&gt;40,"Gift Message Line 2 exceeds 40 characters. ","")&amp;IF(LEN($Q352)&gt;40,"Gift Message Line 3 exceeds 40 characters. ","")&amp;IF(LEN($R352)&gt;40,"Gift Message Line 4 exceeds 40 characters. ","")&amp;IF(LEN($S352)&gt;40,"Gift Message Line 5 exceeds 40 characters. ","")&amp;IF(LEN($T352)&gt;40,"Gift Message Line 6 exceeds 40 characters. ","")&amp;IF(LEN($U352)&gt;40,"Gift Message Line 7 exceeds 40 characters. ",""))</f>
        <v/>
      </c>
      <c r="Y352" s="44" t="str">
        <f t="shared" si="21"/>
        <v/>
      </c>
      <c r="Z352" s="44"/>
      <c r="AA352" s="44"/>
      <c r="AB352" s="32" t="str">
        <f t="shared" si="22"/>
        <v/>
      </c>
      <c r="AC352" s="32" t="str">
        <f>IF($A352="","",IFERROR(LEFT(INDEX('PRODUCT DATA'!$NO$2:$NO$25,MATCH($A352,'PRODUCT DATA'!$NP$2:$NP$25,0)),FIND("|",INDEX('PRODUCT DATA'!$NO$2:$NO$25,MATCH($A352,'PRODUCT DATA'!$NP$2:$NP$25,0)))-1),$A352))</f>
        <v/>
      </c>
      <c r="AD352" s="45"/>
      <c r="AE352" s="45" t="str">
        <f t="shared" si="23"/>
        <v/>
      </c>
    </row>
    <row r="353" spans="1:31" ht="15" customHeight="1" x14ac:dyDescent="0.25">
      <c r="A353" s="40"/>
      <c r="B353" s="43" t="str">
        <f>IF($A353="","",IFERROR(VLOOKUP($AC353,'PRODUCT DATA'!$NR$2:$NS$374,2,FALSE()),"UNKNOWN ITEM CODE - please check"))</f>
        <v/>
      </c>
      <c r="C353" s="39">
        <v>1</v>
      </c>
      <c r="D353" s="39"/>
      <c r="E353" s="40"/>
      <c r="F353" s="41"/>
      <c r="G353" s="39"/>
      <c r="H353" s="41"/>
      <c r="I353" s="41"/>
      <c r="J353" s="39"/>
      <c r="K353" s="41"/>
      <c r="L353" s="40"/>
      <c r="M353" s="40"/>
      <c r="N353" s="42" t="str">
        <f>IF($M353="","",IFERROR(INDEX('PRODUCT DATA'!$B$2:$B$58,MATCH(IF(UPPER($M353)="UK","GB",$M353),'PRODUCT DATA'!$B$2:$B$58,0)),IFERROR(INDEX('PRODUCT DATA'!$B$2:$B$58,MATCH(IF(UPPER($M353)="UK","GB",$M353),'PRODUCT DATA'!$A$2:$A$58,0)),"UNKNOWN COUNTRY - please check")))</f>
        <v/>
      </c>
      <c r="O353" s="41"/>
      <c r="P353" s="41"/>
      <c r="Q353" s="41"/>
      <c r="R353" s="41"/>
      <c r="S353" s="41"/>
      <c r="T353" s="41"/>
      <c r="U353" s="41"/>
      <c r="V353" s="43" t="str">
        <f t="shared" si="20"/>
        <v/>
      </c>
      <c r="W353" s="44" t="str">
        <f ca="1">IF(COUNTA($A353,$D353:$M353,$O353:$U353)=0,"",IF($A353="","Item Code; ","")&amp;IF(AND($A353&lt;&gt;"",ISNA(MATCH($AC353,'PRODUCT DATA'!$D$2:$D$394,0))),"Item Code; ","")&amp;IF($M353="","Country; ","")&amp;IF(AND($M353&lt;&gt;"",NOT(OR(NOT(ISNA(MATCH(IF(UPPER($M353)="UK","GB",$M353),'PRODUCT DATA'!$A$2:$A$58,0))),NOT(ISNA(MATCH(IF(UPPER($M353)="UK","GB",$M353),'PRODUCT DATA'!$B$2:$B$58,0)))))),"Country; ","")&amp;IF(AND($A353&lt;&gt;"",$M353&lt;&gt;"",NOT(ISNA(MATCH($AC353,'PRODUCT DATA'!$D$2:$D$394,0))),OR(NOT(ISNA(MATCH(IF(UPPER($M353)="UK","GB",$M353),'PRODUCT DATA'!$A$2:$A$58,0))),NOT(ISNA(MATCH(IF(UPPER($M353)="UK","GB",$M353),'PRODUCT DATA'!$B$2:$B$58,0)))),NOT(IFERROR(COUNTIF(OFFSET('PRODUCT DATA'!$F$2,0,MATCH($AC353,'PRODUCT DATA'!$F$1:$NN$1,0)-1,114,1),$N353)&gt;0,FALSE()))),IF(UPPER(IFERROR(OFFSET('PRODUCT DATA'!$C$2,MATCH($N353,'PRODUCT DATA'!$B$2:$B$58,0)-1,0),""))="NO","Alcohol Restriction; ","Item Code / Country combination; "),"")&amp;IF($C353="","Quantity; ","")&amp;IF(AND($C353&lt;&gt;"",OR(NOT(ISNUMBER($C353)),$C353&lt;1,$C353&gt;999,MOD($C353,1)&lt;&gt;0)),"Quantity; ","")&amp;IF($D353="","Recipient Name; ","")&amp;IF(LEN($D353)&gt;35,"Recipient Name; ","")&amp;IF($E353="","Recipient Phone; ","")&amp;IF(AND($E353&lt;&gt;"",OR(LEN($E353)&lt;6,LEN($E353)&gt;20,NOT(IFERROR(ISNUMBER(1*$E353),FALSE())))),"Recipient Phone; ","")&amp;IF(LEN($F353)&gt;35,"Recipient Company Name; ","")&amp;IF($G353="","Address Line 1; ","")&amp;IF(LEN($G353)&gt;35,"Address Line 1; ","")&amp;IF(LEN($H353)&gt;35,"Address Line 2; ","")&amp;IF(LEN($I353)&gt;35,"Address Line 3; ","")&amp;IF($J353="","Town; ","")&amp;IF(LEN($J353)&gt;35,"Town; ","")&amp;IF(AND($N353="IE",$K353=""),"County; ","")&amp;IF(LEN($AB353)&gt;35,"County; ","")&amp;IF(AND($L353="",AND($N353&lt;&gt;"AE",$N353&lt;&gt;"QA")),"Postcode; ","")&amp;IF(LEN($L353)&gt;35,"Postcode; ","")&amp;IF($AE353&lt;&gt;"","Postcode; ","")&amp;IF(LEN($O353)&gt;40,"Gift Message 1; ","")&amp;IF(LEN($P353)&gt;40,"Gift Message 2; ","")&amp;IF(LEN($Q353)&gt;40,"Gift Message 3; ","")&amp;IF(LEN($R353)&gt;40,"Gift Message 4; ","")&amp;IF(LEN($S353)&gt;40,"Gift Message 5; ","")&amp;IF(LEN($T353)&gt;40,"Gift Message 6; ","")&amp;IF(LEN($U353)&gt;40,"Gift Message 7; ",""))</f>
        <v/>
      </c>
      <c r="X353" s="44" t="str">
        <f ca="1">IF(COUNTA($A353,$D353:$M353,$O353:$U353)=0,"",IF($A353="","Enter the Item Code (hamper) - type it, paste it, or choose it from the dropdown. ","")&amp;IF(AND($A353&lt;&gt;"",ISNA(MATCH($AC353,'PRODUCT DATA'!$D$2:$D$394,0))),"This Item Code is not recognised. Check the code (case does not matter, but spelling and digits must match exactly) or choose it from the dropdown. ","")&amp;IF($M353="","Enter the Country after the Item Code - type or paste the name or the 2-letter code, or choose it from the dropdown. ","")&amp;IF(AND($M353&lt;&gt;"",NOT(OR(NOT(ISNA(MATCH(IF(UPPER($M353)="UK","GB",$M353),'PRODUCT DATA'!$A$2:$A$58,0))),NOT(ISNA(MATCH(IF(UPPER($M353)="UK","GB",$M353),'PRODUCT DATA'!$B$2:$B$58,0)))))),"This Country is not recognised as either a full name or a 2-letter code. Check the spelling (case does not matter) or choose it from the dropdown. ","")&amp;IF(AND($A353&lt;&gt;"",$M353&lt;&gt;"",NOT(ISNA(MATCH($AC353,'PRODUCT DATA'!$D$2:$D$394,0))),OR(NOT(ISNA(MATCH(IF(UPPER($M353)="UK","GB",$M353),'PRODUCT DATA'!$A$2:$A$58,0))),NOT(ISNA(MATCH(IF(UPPER($M353)="UK","GB",$M353),'PRODUCT DATA'!$B$2:$B$58,0)))),NOT(IFERROR(COUNTIF(OFFSET('PRODUCT DATA'!$F$2,0,MATCH($AC353,'PRODUCT DATA'!$F$1:$NN$1,0)-1,114,1),$N353)&gt;0,FALSE()))),IF(UPPER(IFERROR(OFFSET('PRODUCT DATA'!$C$2,MATCH($N353,'PRODUCT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"),"")&amp;IF($C353="","Enter Quantity. ","")&amp;IF(AND($C353&lt;&gt;"",OR(NOT(ISNUMBER($C353)),$C353&lt;1,$C353&gt;999,MOD($C353,1)&lt;&gt;0)),"Quantity must be a whole number from 1 to 999 (use a quantity above 1 only for a genuine bulk order of identical items to ONE address — otherwise use a separate row per recipient). ","")&amp;IF($D353="","Enter Recipient Name. ","")&amp;IF(LEN($D353)&gt;35,"Recipient Name exceeds 35 characters. ","")&amp;IF($E353="","Enter Recipient Phone. ","")&amp;IF(AND($E353&lt;&gt;"",OR(LEN($E353)&lt;6,LEN($E353)&gt;20,NOT(IFERROR(ISNUMBER(1*$E353),FALSE())))),"Phone must be the LOCAL number for the destination country: digits only, no +, spaces, or country code, 6 to 20 digits. ","")&amp;IF(LEN($F353)&gt;35,"Recipient Company Name exceeds 35 characters. ","")&amp;IF($G353="","Enter Address Line 1. ","")&amp;IF(LEN($G353)&gt;35,"Address Line 1 exceeds the 35-character SAP limit. ","")&amp;IF(LEN($H353)&gt;35,"Address Line 2 exceeds the 35-character SAP limit. ","")&amp;IF(LEN($I353)&gt;35,"Address Line 3 exceeds the 35-character SAP limit. ","")&amp;IF($J353="","Enter Town. This must never be left blank, even if there is no conventional town name. ","")&amp;IF(LEN($J353)&gt;35,"Town exceeds 35 characters. ","")&amp;IF(AND($N353="IE",$K353=""),"County is required for deliveries within the Republic of Ireland. ","")&amp;IF(LEN($AB353)&gt;35,"County exceeds 35 characters. ","")&amp;IF(AND($L353="",AND($N353&lt;&gt;"AE",$N353&lt;&gt;"QA")),"Postcode is required for the selected country. If there is genuinely no postcode, enter the first 3 characters of the area (e.g. D15). ","")&amp;IF(LEN($L353)&gt;35,"Postcode exceeds 35 characters. ","")&amp;IF($AE353&lt;&gt;"",$AE353,"")&amp;IF(LEN($O353)&gt;40,"Gift Message Line 1 exceeds 40 characters. ","")&amp;IF(LEN($P353)&gt;40,"Gift Message Line 2 exceeds 40 characters. ","")&amp;IF(LEN($Q353)&gt;40,"Gift Message Line 3 exceeds 40 characters. ","")&amp;IF(LEN($R353)&gt;40,"Gift Message Line 4 exceeds 40 characters. ","")&amp;IF(LEN($S353)&gt;40,"Gift Message Line 5 exceeds 40 characters. ","")&amp;IF(LEN($T353)&gt;40,"Gift Message Line 6 exceeds 40 characters. ","")&amp;IF(LEN($U353)&gt;40,"Gift Message Line 7 exceeds 40 characters. ",""))</f>
        <v/>
      </c>
      <c r="Y353" s="44" t="str">
        <f t="shared" si="21"/>
        <v/>
      </c>
      <c r="Z353" s="44"/>
      <c r="AA353" s="44"/>
      <c r="AB353" s="32" t="str">
        <f t="shared" si="22"/>
        <v/>
      </c>
      <c r="AC353" s="32" t="str">
        <f>IF($A353="","",IFERROR(LEFT(INDEX('PRODUCT DATA'!$NO$2:$NO$25,MATCH($A353,'PRODUCT DATA'!$NP$2:$NP$25,0)),FIND("|",INDEX('PRODUCT DATA'!$NO$2:$NO$25,MATCH($A353,'PRODUCT DATA'!$NP$2:$NP$25,0)))-1),$A353))</f>
        <v/>
      </c>
      <c r="AD353" s="45"/>
      <c r="AE353" s="45" t="str">
        <f t="shared" si="23"/>
        <v/>
      </c>
    </row>
    <row r="354" spans="1:31" ht="15" customHeight="1" x14ac:dyDescent="0.25">
      <c r="A354" s="40"/>
      <c r="B354" s="43" t="str">
        <f>IF($A354="","",IFERROR(VLOOKUP($AC354,'PRODUCT DATA'!$NR$2:$NS$374,2,FALSE()),"UNKNOWN ITEM CODE - please check"))</f>
        <v/>
      </c>
      <c r="C354" s="39">
        <v>1</v>
      </c>
      <c r="D354" s="39"/>
      <c r="E354" s="40"/>
      <c r="F354" s="41"/>
      <c r="G354" s="39"/>
      <c r="H354" s="41"/>
      <c r="I354" s="41"/>
      <c r="J354" s="39"/>
      <c r="K354" s="41"/>
      <c r="L354" s="40"/>
      <c r="M354" s="40"/>
      <c r="N354" s="42" t="str">
        <f>IF($M354="","",IFERROR(INDEX('PRODUCT DATA'!$B$2:$B$58,MATCH(IF(UPPER($M354)="UK","GB",$M354),'PRODUCT DATA'!$B$2:$B$58,0)),IFERROR(INDEX('PRODUCT DATA'!$B$2:$B$58,MATCH(IF(UPPER($M354)="UK","GB",$M354),'PRODUCT DATA'!$A$2:$A$58,0)),"UNKNOWN COUNTRY - please check")))</f>
        <v/>
      </c>
      <c r="O354" s="41"/>
      <c r="P354" s="41"/>
      <c r="Q354" s="41"/>
      <c r="R354" s="41"/>
      <c r="S354" s="41"/>
      <c r="T354" s="41"/>
      <c r="U354" s="41"/>
      <c r="V354" s="43" t="str">
        <f t="shared" si="20"/>
        <v/>
      </c>
      <c r="W354" s="44" t="str">
        <f ca="1">IF(COUNTA($A354,$D354:$M354,$O354:$U354)=0,"",IF($A354="","Item Code; ","")&amp;IF(AND($A354&lt;&gt;"",ISNA(MATCH($AC354,'PRODUCT DATA'!$D$2:$D$394,0))),"Item Code; ","")&amp;IF($M354="","Country; ","")&amp;IF(AND($M354&lt;&gt;"",NOT(OR(NOT(ISNA(MATCH(IF(UPPER($M354)="UK","GB",$M354),'PRODUCT DATA'!$A$2:$A$58,0))),NOT(ISNA(MATCH(IF(UPPER($M354)="UK","GB",$M354),'PRODUCT DATA'!$B$2:$B$58,0)))))),"Country; ","")&amp;IF(AND($A354&lt;&gt;"",$M354&lt;&gt;"",NOT(ISNA(MATCH($AC354,'PRODUCT DATA'!$D$2:$D$394,0))),OR(NOT(ISNA(MATCH(IF(UPPER($M354)="UK","GB",$M354),'PRODUCT DATA'!$A$2:$A$58,0))),NOT(ISNA(MATCH(IF(UPPER($M354)="UK","GB",$M354),'PRODUCT DATA'!$B$2:$B$58,0)))),NOT(IFERROR(COUNTIF(OFFSET('PRODUCT DATA'!$F$2,0,MATCH($AC354,'PRODUCT DATA'!$F$1:$NN$1,0)-1,114,1),$N354)&gt;0,FALSE()))),IF(UPPER(IFERROR(OFFSET('PRODUCT DATA'!$C$2,MATCH($N354,'PRODUCT DATA'!$B$2:$B$58,0)-1,0),""))="NO","Alcohol Restriction; ","Item Code / Country combination; "),"")&amp;IF($C354="","Quantity; ","")&amp;IF(AND($C354&lt;&gt;"",OR(NOT(ISNUMBER($C354)),$C354&lt;1,$C354&gt;999,MOD($C354,1)&lt;&gt;0)),"Quantity; ","")&amp;IF($D354="","Recipient Name; ","")&amp;IF(LEN($D354)&gt;35,"Recipient Name; ","")&amp;IF($E354="","Recipient Phone; ","")&amp;IF(AND($E354&lt;&gt;"",OR(LEN($E354)&lt;6,LEN($E354)&gt;20,NOT(IFERROR(ISNUMBER(1*$E354),FALSE())))),"Recipient Phone; ","")&amp;IF(LEN($F354)&gt;35,"Recipient Company Name; ","")&amp;IF($G354="","Address Line 1; ","")&amp;IF(LEN($G354)&gt;35,"Address Line 1; ","")&amp;IF(LEN($H354)&gt;35,"Address Line 2; ","")&amp;IF(LEN($I354)&gt;35,"Address Line 3; ","")&amp;IF($J354="","Town; ","")&amp;IF(LEN($J354)&gt;35,"Town; ","")&amp;IF(AND($N354="IE",$K354=""),"County; ","")&amp;IF(LEN($AB354)&gt;35,"County; ","")&amp;IF(AND($L354="",AND($N354&lt;&gt;"AE",$N354&lt;&gt;"QA")),"Postcode; ","")&amp;IF(LEN($L354)&gt;35,"Postcode; ","")&amp;IF($AE354&lt;&gt;"","Postcode; ","")&amp;IF(LEN($O354)&gt;40,"Gift Message 1; ","")&amp;IF(LEN($P354)&gt;40,"Gift Message 2; ","")&amp;IF(LEN($Q354)&gt;40,"Gift Message 3; ","")&amp;IF(LEN($R354)&gt;40,"Gift Message 4; ","")&amp;IF(LEN($S354)&gt;40,"Gift Message 5; ","")&amp;IF(LEN($T354)&gt;40,"Gift Message 6; ","")&amp;IF(LEN($U354)&gt;40,"Gift Message 7; ",""))</f>
        <v/>
      </c>
      <c r="X354" s="44" t="str">
        <f ca="1">IF(COUNTA($A354,$D354:$M354,$O354:$U354)=0,"",IF($A354="","Enter the Item Code (hamper) - type it, paste it, or choose it from the dropdown. ","")&amp;IF(AND($A354&lt;&gt;"",ISNA(MATCH($AC354,'PRODUCT DATA'!$D$2:$D$394,0))),"This Item Code is not recognised. Check the code (case does not matter, but spelling and digits must match exactly) or choose it from the dropdown. ","")&amp;IF($M354="","Enter the Country after the Item Code - type or paste the name or the 2-letter code, or choose it from the dropdown. ","")&amp;IF(AND($M354&lt;&gt;"",NOT(OR(NOT(ISNA(MATCH(IF(UPPER($M354)="UK","GB",$M354),'PRODUCT DATA'!$A$2:$A$58,0))),NOT(ISNA(MATCH(IF(UPPER($M354)="UK","GB",$M354),'PRODUCT DATA'!$B$2:$B$58,0)))))),"This Country is not recognised as either a full name or a 2-letter code. Check the spelling (case does not matter) or choose it from the dropdown. ","")&amp;IF(AND($A354&lt;&gt;"",$M354&lt;&gt;"",NOT(ISNA(MATCH($AC354,'PRODUCT DATA'!$D$2:$D$394,0))),OR(NOT(ISNA(MATCH(IF(UPPER($M354)="UK","GB",$M354),'PRODUCT DATA'!$A$2:$A$58,0))),NOT(ISNA(MATCH(IF(UPPER($M354)="UK","GB",$M354),'PRODUCT DATA'!$B$2:$B$58,0)))),NOT(IFERROR(COUNTIF(OFFSET('PRODUCT DATA'!$F$2,0,MATCH($AC354,'PRODUCT DATA'!$F$1:$NN$1,0)-1,114,1),$N354)&gt;0,FALSE()))),IF(UPPER(IFERROR(OFFSET('PRODUCT DATA'!$C$2,MATCH($N354,'PRODUCT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"),"")&amp;IF($C354="","Enter Quantity. ","")&amp;IF(AND($C354&lt;&gt;"",OR(NOT(ISNUMBER($C354)),$C354&lt;1,$C354&gt;999,MOD($C354,1)&lt;&gt;0)),"Quantity must be a whole number from 1 to 999 (use a quantity above 1 only for a genuine bulk order of identical items to ONE address — otherwise use a separate row per recipient). ","")&amp;IF($D354="","Enter Recipient Name. ","")&amp;IF(LEN($D354)&gt;35,"Recipient Name exceeds 35 characters. ","")&amp;IF($E354="","Enter Recipient Phone. ","")&amp;IF(AND($E354&lt;&gt;"",OR(LEN($E354)&lt;6,LEN($E354)&gt;20,NOT(IFERROR(ISNUMBER(1*$E354),FALSE())))),"Phone must be the LOCAL number for the destination country: digits only, no +, spaces, or country code, 6 to 20 digits. ","")&amp;IF(LEN($F354)&gt;35,"Recipient Company Name exceeds 35 characters. ","")&amp;IF($G354="","Enter Address Line 1. ","")&amp;IF(LEN($G354)&gt;35,"Address Line 1 exceeds the 35-character SAP limit. ","")&amp;IF(LEN($H354)&gt;35,"Address Line 2 exceeds the 35-character SAP limit. ","")&amp;IF(LEN($I354)&gt;35,"Address Line 3 exceeds the 35-character SAP limit. ","")&amp;IF($J354="","Enter Town. This must never be left blank, even if there is no conventional town name. ","")&amp;IF(LEN($J354)&gt;35,"Town exceeds 35 characters. ","")&amp;IF(AND($N354="IE",$K354=""),"County is required for deliveries within the Republic of Ireland. ","")&amp;IF(LEN($AB354)&gt;35,"County exceeds 35 characters. ","")&amp;IF(AND($L354="",AND($N354&lt;&gt;"AE",$N354&lt;&gt;"QA")),"Postcode is required for the selected country. If there is genuinely no postcode, enter the first 3 characters of the area (e.g. D15). ","")&amp;IF(LEN($L354)&gt;35,"Postcode exceeds 35 characters. ","")&amp;IF($AE354&lt;&gt;"",$AE354,"")&amp;IF(LEN($O354)&gt;40,"Gift Message Line 1 exceeds 40 characters. ","")&amp;IF(LEN($P354)&gt;40,"Gift Message Line 2 exceeds 40 characters. ","")&amp;IF(LEN($Q354)&gt;40,"Gift Message Line 3 exceeds 40 characters. ","")&amp;IF(LEN($R354)&gt;40,"Gift Message Line 4 exceeds 40 characters. ","")&amp;IF(LEN($S354)&gt;40,"Gift Message Line 5 exceeds 40 characters. ","")&amp;IF(LEN($T354)&gt;40,"Gift Message Line 6 exceeds 40 characters. ","")&amp;IF(LEN($U354)&gt;40,"Gift Message Line 7 exceeds 40 characters. ",""))</f>
        <v/>
      </c>
      <c r="Y354" s="44" t="str">
        <f t="shared" si="21"/>
        <v/>
      </c>
      <c r="Z354" s="44"/>
      <c r="AA354" s="44"/>
      <c r="AB354" s="32" t="str">
        <f t="shared" si="22"/>
        <v/>
      </c>
      <c r="AC354" s="32" t="str">
        <f>IF($A354="","",IFERROR(LEFT(INDEX('PRODUCT DATA'!$NO$2:$NO$25,MATCH($A354,'PRODUCT DATA'!$NP$2:$NP$25,0)),FIND("|",INDEX('PRODUCT DATA'!$NO$2:$NO$25,MATCH($A354,'PRODUCT DATA'!$NP$2:$NP$25,0)))-1),$A354))</f>
        <v/>
      </c>
      <c r="AD354" s="45"/>
      <c r="AE354" s="45" t="str">
        <f t="shared" si="23"/>
        <v/>
      </c>
    </row>
    <row r="355" spans="1:31" ht="15" customHeight="1" x14ac:dyDescent="0.25">
      <c r="A355" s="40"/>
      <c r="B355" s="43" t="str">
        <f>IF($A355="","",IFERROR(VLOOKUP($AC355,'PRODUCT DATA'!$NR$2:$NS$374,2,FALSE()),"UNKNOWN ITEM CODE - please check"))</f>
        <v/>
      </c>
      <c r="C355" s="39">
        <v>1</v>
      </c>
      <c r="D355" s="39"/>
      <c r="E355" s="40"/>
      <c r="F355" s="41"/>
      <c r="G355" s="39"/>
      <c r="H355" s="41"/>
      <c r="I355" s="41"/>
      <c r="J355" s="39"/>
      <c r="K355" s="41"/>
      <c r="L355" s="40"/>
      <c r="M355" s="40"/>
      <c r="N355" s="42" t="str">
        <f>IF($M355="","",IFERROR(INDEX('PRODUCT DATA'!$B$2:$B$58,MATCH(IF(UPPER($M355)="UK","GB",$M355),'PRODUCT DATA'!$B$2:$B$58,0)),IFERROR(INDEX('PRODUCT DATA'!$B$2:$B$58,MATCH(IF(UPPER($M355)="UK","GB",$M355),'PRODUCT DATA'!$A$2:$A$58,0)),"UNKNOWN COUNTRY - please check")))</f>
        <v/>
      </c>
      <c r="O355" s="41"/>
      <c r="P355" s="41"/>
      <c r="Q355" s="41"/>
      <c r="R355" s="41"/>
      <c r="S355" s="41"/>
      <c r="T355" s="41"/>
      <c r="U355" s="41"/>
      <c r="V355" s="43" t="str">
        <f t="shared" si="20"/>
        <v/>
      </c>
      <c r="W355" s="44" t="str">
        <f ca="1">IF(COUNTA($A355,$D355:$M355,$O355:$U355)=0,"",IF($A355="","Item Code; ","")&amp;IF(AND($A355&lt;&gt;"",ISNA(MATCH($AC355,'PRODUCT DATA'!$D$2:$D$394,0))),"Item Code; ","")&amp;IF($M355="","Country; ","")&amp;IF(AND($M355&lt;&gt;"",NOT(OR(NOT(ISNA(MATCH(IF(UPPER($M355)="UK","GB",$M355),'PRODUCT DATA'!$A$2:$A$58,0))),NOT(ISNA(MATCH(IF(UPPER($M355)="UK","GB",$M355),'PRODUCT DATA'!$B$2:$B$58,0)))))),"Country; ","")&amp;IF(AND($A355&lt;&gt;"",$M355&lt;&gt;"",NOT(ISNA(MATCH($AC355,'PRODUCT DATA'!$D$2:$D$394,0))),OR(NOT(ISNA(MATCH(IF(UPPER($M355)="UK","GB",$M355),'PRODUCT DATA'!$A$2:$A$58,0))),NOT(ISNA(MATCH(IF(UPPER($M355)="UK","GB",$M355),'PRODUCT DATA'!$B$2:$B$58,0)))),NOT(IFERROR(COUNTIF(OFFSET('PRODUCT DATA'!$F$2,0,MATCH($AC355,'PRODUCT DATA'!$F$1:$NN$1,0)-1,114,1),$N355)&gt;0,FALSE()))),IF(UPPER(IFERROR(OFFSET('PRODUCT DATA'!$C$2,MATCH($N355,'PRODUCT DATA'!$B$2:$B$58,0)-1,0),""))="NO","Alcohol Restriction; ","Item Code / Country combination; "),"")&amp;IF($C355="","Quantity; ","")&amp;IF(AND($C355&lt;&gt;"",OR(NOT(ISNUMBER($C355)),$C355&lt;1,$C355&gt;999,MOD($C355,1)&lt;&gt;0)),"Quantity; ","")&amp;IF($D355="","Recipient Name; ","")&amp;IF(LEN($D355)&gt;35,"Recipient Name; ","")&amp;IF($E355="","Recipient Phone; ","")&amp;IF(AND($E355&lt;&gt;"",OR(LEN($E355)&lt;6,LEN($E355)&gt;20,NOT(IFERROR(ISNUMBER(1*$E355),FALSE())))),"Recipient Phone; ","")&amp;IF(LEN($F355)&gt;35,"Recipient Company Name; ","")&amp;IF($G355="","Address Line 1; ","")&amp;IF(LEN($G355)&gt;35,"Address Line 1; ","")&amp;IF(LEN($H355)&gt;35,"Address Line 2; ","")&amp;IF(LEN($I355)&gt;35,"Address Line 3; ","")&amp;IF($J355="","Town; ","")&amp;IF(LEN($J355)&gt;35,"Town; ","")&amp;IF(AND($N355="IE",$K355=""),"County; ","")&amp;IF(LEN($AB355)&gt;35,"County; ","")&amp;IF(AND($L355="",AND($N355&lt;&gt;"AE",$N355&lt;&gt;"QA")),"Postcode; ","")&amp;IF(LEN($L355)&gt;35,"Postcode; ","")&amp;IF($AE355&lt;&gt;"","Postcode; ","")&amp;IF(LEN($O355)&gt;40,"Gift Message 1; ","")&amp;IF(LEN($P355)&gt;40,"Gift Message 2; ","")&amp;IF(LEN($Q355)&gt;40,"Gift Message 3; ","")&amp;IF(LEN($R355)&gt;40,"Gift Message 4; ","")&amp;IF(LEN($S355)&gt;40,"Gift Message 5; ","")&amp;IF(LEN($T355)&gt;40,"Gift Message 6; ","")&amp;IF(LEN($U355)&gt;40,"Gift Message 7; ",""))</f>
        <v/>
      </c>
      <c r="X355" s="44" t="str">
        <f ca="1">IF(COUNTA($A355,$D355:$M355,$O355:$U355)=0,"",IF($A355="","Enter the Item Code (hamper) - type it, paste it, or choose it from the dropdown. ","")&amp;IF(AND($A355&lt;&gt;"",ISNA(MATCH($AC355,'PRODUCT DATA'!$D$2:$D$394,0))),"This Item Code is not recognised. Check the code (case does not matter, but spelling and digits must match exactly) or choose it from the dropdown. ","")&amp;IF($M355="","Enter the Country after the Item Code - type or paste the name or the 2-letter code, or choose it from the dropdown. ","")&amp;IF(AND($M355&lt;&gt;"",NOT(OR(NOT(ISNA(MATCH(IF(UPPER($M355)="UK","GB",$M355),'PRODUCT DATA'!$A$2:$A$58,0))),NOT(ISNA(MATCH(IF(UPPER($M355)="UK","GB",$M355),'PRODUCT DATA'!$B$2:$B$58,0)))))),"This Country is not recognised as either a full name or a 2-letter code. Check the spelling (case does not matter) or choose it from the dropdown. ","")&amp;IF(AND($A355&lt;&gt;"",$M355&lt;&gt;"",NOT(ISNA(MATCH($AC355,'PRODUCT DATA'!$D$2:$D$394,0))),OR(NOT(ISNA(MATCH(IF(UPPER($M355)="UK","GB",$M355),'PRODUCT DATA'!$A$2:$A$58,0))),NOT(ISNA(MATCH(IF(UPPER($M355)="UK","GB",$M355),'PRODUCT DATA'!$B$2:$B$58,0)))),NOT(IFERROR(COUNTIF(OFFSET('PRODUCT DATA'!$F$2,0,MATCH($AC355,'PRODUCT DATA'!$F$1:$NN$1,0)-1,114,1),$N355)&gt;0,FALSE()))),IF(UPPER(IFERROR(OFFSET('PRODUCT DATA'!$C$2,MATCH($N355,'PRODUCT DATA'!$B$2:$B$58,0)-1,0),""))="NO","No Alcohol Can Be Sent to this Country. Please choose an alternative gift for this Country. ","This country is not available for this hamper. Re-select Country from the dropdown (the list only shows countries we can ship this hamper to), or contact us if you believe this is wrong. "),"")&amp;IF($C355="","Enter Quantity. ","")&amp;IF(AND($C355&lt;&gt;"",OR(NOT(ISNUMBER($C355)),$C355&lt;1,$C355&gt;999,MOD($C355,1)&lt;&gt;0)),"Quantity must be a whole number from 1 to 999 (use a quantity above 1 only for a genuine bulk order of identical items to ONE address — otherwise use a separate row per recipient). ","")&amp;IF($D355="","Enter Recipient Name. ","")&amp;IF(LEN($D355)&gt;35,"Recipient Name exceeds 35 characters. ","")&amp;IF($E355="","Enter Recipient Phone. ","")&amp;IF(AND($E355&lt;&gt;"",OR(LEN($E355)&lt;6,LEN($E355)&gt;20,NOT(IFERROR(ISNUMBER(1*$E355),FALSE())))),"Phone must be the LOCAL number for the destination country: digits only, no +, spaces, or country code, 6 to 20 digits. ","")&amp;IF(LEN($F355)&gt;35,"Recipient Company Name exceeds 35 characters. ","")&amp;IF($G355="","Enter Address Line 1. ","")&amp;IF(LEN($G355)&gt;35,"Address Line 1 exceeds the 35-character SAP limit. ","")&amp;IF(LEN($H355)&gt;35,"Address Line 2 exceeds the 35-character SAP limit. ","")&amp;IF(LEN($I355)&gt;35,"Address Line 3 exceeds the 35-character SAP limit. ","")&amp;IF($J355="","Enter Town. This must never be left blank, even if there is no conventional town name. ","")&amp;IF(LEN($J355)&gt;35,"Town exceeds 35 characters. ","")&amp;IF(AND($N355="IE",$K355=""),"County is required for deliveries within the Republic of Ireland. ","")&amp;IF(LEN($AB355)&gt;35,"County exceeds 35 characters. ","")&amp;IF(AND($L355="",AND($N355&lt;&gt;"AE",$N355&lt;&gt;"QA")),"Postcode is required for the selected country. If there is genuinely no postcode, enter the first 3 characters of the area (e.g. D15). ","")&amp;IF(LEN($L355)&gt;35,"Postcode exceeds 35 characters. ","")&amp;IF($AE355&lt;&gt;"",$AE355,"")&amp;IF(LEN($O355)&gt;40,"Gift Message Line 1 exceeds 40 characters. ","")&amp;IF(LEN($P355)&gt;40,"Gift Message Line 2 exceeds 40 characters. ","")&amp;IF(LEN($Q355)&gt;40,"Gift Message Line 3 exceeds 40 characters. ","")&amp;IF(LEN($R355)&gt;40,"Gift Message Line 4 exceeds 40 characters. ","")&amp;IF(LEN($S355)&gt;40,"Gift Message Line 5 exceeds 40 characters. ","")&amp;IF(LEN($T355)&gt;40,"Gift Message Line 6 exceeds 40 characters. ","")&amp;IF(LEN($U355)&gt;40,"Gift Message Line 7 exceeds 40 characters. ",""))</f>
        <v/>
      </c>
      <c r="Y355" s="44" t="str">
        <f t="shared" si="21"/>
        <v/>
      </c>
      <c r="Z355" s="44"/>
      <c r="AA355" s="44"/>
      <c r="AB355" s="32" t="str">
        <f t="shared" si="22"/>
        <v/>
      </c>
      <c r="AC355" s="32" t="str">
        <f>IF($A355="","",IFERROR(LEFT(INDEX('PRODUCT DATA'!$NO$2:$NO$25,MATCH($A355,'PRODUCT DATA'!$NP$2:$NP$25,0)),FIND("|",INDEX('PRODUCT DATA'!$NO$2:$NO$25,MATCH($A355,'PRODUCT DATA'!$NP$2:$NP$25,0)))-1),$A355))</f>
        <v/>
      </c>
      <c r="AD355" s="45"/>
      <c r="AE355" s="45" t="str">
        <f t="shared" si="23"/>
        <v/>
      </c>
    </row>
    <row r="1000" spans="16383:16383" x14ac:dyDescent="0.25">
      <c r="XFC1000" s="47" t="s">
        <v>2689</v>
      </c>
    </row>
  </sheetData>
  <sheetProtection algorithmName="SHA-512" hashValue="gpDEiZNlHnp3ZGfYRki2q4wjv9rzCaNvRgBurnG/AeTKETvIRTdFSeiUeOStv05YAjgNE53VQyL0N8s5wXFErA==" saltValue="pRtUw6RF57CaQUBdXBv7ZA==" spinCount="100000" sheet="1" formatCells="0" formatColumns="0" formatRows="0" insertRows="0" deleteRows="0" sort="0"/>
  <mergeCells count="9">
    <mergeCell ref="A1:Y1"/>
    <mergeCell ref="I3:M3"/>
    <mergeCell ref="A2:B2"/>
    <mergeCell ref="C3:F3"/>
    <mergeCell ref="G2:H2"/>
    <mergeCell ref="I2:M2"/>
    <mergeCell ref="C2:F2"/>
    <mergeCell ref="A3:B3"/>
    <mergeCell ref="G3:H3"/>
  </mergeCells>
  <conditionalFormatting sqref="A6:A355">
    <cfRule type="expression" dxfId="9" priority="5">
      <formula>AND(COUNTA($A6,$D6:$M6,$O6:$U6)&gt;0,$A6="")</formula>
    </cfRule>
  </conditionalFormatting>
  <conditionalFormatting sqref="C6:C355">
    <cfRule type="expression" dxfId="8" priority="6">
      <formula>AND(COUNTA($A6,$D6:$M6,$O6:$U6)&gt;0,$C6="")</formula>
    </cfRule>
  </conditionalFormatting>
  <conditionalFormatting sqref="D6:D355">
    <cfRule type="expression" dxfId="7" priority="7">
      <formula>AND(COUNTA($A6,$D6:$M6,$O6:$U6)&gt;0,$D6="")</formula>
    </cfRule>
  </conditionalFormatting>
  <conditionalFormatting sqref="E6:E355">
    <cfRule type="expression" dxfId="6" priority="8">
      <formula>AND(COUNTA($A6,$D6:$M6,$O6:$U6)&gt;0,$E6="")</formula>
    </cfRule>
  </conditionalFormatting>
  <conditionalFormatting sqref="G6:G355">
    <cfRule type="expression" dxfId="5" priority="9">
      <formula>AND(COUNTA($A6,$D6:$M6,$O6:$U6)&gt;0,$G6="")</formula>
    </cfRule>
  </conditionalFormatting>
  <conditionalFormatting sqref="J6:J355">
    <cfRule type="expression" dxfId="4" priority="10">
      <formula>AND(COUNTA($A6,$D6:$M6,$O6:$U6)&gt;0,$J6="")</formula>
    </cfRule>
  </conditionalFormatting>
  <conditionalFormatting sqref="M6:M355">
    <cfRule type="expression" dxfId="3" priority="11">
      <formula>AND(COUNTA($A6,$D6:$M6,$O6:$U6)&gt;0,$M6="")</formula>
    </cfRule>
  </conditionalFormatting>
  <conditionalFormatting sqref="V6:V355">
    <cfRule type="expression" dxfId="2" priority="2">
      <formula>$V6="FIX"</formula>
    </cfRule>
    <cfRule type="expression" dxfId="1" priority="3">
      <formula>$V6="OK"</formula>
    </cfRule>
  </conditionalFormatting>
  <conditionalFormatting sqref="Y6:Y355">
    <cfRule type="expression" dxfId="0" priority="4">
      <formula>$Y6&lt;&gt;""</formula>
    </cfRule>
  </conditionalFormatting>
  <dataValidations count="8">
    <dataValidation type="whole" allowBlank="1" showInputMessage="1" showErrorMessage="1" errorTitle="Invalid quantity" error="Quantity must be a whole number from 1 to 999. Use quantity above 1 only for a genuine bulk order to ONE address." promptTitle="Quantity" prompt="Enter 1 per recipient. Only use a higher quantity for identical items going to the SAME address (bulk order)." sqref="C6:C355" xr:uid="{00000000-0002-0000-0100-000000000000}">
      <formula1>1</formula1>
      <formula2>999</formula2>
    </dataValidation>
    <dataValidation type="textLength" operator="lessThanOrEqual" allowBlank="1" showInputMessage="1" showErrorMessage="1" errorTitle="Recipient Name too long" error="Recipient Name must be 35 characters or fewer (SAP/courier limit)." sqref="D6:D355" xr:uid="{00000000-0002-0000-0100-000001000000}">
      <formula1>35</formula1>
      <formula2>0</formula2>
    </dataValidation>
    <dataValidation type="textLength" operator="lessThanOrEqual" allowBlank="1" showInputMessage="1" showErrorMessage="1" errorTitle="Recipient Company Name too long" error="Recipient Company Name must be 35 characters or fewer (SAP/courier limit)." sqref="F6:F355" xr:uid="{00000000-0002-0000-0100-000002000000}">
      <formula1>35</formula1>
      <formula2>0</formula2>
    </dataValidation>
    <dataValidation type="textLength" operator="lessThanOrEqual" allowBlank="1" showInputMessage="1" showErrorMessage="1" errorTitle="Town too long" error="Town must be 35 characters or fewer (SAP/courier limit)." sqref="J6:J355" xr:uid="{00000000-0002-0000-0100-000003000000}">
      <formula1>35</formula1>
      <formula2>0</formula2>
    </dataValidation>
    <dataValidation type="textLength" operator="lessThanOrEqual" allowBlank="1" showInputMessage="1" showErrorMessage="1" errorTitle="County too long" error="County must be 35 characters or fewer (SAP/courier limit)." sqref="K6:K355" xr:uid="{00000000-0002-0000-0100-000004000000}">
      <formula1>35</formula1>
      <formula2>0</formula2>
    </dataValidation>
    <dataValidation type="textLength" operator="lessThanOrEqual" allowBlank="1" showInputMessage="1" showErrorMessage="1" errorTitle="Postcode too long" error="Postcode must be 35 characters or fewer (SAP/courier limit)." sqref="L6:L355" xr:uid="{00000000-0002-0000-0100-000005000000}">
      <formula1>35</formula1>
      <formula2>0</formula2>
    </dataValidation>
    <dataValidation type="custom" allowBlank="1" showInputMessage="1" showErrorMessage="1" errorTitle="Invalid phone number" error="Enter the recipient's LOCAL phone number for the destination country: digits only, no +, spaces, brackets or country code, 6 to 20 digits." promptTitle="Recipient Phone" prompt="Local number only — digits, no +/spaces/country code. Couriers cannot call an international number." sqref="E6:E355" xr:uid="{00000000-0002-0000-0100-000006000000}">
      <formula1>OR($E6="",AND(ISNUMBER(1*$E6),LEN($E6)&gt;=6,LEN($E6)&lt;=20))</formula1>
      <formula2>0</formula2>
    </dataValidation>
    <dataValidation type="textLength" operator="lessThanOrEqual" allowBlank="1" showInputMessage="1" showErrorMessage="1" errorTitle="Text too long" error="This line must be 40 characters or fewer." sqref="O6:U355" xr:uid="{00000000-0002-0000-0100-000007000000}">
      <formula1>40</formula1>
      <formula2>0</formula2>
    </dataValidation>
  </dataValidations>
  <pageMargins left="0.75" right="0.75" top="1" bottom="1" header="0.5" footer="0.5"/>
  <pageSetup orientation="portrait" horizontalDpi="4294967295" verticalDpi="4294967295" r:id="rId1"/>
  <extLst>
    <ext xmlns:x14="http://schemas.microsoft.com/office/spreadsheetml/2009/9/main" uri="{CCE6A557-97BC-4b89-ADB6-D9C93CAAB3DF}">
      <x14:dataValidations xmlns:xm="http://schemas.microsoft.com/office/excel/2006/main" count="2">
        <x14:dataValidation type="list" allowBlank="1" showInputMessage="1" showErrorMessage="1" errorTitle="Item Code not recognised" error="Type or paste a valid Item Code exactly (case doesn't matter), or choose one from the dropdown." promptTitle="Item Code" prompt="Type the code, paste it (e.g. from a previous order form), or choose it from the dropdown. This determines which countries are offered in the Country column." xr:uid="{00000000-0002-0000-0100-000008000000}">
          <x14:formula1>
            <xm:f>'PRODUCT DATA'!$D$2:$D$394</xm:f>
          </x14:formula1>
          <xm:sqref>A6:A355</xm:sqref>
        </x14:dataValidation>
        <x14:dataValidation type="list" errorStyle="warning" allowBlank="1" showInputMessage="1" errorTitle="Country not in this list" error="This doesn't match this hamper's country list. If you typed &quot;UK&quot;, that's fine — it will be treated as GB. Otherwise check the country is right, or pick it from the dropdown. Click Yes to keep it, or No to change it." promptTitle="Country" prompt="Type the full name (e.g. Ireland) or the 2-letter code (e.g. IE), paste it, or choose it from the dropdown - only countries we can ship the selected hamper to are listed. The correct 2-letter code is used for SAP either way." xr:uid="{00000000-0002-0000-0100-000009000000}">
          <x14:formula1>
            <xm:f>OFFSET('PRODUCT DATA'!$F$2,0,MATCH($A6,'PRODUCT DATA'!$F$1:$NN$1,0)-1,COUNTA(OFFSET('PRODUCT DATA'!$F$2,0,MATCH($A6,'PRODUCT DATA'!$F$1:$NN$1,0)-1,114,1)),1)</xm:f>
          </x14:formula1>
          <xm:sqref>M6:M355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354"/>
  <sheetViews>
    <sheetView showGridLines="0" workbookViewId="0">
      <pane ySplit="4" topLeftCell="A5" activePane="bottomLeft" state="frozen"/>
      <selection pane="bottomLeft"/>
    </sheetView>
  </sheetViews>
  <sheetFormatPr defaultColWidth="8.7109375" defaultRowHeight="15" x14ac:dyDescent="0.25"/>
  <cols>
    <col min="1" max="1" width="10" customWidth="1"/>
    <col min="2" max="2" width="18" customWidth="1"/>
    <col min="3" max="3" width="16" customWidth="1"/>
    <col min="4" max="4" width="20" customWidth="1"/>
    <col min="5" max="5" width="10" customWidth="1"/>
    <col min="6" max="6" width="26" customWidth="1"/>
    <col min="7" max="7" width="46" customWidth="1"/>
    <col min="8" max="8" width="40" customWidth="1"/>
    <col min="10" max="10" width="32" customWidth="1"/>
  </cols>
  <sheetData>
    <row r="1" spans="1:11" ht="17.25" customHeight="1" x14ac:dyDescent="0.25">
      <c r="A1" s="3" t="s">
        <v>28</v>
      </c>
      <c r="J1" s="2" t="s">
        <v>29</v>
      </c>
      <c r="K1" s="4" t="str">
        <f>IF(COUNTIF('ORDER Form'!$V$6:$V$355,"FIX")&gt;0,"NOT READY - FIX ERRORS",IF(COUNTIF('ORDER Form'!$V$6:$V$355,"OK")&gt;0,"READY TO EMAIL","NO ORDERS ENTERED"))</f>
        <v>NO ORDERS ENTERED</v>
      </c>
    </row>
    <row r="2" spans="1:11" ht="15" customHeight="1" x14ac:dyDescent="0.25">
      <c r="A2" s="67" t="s">
        <v>30</v>
      </c>
      <c r="B2" s="67"/>
      <c r="C2" s="67"/>
      <c r="D2" s="67"/>
      <c r="E2" s="67"/>
      <c r="F2" s="67"/>
      <c r="G2" s="67"/>
      <c r="H2" s="67"/>
      <c r="J2" s="2" t="s">
        <v>31</v>
      </c>
      <c r="K2">
        <f>COUNTIF('ORDER Form'!$V$6:$V$355,"OK")+COUNTIF('ORDER Form'!$V$6:$V$355,"FIX")</f>
        <v>0</v>
      </c>
    </row>
    <row r="3" spans="1:11" ht="15" customHeight="1" x14ac:dyDescent="0.25">
      <c r="J3" s="2" t="s">
        <v>32</v>
      </c>
      <c r="K3">
        <f>COUNTIF('ORDER Form'!$V$6:$V$355,"OK")</f>
        <v>0</v>
      </c>
    </row>
    <row r="4" spans="1:11" ht="19.5" customHeight="1" x14ac:dyDescent="0.25">
      <c r="A4" s="5" t="s">
        <v>33</v>
      </c>
      <c r="B4" s="5" t="s">
        <v>34</v>
      </c>
      <c r="C4" s="5" t="s">
        <v>35</v>
      </c>
      <c r="D4" s="5" t="s">
        <v>36</v>
      </c>
      <c r="E4" s="5" t="s">
        <v>37</v>
      </c>
      <c r="F4" s="5" t="s">
        <v>19</v>
      </c>
      <c r="G4" s="5" t="s">
        <v>20</v>
      </c>
      <c r="H4" s="5" t="s">
        <v>21</v>
      </c>
      <c r="J4" s="2" t="s">
        <v>38</v>
      </c>
      <c r="K4">
        <f>COUNTIF('ORDER Form'!$V$6:$V$355,"FIX")</f>
        <v>0</v>
      </c>
    </row>
    <row r="5" spans="1:11" ht="15" customHeight="1" x14ac:dyDescent="0.25">
      <c r="A5" s="6" t="str">
        <f>IFERROR(IF('ORDER Form'!V6="","",6),"")</f>
        <v/>
      </c>
      <c r="B5" s="6" t="str">
        <f>IFERROR(IF('ORDER Form'!V6="","",IFERROR(INDEX('PRODUCT DATA'!$A$2:$A$58,MATCH('ORDER Form'!$N6,'PRODUCT DATA'!$B$2:$B$58,0)),'ORDER Form'!$M6)&amp;""),"")</f>
        <v/>
      </c>
      <c r="C5" s="6" t="str">
        <f>IFERROR(IF('ORDER Form'!V6="","",'ORDER Form'!A6&amp;""),"")</f>
        <v/>
      </c>
      <c r="D5" s="6" t="str">
        <f>IFERROR(IF('ORDER Form'!V6="","",'ORDER Form'!D6&amp;""),"")</f>
        <v/>
      </c>
      <c r="E5" s="6" t="str">
        <f>IFERROR('ORDER Form'!V6,"")</f>
        <v/>
      </c>
      <c r="F5" s="1" t="str">
        <f ca="1">IFERROR('ORDER Form'!W6,"")</f>
        <v/>
      </c>
      <c r="G5" s="1" t="str">
        <f ca="1">IFERROR('ORDER Form'!X6,"")</f>
        <v/>
      </c>
      <c r="H5" s="1" t="str">
        <f>IFERROR('ORDER Form'!Y6,"")</f>
        <v/>
      </c>
      <c r="J5" s="2" t="s">
        <v>39</v>
      </c>
      <c r="K5">
        <f>SUMPRODUCT(--('ORDER Form'!$Y$6:$Y$355&lt;&gt;""))</f>
        <v>0</v>
      </c>
    </row>
    <row r="6" spans="1:11" ht="15" customHeight="1" x14ac:dyDescent="0.25">
      <c r="A6" s="6" t="str">
        <f>IFERROR(IF('ORDER Form'!V7="","",7),"")</f>
        <v/>
      </c>
      <c r="B6" s="6" t="str">
        <f>IFERROR(IF('ORDER Form'!V7="","",IFERROR(INDEX('PRODUCT DATA'!$A$2:$A$58,MATCH('ORDER Form'!$N7,'PRODUCT DATA'!$B$2:$B$58,0)),'ORDER Form'!$M7)&amp;""),"")</f>
        <v/>
      </c>
      <c r="C6" s="6" t="str">
        <f>IFERROR(IF('ORDER Form'!V7="","",'ORDER Form'!A7&amp;""),"")</f>
        <v/>
      </c>
      <c r="D6" s="6" t="str">
        <f>IFERROR(IF('ORDER Form'!V7="","",'ORDER Form'!D7&amp;""),"")</f>
        <v/>
      </c>
      <c r="E6" s="6" t="str">
        <f>IFERROR('ORDER Form'!V7,"")</f>
        <v/>
      </c>
      <c r="F6" s="1" t="str">
        <f ca="1">IFERROR('ORDER Form'!W7,"")</f>
        <v/>
      </c>
      <c r="G6" s="1" t="str">
        <f ca="1">IFERROR('ORDER Form'!X7,"")</f>
        <v/>
      </c>
      <c r="H6" s="1" t="str">
        <f>IFERROR('ORDER Form'!Y7,"")</f>
        <v/>
      </c>
    </row>
    <row r="7" spans="1:11" ht="15" customHeight="1" x14ac:dyDescent="0.25">
      <c r="A7" s="6" t="str">
        <f>IFERROR(IF('ORDER Form'!V8="","",8),"")</f>
        <v/>
      </c>
      <c r="B7" s="6" t="str">
        <f>IFERROR(IF('ORDER Form'!V8="","",IFERROR(INDEX('PRODUCT DATA'!$A$2:$A$58,MATCH('ORDER Form'!$N8,'PRODUCT DATA'!$B$2:$B$58,0)),'ORDER Form'!$M8)&amp;""),"")</f>
        <v/>
      </c>
      <c r="C7" s="6" t="str">
        <f>IFERROR(IF('ORDER Form'!V8="","",'ORDER Form'!A8&amp;""),"")</f>
        <v/>
      </c>
      <c r="D7" s="6" t="str">
        <f>IFERROR(IF('ORDER Form'!V8="","",'ORDER Form'!D8&amp;""),"")</f>
        <v/>
      </c>
      <c r="E7" s="6" t="str">
        <f>IFERROR('ORDER Form'!V8,"")</f>
        <v/>
      </c>
      <c r="F7" s="1" t="str">
        <f ca="1">IFERROR('ORDER Form'!W8,"")</f>
        <v/>
      </c>
      <c r="G7" s="1" t="str">
        <f ca="1">IFERROR('ORDER Form'!X8,"")</f>
        <v/>
      </c>
      <c r="H7" s="1" t="str">
        <f>IFERROR('ORDER Form'!Y8,"")</f>
        <v/>
      </c>
    </row>
    <row r="8" spans="1:11" ht="15" customHeight="1" x14ac:dyDescent="0.25">
      <c r="A8" s="6" t="str">
        <f>IFERROR(IF('ORDER Form'!V9="","",9),"")</f>
        <v/>
      </c>
      <c r="B8" s="6" t="str">
        <f>IFERROR(IF('ORDER Form'!V9="","",IFERROR(INDEX('PRODUCT DATA'!$A$2:$A$58,MATCH('ORDER Form'!$N9,'PRODUCT DATA'!$B$2:$B$58,0)),'ORDER Form'!$M9)&amp;""),"")</f>
        <v/>
      </c>
      <c r="C8" s="6" t="str">
        <f>IFERROR(IF('ORDER Form'!V9="","",'ORDER Form'!A9&amp;""),"")</f>
        <v/>
      </c>
      <c r="D8" s="6" t="str">
        <f>IFERROR(IF('ORDER Form'!V9="","",'ORDER Form'!D9&amp;""),"")</f>
        <v/>
      </c>
      <c r="E8" s="6" t="str">
        <f>IFERROR('ORDER Form'!V9,"")</f>
        <v/>
      </c>
      <c r="F8" s="1" t="str">
        <f ca="1">IFERROR('ORDER Form'!W9,"")</f>
        <v/>
      </c>
      <c r="G8" s="1" t="str">
        <f ca="1">IFERROR('ORDER Form'!X9,"")</f>
        <v/>
      </c>
      <c r="H8" s="1" t="str">
        <f>IFERROR('ORDER Form'!Y9,"")</f>
        <v/>
      </c>
    </row>
    <row r="9" spans="1:11" ht="15" customHeight="1" x14ac:dyDescent="0.25">
      <c r="A9" s="6" t="str">
        <f>IFERROR(IF('ORDER Form'!V10="","",10),"")</f>
        <v/>
      </c>
      <c r="B9" s="6" t="str">
        <f>IFERROR(IF('ORDER Form'!V10="","",IFERROR(INDEX('PRODUCT DATA'!$A$2:$A$58,MATCH('ORDER Form'!$N10,'PRODUCT DATA'!$B$2:$B$58,0)),'ORDER Form'!$M10)&amp;""),"")</f>
        <v/>
      </c>
      <c r="C9" s="6" t="str">
        <f>IFERROR(IF('ORDER Form'!V10="","",'ORDER Form'!A10&amp;""),"")</f>
        <v/>
      </c>
      <c r="D9" s="6" t="str">
        <f>IFERROR(IF('ORDER Form'!V10="","",'ORDER Form'!D10&amp;""),"")</f>
        <v/>
      </c>
      <c r="E9" s="6" t="str">
        <f>IFERROR('ORDER Form'!V10,"")</f>
        <v/>
      </c>
      <c r="F9" s="1" t="str">
        <f ca="1">IFERROR('ORDER Form'!W10,"")</f>
        <v/>
      </c>
      <c r="G9" s="1" t="str">
        <f ca="1">IFERROR('ORDER Form'!X10,"")</f>
        <v/>
      </c>
      <c r="H9" s="1" t="str">
        <f>IFERROR('ORDER Form'!Y10,"")</f>
        <v/>
      </c>
    </row>
    <row r="10" spans="1:11" ht="15" customHeight="1" x14ac:dyDescent="0.25">
      <c r="A10" s="6" t="str">
        <f>IFERROR(IF('ORDER Form'!V11="","",11),"")</f>
        <v/>
      </c>
      <c r="B10" s="6" t="str">
        <f>IFERROR(IF('ORDER Form'!V11="","",IFERROR(INDEX('PRODUCT DATA'!$A$2:$A$58,MATCH('ORDER Form'!$N11,'PRODUCT DATA'!$B$2:$B$58,0)),'ORDER Form'!$M11)&amp;""),"")</f>
        <v/>
      </c>
      <c r="C10" s="6" t="str">
        <f>IFERROR(IF('ORDER Form'!V11="","",'ORDER Form'!A11&amp;""),"")</f>
        <v/>
      </c>
      <c r="D10" s="6" t="str">
        <f>IFERROR(IF('ORDER Form'!V11="","",'ORDER Form'!D11&amp;""),"")</f>
        <v/>
      </c>
      <c r="E10" s="6" t="str">
        <f>IFERROR('ORDER Form'!V11,"")</f>
        <v/>
      </c>
      <c r="F10" s="1" t="str">
        <f ca="1">IFERROR('ORDER Form'!W11,"")</f>
        <v/>
      </c>
      <c r="G10" s="1" t="str">
        <f ca="1">IFERROR('ORDER Form'!X11,"")</f>
        <v/>
      </c>
      <c r="H10" s="1" t="str">
        <f>IFERROR('ORDER Form'!Y11,"")</f>
        <v/>
      </c>
    </row>
    <row r="11" spans="1:11" ht="15" customHeight="1" x14ac:dyDescent="0.25">
      <c r="A11" s="6" t="str">
        <f>IFERROR(IF('ORDER Form'!V12="","",12),"")</f>
        <v/>
      </c>
      <c r="B11" s="6" t="str">
        <f>IFERROR(IF('ORDER Form'!V12="","",IFERROR(INDEX('PRODUCT DATA'!$A$2:$A$58,MATCH('ORDER Form'!$N12,'PRODUCT DATA'!$B$2:$B$58,0)),'ORDER Form'!$M12)&amp;""),"")</f>
        <v/>
      </c>
      <c r="C11" s="6" t="str">
        <f>IFERROR(IF('ORDER Form'!V12="","",'ORDER Form'!A12&amp;""),"")</f>
        <v/>
      </c>
      <c r="D11" s="6" t="str">
        <f>IFERROR(IF('ORDER Form'!V12="","",'ORDER Form'!D12&amp;""),"")</f>
        <v/>
      </c>
      <c r="E11" s="6" t="str">
        <f>IFERROR('ORDER Form'!V12,"")</f>
        <v/>
      </c>
      <c r="F11" s="1" t="str">
        <f ca="1">IFERROR('ORDER Form'!W12,"")</f>
        <v/>
      </c>
      <c r="G11" s="1" t="str">
        <f ca="1">IFERROR('ORDER Form'!X12,"")</f>
        <v/>
      </c>
      <c r="H11" s="1" t="str">
        <f>IFERROR('ORDER Form'!Y12,"")</f>
        <v/>
      </c>
    </row>
    <row r="12" spans="1:11" ht="15" customHeight="1" x14ac:dyDescent="0.25">
      <c r="A12" s="6" t="str">
        <f>IFERROR(IF('ORDER Form'!V13="","",13),"")</f>
        <v/>
      </c>
      <c r="B12" s="6" t="str">
        <f>IFERROR(IF('ORDER Form'!V13="","",IFERROR(INDEX('PRODUCT DATA'!$A$2:$A$58,MATCH('ORDER Form'!$N13,'PRODUCT DATA'!$B$2:$B$58,0)),'ORDER Form'!$M13)&amp;""),"")</f>
        <v/>
      </c>
      <c r="C12" s="6" t="str">
        <f>IFERROR(IF('ORDER Form'!V13="","",'ORDER Form'!A13&amp;""),"")</f>
        <v/>
      </c>
      <c r="D12" s="6" t="str">
        <f>IFERROR(IF('ORDER Form'!V13="","",'ORDER Form'!D13&amp;""),"")</f>
        <v/>
      </c>
      <c r="E12" s="6" t="str">
        <f>IFERROR('ORDER Form'!V13,"")</f>
        <v/>
      </c>
      <c r="F12" s="1" t="str">
        <f ca="1">IFERROR('ORDER Form'!W13,"")</f>
        <v/>
      </c>
      <c r="G12" s="1" t="str">
        <f ca="1">IFERROR('ORDER Form'!X13,"")</f>
        <v/>
      </c>
      <c r="H12" s="1" t="str">
        <f>IFERROR('ORDER Form'!Y13,"")</f>
        <v/>
      </c>
    </row>
    <row r="13" spans="1:11" ht="15" customHeight="1" x14ac:dyDescent="0.25">
      <c r="A13" s="6" t="str">
        <f>IFERROR(IF('ORDER Form'!V14="","",14),"")</f>
        <v/>
      </c>
      <c r="B13" s="6" t="str">
        <f>IFERROR(IF('ORDER Form'!V14="","",IFERROR(INDEX('PRODUCT DATA'!$A$2:$A$58,MATCH('ORDER Form'!$N14,'PRODUCT DATA'!$B$2:$B$58,0)),'ORDER Form'!$M14)&amp;""),"")</f>
        <v/>
      </c>
      <c r="C13" s="6" t="str">
        <f>IFERROR(IF('ORDER Form'!V14="","",'ORDER Form'!A14&amp;""),"")</f>
        <v/>
      </c>
      <c r="D13" s="6" t="str">
        <f>IFERROR(IF('ORDER Form'!V14="","",'ORDER Form'!D14&amp;""),"")</f>
        <v/>
      </c>
      <c r="E13" s="6" t="str">
        <f>IFERROR('ORDER Form'!V14,"")</f>
        <v/>
      </c>
      <c r="F13" s="1" t="str">
        <f ca="1">IFERROR('ORDER Form'!W14,"")</f>
        <v/>
      </c>
      <c r="G13" s="1" t="str">
        <f ca="1">IFERROR('ORDER Form'!X14,"")</f>
        <v/>
      </c>
      <c r="H13" s="1" t="str">
        <f>IFERROR('ORDER Form'!Y14,"")</f>
        <v/>
      </c>
    </row>
    <row r="14" spans="1:11" ht="15" customHeight="1" x14ac:dyDescent="0.25">
      <c r="A14" s="6" t="str">
        <f>IFERROR(IF('ORDER Form'!V15="","",15),"")</f>
        <v/>
      </c>
      <c r="B14" s="6" t="str">
        <f>IFERROR(IF('ORDER Form'!V15="","",IFERROR(INDEX('PRODUCT DATA'!$A$2:$A$58,MATCH('ORDER Form'!$N15,'PRODUCT DATA'!$B$2:$B$58,0)),'ORDER Form'!$M15)&amp;""),"")</f>
        <v/>
      </c>
      <c r="C14" s="6" t="str">
        <f>IFERROR(IF('ORDER Form'!V15="","",'ORDER Form'!A15&amp;""),"")</f>
        <v/>
      </c>
      <c r="D14" s="6" t="str">
        <f>IFERROR(IF('ORDER Form'!V15="","",'ORDER Form'!D15&amp;""),"")</f>
        <v/>
      </c>
      <c r="E14" s="6" t="str">
        <f>IFERROR('ORDER Form'!V15,"")</f>
        <v/>
      </c>
      <c r="F14" s="1" t="str">
        <f ca="1">IFERROR('ORDER Form'!W15,"")</f>
        <v/>
      </c>
      <c r="G14" s="1" t="str">
        <f ca="1">IFERROR('ORDER Form'!X15,"")</f>
        <v/>
      </c>
      <c r="H14" s="1" t="str">
        <f>IFERROR('ORDER Form'!Y15,"")</f>
        <v/>
      </c>
    </row>
    <row r="15" spans="1:11" ht="15" customHeight="1" x14ac:dyDescent="0.25">
      <c r="A15" s="6" t="str">
        <f>IFERROR(IF('ORDER Form'!V16="","",16),"")</f>
        <v/>
      </c>
      <c r="B15" s="6" t="str">
        <f>IFERROR(IF('ORDER Form'!V16="","",IFERROR(INDEX('PRODUCT DATA'!$A$2:$A$58,MATCH('ORDER Form'!$N16,'PRODUCT DATA'!$B$2:$B$58,0)),'ORDER Form'!$M16)&amp;""),"")</f>
        <v/>
      </c>
      <c r="C15" s="6" t="str">
        <f>IFERROR(IF('ORDER Form'!V16="","",'ORDER Form'!A16&amp;""),"")</f>
        <v/>
      </c>
      <c r="D15" s="6" t="str">
        <f>IFERROR(IF('ORDER Form'!V16="","",'ORDER Form'!D16&amp;""),"")</f>
        <v/>
      </c>
      <c r="E15" s="6" t="str">
        <f>IFERROR('ORDER Form'!V16,"")</f>
        <v/>
      </c>
      <c r="F15" s="1" t="str">
        <f ca="1">IFERROR('ORDER Form'!W16,"")</f>
        <v/>
      </c>
      <c r="G15" s="1" t="str">
        <f ca="1">IFERROR('ORDER Form'!X16,"")</f>
        <v/>
      </c>
      <c r="H15" s="1" t="str">
        <f>IFERROR('ORDER Form'!Y16,"")</f>
        <v/>
      </c>
    </row>
    <row r="16" spans="1:11" ht="15" customHeight="1" x14ac:dyDescent="0.25">
      <c r="A16" s="6" t="str">
        <f>IFERROR(IF('ORDER Form'!V17="","",17),"")</f>
        <v/>
      </c>
      <c r="B16" s="6" t="str">
        <f>IFERROR(IF('ORDER Form'!V17="","",IFERROR(INDEX('PRODUCT DATA'!$A$2:$A$58,MATCH('ORDER Form'!$N17,'PRODUCT DATA'!$B$2:$B$58,0)),'ORDER Form'!$M17)&amp;""),"")</f>
        <v/>
      </c>
      <c r="C16" s="6" t="str">
        <f>IFERROR(IF('ORDER Form'!V17="","",'ORDER Form'!A17&amp;""),"")</f>
        <v/>
      </c>
      <c r="D16" s="6" t="str">
        <f>IFERROR(IF('ORDER Form'!V17="","",'ORDER Form'!D17&amp;""),"")</f>
        <v/>
      </c>
      <c r="E16" s="6" t="str">
        <f>IFERROR('ORDER Form'!V17,"")</f>
        <v/>
      </c>
      <c r="F16" s="1" t="str">
        <f ca="1">IFERROR('ORDER Form'!W17,"")</f>
        <v/>
      </c>
      <c r="G16" s="1" t="str">
        <f ca="1">IFERROR('ORDER Form'!X17,"")</f>
        <v/>
      </c>
      <c r="H16" s="1" t="str">
        <f>IFERROR('ORDER Form'!Y17,"")</f>
        <v/>
      </c>
    </row>
    <row r="17" spans="1:8" ht="15" customHeight="1" x14ac:dyDescent="0.25">
      <c r="A17" s="6" t="str">
        <f>IFERROR(IF('ORDER Form'!V18="","",18),"")</f>
        <v/>
      </c>
      <c r="B17" s="6" t="str">
        <f>IFERROR(IF('ORDER Form'!V18="","",IFERROR(INDEX('PRODUCT DATA'!$A$2:$A$58,MATCH('ORDER Form'!$N18,'PRODUCT DATA'!$B$2:$B$58,0)),'ORDER Form'!$M18)&amp;""),"")</f>
        <v/>
      </c>
      <c r="C17" s="6" t="str">
        <f>IFERROR(IF('ORDER Form'!V18="","",'ORDER Form'!A18&amp;""),"")</f>
        <v/>
      </c>
      <c r="D17" s="6" t="str">
        <f>IFERROR(IF('ORDER Form'!V18="","",'ORDER Form'!D18&amp;""),"")</f>
        <v/>
      </c>
      <c r="E17" s="6" t="str">
        <f>IFERROR('ORDER Form'!V18,"")</f>
        <v/>
      </c>
      <c r="F17" s="1" t="str">
        <f ca="1">IFERROR('ORDER Form'!W18,"")</f>
        <v/>
      </c>
      <c r="G17" s="1" t="str">
        <f ca="1">IFERROR('ORDER Form'!X18,"")</f>
        <v/>
      </c>
      <c r="H17" s="1" t="str">
        <f>IFERROR('ORDER Form'!Y18,"")</f>
        <v/>
      </c>
    </row>
    <row r="18" spans="1:8" ht="15" customHeight="1" x14ac:dyDescent="0.25">
      <c r="A18" s="6" t="str">
        <f>IFERROR(IF('ORDER Form'!V19="","",19),"")</f>
        <v/>
      </c>
      <c r="B18" s="6" t="str">
        <f>IFERROR(IF('ORDER Form'!V19="","",IFERROR(INDEX('PRODUCT DATA'!$A$2:$A$58,MATCH('ORDER Form'!$N19,'PRODUCT DATA'!$B$2:$B$58,0)),'ORDER Form'!$M19)&amp;""),"")</f>
        <v/>
      </c>
      <c r="C18" s="6" t="str">
        <f>IFERROR(IF('ORDER Form'!V19="","",'ORDER Form'!A19&amp;""),"")</f>
        <v/>
      </c>
      <c r="D18" s="6" t="str">
        <f>IFERROR(IF('ORDER Form'!V19="","",'ORDER Form'!D19&amp;""),"")</f>
        <v/>
      </c>
      <c r="E18" s="6" t="str">
        <f>IFERROR('ORDER Form'!V19,"")</f>
        <v/>
      </c>
      <c r="F18" s="1" t="str">
        <f ca="1">IFERROR('ORDER Form'!W19,"")</f>
        <v/>
      </c>
      <c r="G18" s="1" t="str">
        <f ca="1">IFERROR('ORDER Form'!X19,"")</f>
        <v/>
      </c>
      <c r="H18" s="1" t="str">
        <f>IFERROR('ORDER Form'!Y19,"")</f>
        <v/>
      </c>
    </row>
    <row r="19" spans="1:8" ht="15" customHeight="1" x14ac:dyDescent="0.25">
      <c r="A19" s="6" t="str">
        <f>IFERROR(IF('ORDER Form'!V20="","",20),"")</f>
        <v/>
      </c>
      <c r="B19" s="6" t="str">
        <f>IFERROR(IF('ORDER Form'!V20="","",IFERROR(INDEX('PRODUCT DATA'!$A$2:$A$58,MATCH('ORDER Form'!$N20,'PRODUCT DATA'!$B$2:$B$58,0)),'ORDER Form'!$M20)&amp;""),"")</f>
        <v/>
      </c>
      <c r="C19" s="6" t="str">
        <f>IFERROR(IF('ORDER Form'!V20="","",'ORDER Form'!A20&amp;""),"")</f>
        <v/>
      </c>
      <c r="D19" s="6" t="str">
        <f>IFERROR(IF('ORDER Form'!V20="","",'ORDER Form'!D20&amp;""),"")</f>
        <v/>
      </c>
      <c r="E19" s="6" t="str">
        <f>IFERROR('ORDER Form'!V20,"")</f>
        <v/>
      </c>
      <c r="F19" s="1" t="str">
        <f ca="1">IFERROR('ORDER Form'!W20,"")</f>
        <v/>
      </c>
      <c r="G19" s="1" t="str">
        <f ca="1">IFERROR('ORDER Form'!X20,"")</f>
        <v/>
      </c>
      <c r="H19" s="1" t="str">
        <f>IFERROR('ORDER Form'!Y20,"")</f>
        <v/>
      </c>
    </row>
    <row r="20" spans="1:8" ht="15" customHeight="1" x14ac:dyDescent="0.25">
      <c r="A20" s="6" t="str">
        <f>IFERROR(IF('ORDER Form'!V21="","",21),"")</f>
        <v/>
      </c>
      <c r="B20" s="6" t="str">
        <f>IFERROR(IF('ORDER Form'!V21="","",IFERROR(INDEX('PRODUCT DATA'!$A$2:$A$58,MATCH('ORDER Form'!$N21,'PRODUCT DATA'!$B$2:$B$58,0)),'ORDER Form'!$M21)&amp;""),"")</f>
        <v/>
      </c>
      <c r="C20" s="6" t="str">
        <f>IFERROR(IF('ORDER Form'!V21="","",'ORDER Form'!A21&amp;""),"")</f>
        <v/>
      </c>
      <c r="D20" s="6" t="str">
        <f>IFERROR(IF('ORDER Form'!V21="","",'ORDER Form'!D21&amp;""),"")</f>
        <v/>
      </c>
      <c r="E20" s="6" t="str">
        <f>IFERROR('ORDER Form'!V21,"")</f>
        <v/>
      </c>
      <c r="F20" s="1" t="str">
        <f ca="1">IFERROR('ORDER Form'!W21,"")</f>
        <v/>
      </c>
      <c r="G20" s="1" t="str">
        <f ca="1">IFERROR('ORDER Form'!X21,"")</f>
        <v/>
      </c>
      <c r="H20" s="1" t="str">
        <f>IFERROR('ORDER Form'!Y21,"")</f>
        <v/>
      </c>
    </row>
    <row r="21" spans="1:8" ht="15" customHeight="1" x14ac:dyDescent="0.25">
      <c r="A21" s="6" t="str">
        <f>IFERROR(IF('ORDER Form'!V22="","",22),"")</f>
        <v/>
      </c>
      <c r="B21" s="6" t="str">
        <f>IFERROR(IF('ORDER Form'!V22="","",IFERROR(INDEX('PRODUCT DATA'!$A$2:$A$58,MATCH('ORDER Form'!$N22,'PRODUCT DATA'!$B$2:$B$58,0)),'ORDER Form'!$M22)&amp;""),"")</f>
        <v/>
      </c>
      <c r="C21" s="6" t="str">
        <f>IFERROR(IF('ORDER Form'!V22="","",'ORDER Form'!A22&amp;""),"")</f>
        <v/>
      </c>
      <c r="D21" s="6" t="str">
        <f>IFERROR(IF('ORDER Form'!V22="","",'ORDER Form'!D22&amp;""),"")</f>
        <v/>
      </c>
      <c r="E21" s="6" t="str">
        <f>IFERROR('ORDER Form'!V22,"")</f>
        <v/>
      </c>
      <c r="F21" s="1" t="str">
        <f ca="1">IFERROR('ORDER Form'!W22,"")</f>
        <v/>
      </c>
      <c r="G21" s="1" t="str">
        <f ca="1">IFERROR('ORDER Form'!X22,"")</f>
        <v/>
      </c>
      <c r="H21" s="1" t="str">
        <f>IFERROR('ORDER Form'!Y22,"")</f>
        <v/>
      </c>
    </row>
    <row r="22" spans="1:8" ht="15" customHeight="1" x14ac:dyDescent="0.25">
      <c r="A22" s="6" t="str">
        <f>IFERROR(IF('ORDER Form'!V23="","",23),"")</f>
        <v/>
      </c>
      <c r="B22" s="6" t="str">
        <f>IFERROR(IF('ORDER Form'!V23="","",IFERROR(INDEX('PRODUCT DATA'!$A$2:$A$58,MATCH('ORDER Form'!$N23,'PRODUCT DATA'!$B$2:$B$58,0)),'ORDER Form'!$M23)&amp;""),"")</f>
        <v/>
      </c>
      <c r="C22" s="6" t="str">
        <f>IFERROR(IF('ORDER Form'!V23="","",'ORDER Form'!A23&amp;""),"")</f>
        <v/>
      </c>
      <c r="D22" s="6" t="str">
        <f>IFERROR(IF('ORDER Form'!V23="","",'ORDER Form'!D23&amp;""),"")</f>
        <v/>
      </c>
      <c r="E22" s="6" t="str">
        <f>IFERROR('ORDER Form'!V23,"")</f>
        <v/>
      </c>
      <c r="F22" s="1" t="str">
        <f ca="1">IFERROR('ORDER Form'!W23,"")</f>
        <v/>
      </c>
      <c r="G22" s="1" t="str">
        <f ca="1">IFERROR('ORDER Form'!X23,"")</f>
        <v/>
      </c>
      <c r="H22" s="1" t="str">
        <f>IFERROR('ORDER Form'!Y23,"")</f>
        <v/>
      </c>
    </row>
    <row r="23" spans="1:8" ht="15" customHeight="1" x14ac:dyDescent="0.25">
      <c r="A23" s="6" t="str">
        <f>IFERROR(IF('ORDER Form'!V24="","",24),"")</f>
        <v/>
      </c>
      <c r="B23" s="6" t="str">
        <f>IFERROR(IF('ORDER Form'!V24="","",IFERROR(INDEX('PRODUCT DATA'!$A$2:$A$58,MATCH('ORDER Form'!$N24,'PRODUCT DATA'!$B$2:$B$58,0)),'ORDER Form'!$M24)&amp;""),"")</f>
        <v/>
      </c>
      <c r="C23" s="6" t="str">
        <f>IFERROR(IF('ORDER Form'!V24="","",'ORDER Form'!A24&amp;""),"")</f>
        <v/>
      </c>
      <c r="D23" s="6" t="str">
        <f>IFERROR(IF('ORDER Form'!V24="","",'ORDER Form'!D24&amp;""),"")</f>
        <v/>
      </c>
      <c r="E23" s="6" t="str">
        <f>IFERROR('ORDER Form'!V24,"")</f>
        <v/>
      </c>
      <c r="F23" s="1" t="str">
        <f ca="1">IFERROR('ORDER Form'!W24,"")</f>
        <v/>
      </c>
      <c r="G23" s="1" t="str">
        <f ca="1">IFERROR('ORDER Form'!X24,"")</f>
        <v/>
      </c>
      <c r="H23" s="1" t="str">
        <f>IFERROR('ORDER Form'!Y24,"")</f>
        <v/>
      </c>
    </row>
    <row r="24" spans="1:8" ht="15" customHeight="1" x14ac:dyDescent="0.25">
      <c r="A24" s="6" t="str">
        <f>IFERROR(IF('ORDER Form'!V25="","",25),"")</f>
        <v/>
      </c>
      <c r="B24" s="6" t="str">
        <f>IFERROR(IF('ORDER Form'!V25="","",IFERROR(INDEX('PRODUCT DATA'!$A$2:$A$58,MATCH('ORDER Form'!$N25,'PRODUCT DATA'!$B$2:$B$58,0)),'ORDER Form'!$M25)&amp;""),"")</f>
        <v/>
      </c>
      <c r="C24" s="6" t="str">
        <f>IFERROR(IF('ORDER Form'!V25="","",'ORDER Form'!A25&amp;""),"")</f>
        <v/>
      </c>
      <c r="D24" s="6" t="str">
        <f>IFERROR(IF('ORDER Form'!V25="","",'ORDER Form'!D25&amp;""),"")</f>
        <v/>
      </c>
      <c r="E24" s="6" t="str">
        <f>IFERROR('ORDER Form'!V25,"")</f>
        <v/>
      </c>
      <c r="F24" s="1" t="str">
        <f ca="1">IFERROR('ORDER Form'!W25,"")</f>
        <v/>
      </c>
      <c r="G24" s="1" t="str">
        <f ca="1">IFERROR('ORDER Form'!X25,"")</f>
        <v/>
      </c>
      <c r="H24" s="1" t="str">
        <f>IFERROR('ORDER Form'!Y25,"")</f>
        <v/>
      </c>
    </row>
    <row r="25" spans="1:8" ht="15" customHeight="1" x14ac:dyDescent="0.25">
      <c r="A25" s="6" t="str">
        <f>IFERROR(IF('ORDER Form'!V26="","",26),"")</f>
        <v/>
      </c>
      <c r="B25" s="6" t="str">
        <f>IFERROR(IF('ORDER Form'!V26="","",IFERROR(INDEX('PRODUCT DATA'!$A$2:$A$58,MATCH('ORDER Form'!$N26,'PRODUCT DATA'!$B$2:$B$58,0)),'ORDER Form'!$M26)&amp;""),"")</f>
        <v/>
      </c>
      <c r="C25" s="6" t="str">
        <f>IFERROR(IF('ORDER Form'!V26="","",'ORDER Form'!A26&amp;""),"")</f>
        <v/>
      </c>
      <c r="D25" s="6" t="str">
        <f>IFERROR(IF('ORDER Form'!V26="","",'ORDER Form'!D26&amp;""),"")</f>
        <v/>
      </c>
      <c r="E25" s="6" t="str">
        <f>IFERROR('ORDER Form'!V26,"")</f>
        <v/>
      </c>
      <c r="F25" s="1" t="str">
        <f ca="1">IFERROR('ORDER Form'!W26,"")</f>
        <v/>
      </c>
      <c r="G25" s="1" t="str">
        <f ca="1">IFERROR('ORDER Form'!X26,"")</f>
        <v/>
      </c>
      <c r="H25" s="1" t="str">
        <f>IFERROR('ORDER Form'!Y26,"")</f>
        <v/>
      </c>
    </row>
    <row r="26" spans="1:8" ht="15" customHeight="1" x14ac:dyDescent="0.25">
      <c r="A26" s="6" t="str">
        <f>IFERROR(IF('ORDER Form'!V27="","",27),"")</f>
        <v/>
      </c>
      <c r="B26" s="6" t="str">
        <f>IFERROR(IF('ORDER Form'!V27="","",IFERROR(INDEX('PRODUCT DATA'!$A$2:$A$58,MATCH('ORDER Form'!$N27,'PRODUCT DATA'!$B$2:$B$58,0)),'ORDER Form'!$M27)&amp;""),"")</f>
        <v/>
      </c>
      <c r="C26" s="6" t="str">
        <f>IFERROR(IF('ORDER Form'!V27="","",'ORDER Form'!A27&amp;""),"")</f>
        <v/>
      </c>
      <c r="D26" s="6" t="str">
        <f>IFERROR(IF('ORDER Form'!V27="","",'ORDER Form'!D27&amp;""),"")</f>
        <v/>
      </c>
      <c r="E26" s="6" t="str">
        <f>IFERROR('ORDER Form'!V27,"")</f>
        <v/>
      </c>
      <c r="F26" s="1" t="str">
        <f ca="1">IFERROR('ORDER Form'!W27,"")</f>
        <v/>
      </c>
      <c r="G26" s="1" t="str">
        <f ca="1">IFERROR('ORDER Form'!X27,"")</f>
        <v/>
      </c>
      <c r="H26" s="1" t="str">
        <f>IFERROR('ORDER Form'!Y27,"")</f>
        <v/>
      </c>
    </row>
    <row r="27" spans="1:8" ht="15" customHeight="1" x14ac:dyDescent="0.25">
      <c r="A27" s="6" t="str">
        <f>IFERROR(IF('ORDER Form'!V28="","",28),"")</f>
        <v/>
      </c>
      <c r="B27" s="6" t="str">
        <f>IFERROR(IF('ORDER Form'!V28="","",IFERROR(INDEX('PRODUCT DATA'!$A$2:$A$58,MATCH('ORDER Form'!$N28,'PRODUCT DATA'!$B$2:$B$58,0)),'ORDER Form'!$M28)&amp;""),"")</f>
        <v/>
      </c>
      <c r="C27" s="6" t="str">
        <f>IFERROR(IF('ORDER Form'!V28="","",'ORDER Form'!A28&amp;""),"")</f>
        <v/>
      </c>
      <c r="D27" s="6" t="str">
        <f>IFERROR(IF('ORDER Form'!V28="","",'ORDER Form'!D28&amp;""),"")</f>
        <v/>
      </c>
      <c r="E27" s="6" t="str">
        <f>IFERROR('ORDER Form'!V28,"")</f>
        <v/>
      </c>
      <c r="F27" s="1" t="str">
        <f ca="1">IFERROR('ORDER Form'!W28,"")</f>
        <v/>
      </c>
      <c r="G27" s="1" t="str">
        <f ca="1">IFERROR('ORDER Form'!X28,"")</f>
        <v/>
      </c>
      <c r="H27" s="1" t="str">
        <f>IFERROR('ORDER Form'!Y28,"")</f>
        <v/>
      </c>
    </row>
    <row r="28" spans="1:8" ht="15" customHeight="1" x14ac:dyDescent="0.25">
      <c r="A28" s="6" t="str">
        <f>IFERROR(IF('ORDER Form'!V29="","",29),"")</f>
        <v/>
      </c>
      <c r="B28" s="6" t="str">
        <f>IFERROR(IF('ORDER Form'!V29="","",IFERROR(INDEX('PRODUCT DATA'!$A$2:$A$58,MATCH('ORDER Form'!$N29,'PRODUCT DATA'!$B$2:$B$58,0)),'ORDER Form'!$M29)&amp;""),"")</f>
        <v/>
      </c>
      <c r="C28" s="6" t="str">
        <f>IFERROR(IF('ORDER Form'!V29="","",'ORDER Form'!A29&amp;""),"")</f>
        <v/>
      </c>
      <c r="D28" s="6" t="str">
        <f>IFERROR(IF('ORDER Form'!V29="","",'ORDER Form'!D29&amp;""),"")</f>
        <v/>
      </c>
      <c r="E28" s="6" t="str">
        <f>IFERROR('ORDER Form'!V29,"")</f>
        <v/>
      </c>
      <c r="F28" s="1" t="str">
        <f ca="1">IFERROR('ORDER Form'!W29,"")</f>
        <v/>
      </c>
      <c r="G28" s="1" t="str">
        <f ca="1">IFERROR('ORDER Form'!X29,"")</f>
        <v/>
      </c>
      <c r="H28" s="1" t="str">
        <f>IFERROR('ORDER Form'!Y29,"")</f>
        <v/>
      </c>
    </row>
    <row r="29" spans="1:8" ht="15" customHeight="1" x14ac:dyDescent="0.25">
      <c r="A29" s="6" t="str">
        <f>IFERROR(IF('ORDER Form'!V30="","",30),"")</f>
        <v/>
      </c>
      <c r="B29" s="6" t="str">
        <f>IFERROR(IF('ORDER Form'!V30="","",IFERROR(INDEX('PRODUCT DATA'!$A$2:$A$58,MATCH('ORDER Form'!$N30,'PRODUCT DATA'!$B$2:$B$58,0)),'ORDER Form'!$M30)&amp;""),"")</f>
        <v/>
      </c>
      <c r="C29" s="6" t="str">
        <f>IFERROR(IF('ORDER Form'!V30="","",'ORDER Form'!A30&amp;""),"")</f>
        <v/>
      </c>
      <c r="D29" s="6" t="str">
        <f>IFERROR(IF('ORDER Form'!V30="","",'ORDER Form'!D30&amp;""),"")</f>
        <v/>
      </c>
      <c r="E29" s="6" t="str">
        <f>IFERROR('ORDER Form'!V30,"")</f>
        <v/>
      </c>
      <c r="F29" s="1" t="str">
        <f ca="1">IFERROR('ORDER Form'!W30,"")</f>
        <v/>
      </c>
      <c r="G29" s="1" t="str">
        <f ca="1">IFERROR('ORDER Form'!X30,"")</f>
        <v/>
      </c>
      <c r="H29" s="1" t="str">
        <f>IFERROR('ORDER Form'!Y30,"")</f>
        <v/>
      </c>
    </row>
    <row r="30" spans="1:8" ht="15" customHeight="1" x14ac:dyDescent="0.25">
      <c r="A30" s="6" t="str">
        <f>IFERROR(IF('ORDER Form'!V31="","",31),"")</f>
        <v/>
      </c>
      <c r="B30" s="6" t="str">
        <f>IFERROR(IF('ORDER Form'!V31="","",IFERROR(INDEX('PRODUCT DATA'!$A$2:$A$58,MATCH('ORDER Form'!$N31,'PRODUCT DATA'!$B$2:$B$58,0)),'ORDER Form'!$M31)&amp;""),"")</f>
        <v/>
      </c>
      <c r="C30" s="6" t="str">
        <f>IFERROR(IF('ORDER Form'!V31="","",'ORDER Form'!A31&amp;""),"")</f>
        <v/>
      </c>
      <c r="D30" s="6" t="str">
        <f>IFERROR(IF('ORDER Form'!V31="","",'ORDER Form'!D31&amp;""),"")</f>
        <v/>
      </c>
      <c r="E30" s="6" t="str">
        <f>IFERROR('ORDER Form'!V31,"")</f>
        <v/>
      </c>
      <c r="F30" s="1" t="str">
        <f ca="1">IFERROR('ORDER Form'!W31,"")</f>
        <v/>
      </c>
      <c r="G30" s="1" t="str">
        <f ca="1">IFERROR('ORDER Form'!X31,"")</f>
        <v/>
      </c>
      <c r="H30" s="1" t="str">
        <f>IFERROR('ORDER Form'!Y31,"")</f>
        <v/>
      </c>
    </row>
    <row r="31" spans="1:8" ht="15" customHeight="1" x14ac:dyDescent="0.25">
      <c r="A31" s="6" t="str">
        <f>IFERROR(IF('ORDER Form'!V32="","",32),"")</f>
        <v/>
      </c>
      <c r="B31" s="6" t="str">
        <f>IFERROR(IF('ORDER Form'!V32="","",IFERROR(INDEX('PRODUCT DATA'!$A$2:$A$58,MATCH('ORDER Form'!$N32,'PRODUCT DATA'!$B$2:$B$58,0)),'ORDER Form'!$M32)&amp;""),"")</f>
        <v/>
      </c>
      <c r="C31" s="6" t="str">
        <f>IFERROR(IF('ORDER Form'!V32="","",'ORDER Form'!A32&amp;""),"")</f>
        <v/>
      </c>
      <c r="D31" s="6" t="str">
        <f>IFERROR(IF('ORDER Form'!V32="","",'ORDER Form'!D32&amp;""),"")</f>
        <v/>
      </c>
      <c r="E31" s="6" t="str">
        <f>IFERROR('ORDER Form'!V32,"")</f>
        <v/>
      </c>
      <c r="F31" s="1" t="str">
        <f ca="1">IFERROR('ORDER Form'!W32,"")</f>
        <v/>
      </c>
      <c r="G31" s="1" t="str">
        <f ca="1">IFERROR('ORDER Form'!X32,"")</f>
        <v/>
      </c>
      <c r="H31" s="1" t="str">
        <f>IFERROR('ORDER Form'!Y32,"")</f>
        <v/>
      </c>
    </row>
    <row r="32" spans="1:8" ht="15" customHeight="1" x14ac:dyDescent="0.25">
      <c r="A32" s="6" t="str">
        <f>IFERROR(IF('ORDER Form'!V33="","",33),"")</f>
        <v/>
      </c>
      <c r="B32" s="6" t="str">
        <f>IFERROR(IF('ORDER Form'!V33="","",IFERROR(INDEX('PRODUCT DATA'!$A$2:$A$58,MATCH('ORDER Form'!$N33,'PRODUCT DATA'!$B$2:$B$58,0)),'ORDER Form'!$M33)&amp;""),"")</f>
        <v/>
      </c>
      <c r="C32" s="6" t="str">
        <f>IFERROR(IF('ORDER Form'!V33="","",'ORDER Form'!A33&amp;""),"")</f>
        <v/>
      </c>
      <c r="D32" s="6" t="str">
        <f>IFERROR(IF('ORDER Form'!V33="","",'ORDER Form'!D33&amp;""),"")</f>
        <v/>
      </c>
      <c r="E32" s="6" t="str">
        <f>IFERROR('ORDER Form'!V33,"")</f>
        <v/>
      </c>
      <c r="F32" s="1" t="str">
        <f ca="1">IFERROR('ORDER Form'!W33,"")</f>
        <v/>
      </c>
      <c r="G32" s="1" t="str">
        <f ca="1">IFERROR('ORDER Form'!X33,"")</f>
        <v/>
      </c>
      <c r="H32" s="1" t="str">
        <f>IFERROR('ORDER Form'!Y33,"")</f>
        <v/>
      </c>
    </row>
    <row r="33" spans="1:8" ht="15" customHeight="1" x14ac:dyDescent="0.25">
      <c r="A33" s="6" t="str">
        <f>IFERROR(IF('ORDER Form'!V34="","",34),"")</f>
        <v/>
      </c>
      <c r="B33" s="6" t="str">
        <f>IFERROR(IF('ORDER Form'!V34="","",IFERROR(INDEX('PRODUCT DATA'!$A$2:$A$58,MATCH('ORDER Form'!$N34,'PRODUCT DATA'!$B$2:$B$58,0)),'ORDER Form'!$M34)&amp;""),"")</f>
        <v/>
      </c>
      <c r="C33" s="6" t="str">
        <f>IFERROR(IF('ORDER Form'!V34="","",'ORDER Form'!A34&amp;""),"")</f>
        <v/>
      </c>
      <c r="D33" s="6" t="str">
        <f>IFERROR(IF('ORDER Form'!V34="","",'ORDER Form'!D34&amp;""),"")</f>
        <v/>
      </c>
      <c r="E33" s="6" t="str">
        <f>IFERROR('ORDER Form'!V34,"")</f>
        <v/>
      </c>
      <c r="F33" s="1" t="str">
        <f ca="1">IFERROR('ORDER Form'!W34,"")</f>
        <v/>
      </c>
      <c r="G33" s="1" t="str">
        <f ca="1">IFERROR('ORDER Form'!X34,"")</f>
        <v/>
      </c>
      <c r="H33" s="1" t="str">
        <f>IFERROR('ORDER Form'!Y34,"")</f>
        <v/>
      </c>
    </row>
    <row r="34" spans="1:8" ht="15" customHeight="1" x14ac:dyDescent="0.25">
      <c r="A34" s="6" t="str">
        <f>IFERROR(IF('ORDER Form'!V35="","",35),"")</f>
        <v/>
      </c>
      <c r="B34" s="6" t="str">
        <f>IFERROR(IF('ORDER Form'!V35="","",IFERROR(INDEX('PRODUCT DATA'!$A$2:$A$58,MATCH('ORDER Form'!$N35,'PRODUCT DATA'!$B$2:$B$58,0)),'ORDER Form'!$M35)&amp;""),"")</f>
        <v/>
      </c>
      <c r="C34" s="6" t="str">
        <f>IFERROR(IF('ORDER Form'!V35="","",'ORDER Form'!A35&amp;""),"")</f>
        <v/>
      </c>
      <c r="D34" s="6" t="str">
        <f>IFERROR(IF('ORDER Form'!V35="","",'ORDER Form'!D35&amp;""),"")</f>
        <v/>
      </c>
      <c r="E34" s="6" t="str">
        <f>IFERROR('ORDER Form'!V35,"")</f>
        <v/>
      </c>
      <c r="F34" s="1" t="str">
        <f ca="1">IFERROR('ORDER Form'!W35,"")</f>
        <v/>
      </c>
      <c r="G34" s="1" t="str">
        <f ca="1">IFERROR('ORDER Form'!X35,"")</f>
        <v/>
      </c>
      <c r="H34" s="1" t="str">
        <f>IFERROR('ORDER Form'!Y35,"")</f>
        <v/>
      </c>
    </row>
    <row r="35" spans="1:8" ht="15" customHeight="1" x14ac:dyDescent="0.25">
      <c r="A35" s="6" t="str">
        <f>IFERROR(IF('ORDER Form'!V36="","",36),"")</f>
        <v/>
      </c>
      <c r="B35" s="6" t="str">
        <f>IFERROR(IF('ORDER Form'!V36="","",IFERROR(INDEX('PRODUCT DATA'!$A$2:$A$58,MATCH('ORDER Form'!$N36,'PRODUCT DATA'!$B$2:$B$58,0)),'ORDER Form'!$M36)&amp;""),"")</f>
        <v/>
      </c>
      <c r="C35" s="6" t="str">
        <f>IFERROR(IF('ORDER Form'!V36="","",'ORDER Form'!A36&amp;""),"")</f>
        <v/>
      </c>
      <c r="D35" s="6" t="str">
        <f>IFERROR(IF('ORDER Form'!V36="","",'ORDER Form'!D36&amp;""),"")</f>
        <v/>
      </c>
      <c r="E35" s="6" t="str">
        <f>IFERROR('ORDER Form'!V36,"")</f>
        <v/>
      </c>
      <c r="F35" s="1" t="str">
        <f ca="1">IFERROR('ORDER Form'!W36,"")</f>
        <v/>
      </c>
      <c r="G35" s="1" t="str">
        <f ca="1">IFERROR('ORDER Form'!X36,"")</f>
        <v/>
      </c>
      <c r="H35" s="1" t="str">
        <f>IFERROR('ORDER Form'!Y36,"")</f>
        <v/>
      </c>
    </row>
    <row r="36" spans="1:8" ht="15" customHeight="1" x14ac:dyDescent="0.25">
      <c r="A36" s="6" t="str">
        <f>IFERROR(IF('ORDER Form'!V37="","",37),"")</f>
        <v/>
      </c>
      <c r="B36" s="6" t="str">
        <f>IFERROR(IF('ORDER Form'!V37="","",IFERROR(INDEX('PRODUCT DATA'!$A$2:$A$58,MATCH('ORDER Form'!$N37,'PRODUCT DATA'!$B$2:$B$58,0)),'ORDER Form'!$M37)&amp;""),"")</f>
        <v/>
      </c>
      <c r="C36" s="6" t="str">
        <f>IFERROR(IF('ORDER Form'!V37="","",'ORDER Form'!A37&amp;""),"")</f>
        <v/>
      </c>
      <c r="D36" s="6" t="str">
        <f>IFERROR(IF('ORDER Form'!V37="","",'ORDER Form'!D37&amp;""),"")</f>
        <v/>
      </c>
      <c r="E36" s="6" t="str">
        <f>IFERROR('ORDER Form'!V37,"")</f>
        <v/>
      </c>
      <c r="F36" s="1" t="str">
        <f ca="1">IFERROR('ORDER Form'!W37,"")</f>
        <v/>
      </c>
      <c r="G36" s="1" t="str">
        <f ca="1">IFERROR('ORDER Form'!X37,"")</f>
        <v/>
      </c>
      <c r="H36" s="1" t="str">
        <f>IFERROR('ORDER Form'!Y37,"")</f>
        <v/>
      </c>
    </row>
    <row r="37" spans="1:8" ht="15" customHeight="1" x14ac:dyDescent="0.25">
      <c r="A37" s="6" t="str">
        <f>IFERROR(IF('ORDER Form'!V38="","",38),"")</f>
        <v/>
      </c>
      <c r="B37" s="6" t="str">
        <f>IFERROR(IF('ORDER Form'!V38="","",IFERROR(INDEX('PRODUCT DATA'!$A$2:$A$58,MATCH('ORDER Form'!$N38,'PRODUCT DATA'!$B$2:$B$58,0)),'ORDER Form'!$M38)&amp;""),"")</f>
        <v/>
      </c>
      <c r="C37" s="6" t="str">
        <f>IFERROR(IF('ORDER Form'!V38="","",'ORDER Form'!A38&amp;""),"")</f>
        <v/>
      </c>
      <c r="D37" s="6" t="str">
        <f>IFERROR(IF('ORDER Form'!V38="","",'ORDER Form'!D38&amp;""),"")</f>
        <v/>
      </c>
      <c r="E37" s="6" t="str">
        <f>IFERROR('ORDER Form'!V38,"")</f>
        <v/>
      </c>
      <c r="F37" s="1" t="str">
        <f ca="1">IFERROR('ORDER Form'!W38,"")</f>
        <v/>
      </c>
      <c r="G37" s="1" t="str">
        <f ca="1">IFERROR('ORDER Form'!X38,"")</f>
        <v/>
      </c>
      <c r="H37" s="1" t="str">
        <f>IFERROR('ORDER Form'!Y38,"")</f>
        <v/>
      </c>
    </row>
    <row r="38" spans="1:8" ht="15" customHeight="1" x14ac:dyDescent="0.25">
      <c r="A38" s="6" t="str">
        <f>IFERROR(IF('ORDER Form'!V39="","",39),"")</f>
        <v/>
      </c>
      <c r="B38" s="6" t="str">
        <f>IFERROR(IF('ORDER Form'!V39="","",IFERROR(INDEX('PRODUCT DATA'!$A$2:$A$58,MATCH('ORDER Form'!$N39,'PRODUCT DATA'!$B$2:$B$58,0)),'ORDER Form'!$M39)&amp;""),"")</f>
        <v/>
      </c>
      <c r="C38" s="6" t="str">
        <f>IFERROR(IF('ORDER Form'!V39="","",'ORDER Form'!A39&amp;""),"")</f>
        <v/>
      </c>
      <c r="D38" s="6" t="str">
        <f>IFERROR(IF('ORDER Form'!V39="","",'ORDER Form'!D39&amp;""),"")</f>
        <v/>
      </c>
      <c r="E38" s="6" t="str">
        <f>IFERROR('ORDER Form'!V39,"")</f>
        <v/>
      </c>
      <c r="F38" s="1" t="str">
        <f ca="1">IFERROR('ORDER Form'!W39,"")</f>
        <v/>
      </c>
      <c r="G38" s="1" t="str">
        <f ca="1">IFERROR('ORDER Form'!X39,"")</f>
        <v/>
      </c>
      <c r="H38" s="1" t="str">
        <f>IFERROR('ORDER Form'!Y39,"")</f>
        <v/>
      </c>
    </row>
    <row r="39" spans="1:8" ht="15" customHeight="1" x14ac:dyDescent="0.25">
      <c r="A39" s="6" t="str">
        <f>IFERROR(IF('ORDER Form'!V40="","",40),"")</f>
        <v/>
      </c>
      <c r="B39" s="6" t="str">
        <f>IFERROR(IF('ORDER Form'!V40="","",IFERROR(INDEX('PRODUCT DATA'!$A$2:$A$58,MATCH('ORDER Form'!$N40,'PRODUCT DATA'!$B$2:$B$58,0)),'ORDER Form'!$M40)&amp;""),"")</f>
        <v/>
      </c>
      <c r="C39" s="6" t="str">
        <f>IFERROR(IF('ORDER Form'!V40="","",'ORDER Form'!A40&amp;""),"")</f>
        <v/>
      </c>
      <c r="D39" s="6" t="str">
        <f>IFERROR(IF('ORDER Form'!V40="","",'ORDER Form'!D40&amp;""),"")</f>
        <v/>
      </c>
      <c r="E39" s="6" t="str">
        <f>IFERROR('ORDER Form'!V40,"")</f>
        <v/>
      </c>
      <c r="F39" s="1" t="str">
        <f ca="1">IFERROR('ORDER Form'!W40,"")</f>
        <v/>
      </c>
      <c r="G39" s="1" t="str">
        <f ca="1">IFERROR('ORDER Form'!X40,"")</f>
        <v/>
      </c>
      <c r="H39" s="1" t="str">
        <f>IFERROR('ORDER Form'!Y40,"")</f>
        <v/>
      </c>
    </row>
    <row r="40" spans="1:8" ht="15" customHeight="1" x14ac:dyDescent="0.25">
      <c r="A40" s="6" t="str">
        <f>IFERROR(IF('ORDER Form'!V41="","",41),"")</f>
        <v/>
      </c>
      <c r="B40" s="6" t="str">
        <f>IFERROR(IF('ORDER Form'!V41="","",IFERROR(INDEX('PRODUCT DATA'!$A$2:$A$58,MATCH('ORDER Form'!$N41,'PRODUCT DATA'!$B$2:$B$58,0)),'ORDER Form'!$M41)&amp;""),"")</f>
        <v/>
      </c>
      <c r="C40" s="6" t="str">
        <f>IFERROR(IF('ORDER Form'!V41="","",'ORDER Form'!A41&amp;""),"")</f>
        <v/>
      </c>
      <c r="D40" s="6" t="str">
        <f>IFERROR(IF('ORDER Form'!V41="","",'ORDER Form'!D41&amp;""),"")</f>
        <v/>
      </c>
      <c r="E40" s="6" t="str">
        <f>IFERROR('ORDER Form'!V41,"")</f>
        <v/>
      </c>
      <c r="F40" s="1" t="str">
        <f ca="1">IFERROR('ORDER Form'!W41,"")</f>
        <v/>
      </c>
      <c r="G40" s="1" t="str">
        <f ca="1">IFERROR('ORDER Form'!X41,"")</f>
        <v/>
      </c>
      <c r="H40" s="1" t="str">
        <f>IFERROR('ORDER Form'!Y41,"")</f>
        <v/>
      </c>
    </row>
    <row r="41" spans="1:8" ht="15" customHeight="1" x14ac:dyDescent="0.25">
      <c r="A41" s="6" t="str">
        <f>IFERROR(IF('ORDER Form'!V42="","",42),"")</f>
        <v/>
      </c>
      <c r="B41" s="6" t="str">
        <f>IFERROR(IF('ORDER Form'!V42="","",IFERROR(INDEX('PRODUCT DATA'!$A$2:$A$58,MATCH('ORDER Form'!$N42,'PRODUCT DATA'!$B$2:$B$58,0)),'ORDER Form'!$M42)&amp;""),"")</f>
        <v/>
      </c>
      <c r="C41" s="6" t="str">
        <f>IFERROR(IF('ORDER Form'!V42="","",'ORDER Form'!A42&amp;""),"")</f>
        <v/>
      </c>
      <c r="D41" s="6" t="str">
        <f>IFERROR(IF('ORDER Form'!V42="","",'ORDER Form'!D42&amp;""),"")</f>
        <v/>
      </c>
      <c r="E41" s="6" t="str">
        <f>IFERROR('ORDER Form'!V42,"")</f>
        <v/>
      </c>
      <c r="F41" s="1" t="str">
        <f ca="1">IFERROR('ORDER Form'!W42,"")</f>
        <v/>
      </c>
      <c r="G41" s="1" t="str">
        <f ca="1">IFERROR('ORDER Form'!X42,"")</f>
        <v/>
      </c>
      <c r="H41" s="1" t="str">
        <f>IFERROR('ORDER Form'!Y42,"")</f>
        <v/>
      </c>
    </row>
    <row r="42" spans="1:8" ht="15" customHeight="1" x14ac:dyDescent="0.25">
      <c r="A42" s="6" t="str">
        <f>IFERROR(IF('ORDER Form'!V43="","",43),"")</f>
        <v/>
      </c>
      <c r="B42" s="6" t="str">
        <f>IFERROR(IF('ORDER Form'!V43="","",IFERROR(INDEX('PRODUCT DATA'!$A$2:$A$58,MATCH('ORDER Form'!$N43,'PRODUCT DATA'!$B$2:$B$58,0)),'ORDER Form'!$M43)&amp;""),"")</f>
        <v/>
      </c>
      <c r="C42" s="6" t="str">
        <f>IFERROR(IF('ORDER Form'!V43="","",'ORDER Form'!A43&amp;""),"")</f>
        <v/>
      </c>
      <c r="D42" s="6" t="str">
        <f>IFERROR(IF('ORDER Form'!V43="","",'ORDER Form'!D43&amp;""),"")</f>
        <v/>
      </c>
      <c r="E42" s="6" t="str">
        <f>IFERROR('ORDER Form'!V43,"")</f>
        <v/>
      </c>
      <c r="F42" s="1" t="str">
        <f ca="1">IFERROR('ORDER Form'!W43,"")</f>
        <v/>
      </c>
      <c r="G42" s="1" t="str">
        <f ca="1">IFERROR('ORDER Form'!X43,"")</f>
        <v/>
      </c>
      <c r="H42" s="1" t="str">
        <f>IFERROR('ORDER Form'!Y43,"")</f>
        <v/>
      </c>
    </row>
    <row r="43" spans="1:8" ht="15" customHeight="1" x14ac:dyDescent="0.25">
      <c r="A43" s="6" t="str">
        <f>IFERROR(IF('ORDER Form'!V44="","",44),"")</f>
        <v/>
      </c>
      <c r="B43" s="6" t="str">
        <f>IFERROR(IF('ORDER Form'!V44="","",IFERROR(INDEX('PRODUCT DATA'!$A$2:$A$58,MATCH('ORDER Form'!$N44,'PRODUCT DATA'!$B$2:$B$58,0)),'ORDER Form'!$M44)&amp;""),"")</f>
        <v/>
      </c>
      <c r="C43" s="6" t="str">
        <f>IFERROR(IF('ORDER Form'!V44="","",'ORDER Form'!A44&amp;""),"")</f>
        <v/>
      </c>
      <c r="D43" s="6" t="str">
        <f>IFERROR(IF('ORDER Form'!V44="","",'ORDER Form'!D44&amp;""),"")</f>
        <v/>
      </c>
      <c r="E43" s="6" t="str">
        <f>IFERROR('ORDER Form'!V44,"")</f>
        <v/>
      </c>
      <c r="F43" s="1" t="str">
        <f ca="1">IFERROR('ORDER Form'!W44,"")</f>
        <v/>
      </c>
      <c r="G43" s="1" t="str">
        <f ca="1">IFERROR('ORDER Form'!X44,"")</f>
        <v/>
      </c>
      <c r="H43" s="1" t="str">
        <f>IFERROR('ORDER Form'!Y44,"")</f>
        <v/>
      </c>
    </row>
    <row r="44" spans="1:8" ht="15" customHeight="1" x14ac:dyDescent="0.25">
      <c r="A44" s="6" t="str">
        <f>IFERROR(IF('ORDER Form'!V45="","",45),"")</f>
        <v/>
      </c>
      <c r="B44" s="6" t="str">
        <f>IFERROR(IF('ORDER Form'!V45="","",IFERROR(INDEX('PRODUCT DATA'!$A$2:$A$58,MATCH('ORDER Form'!$N45,'PRODUCT DATA'!$B$2:$B$58,0)),'ORDER Form'!$M45)&amp;""),"")</f>
        <v/>
      </c>
      <c r="C44" s="6" t="str">
        <f>IFERROR(IF('ORDER Form'!V45="","",'ORDER Form'!A45&amp;""),"")</f>
        <v/>
      </c>
      <c r="D44" s="6" t="str">
        <f>IFERROR(IF('ORDER Form'!V45="","",'ORDER Form'!D45&amp;""),"")</f>
        <v/>
      </c>
      <c r="E44" s="6" t="str">
        <f>IFERROR('ORDER Form'!V45,"")</f>
        <v/>
      </c>
      <c r="F44" s="1" t="str">
        <f ca="1">IFERROR('ORDER Form'!W45,"")</f>
        <v/>
      </c>
      <c r="G44" s="1" t="str">
        <f ca="1">IFERROR('ORDER Form'!X45,"")</f>
        <v/>
      </c>
      <c r="H44" s="1" t="str">
        <f>IFERROR('ORDER Form'!Y45,"")</f>
        <v/>
      </c>
    </row>
    <row r="45" spans="1:8" ht="15" customHeight="1" x14ac:dyDescent="0.25">
      <c r="A45" s="6" t="str">
        <f>IFERROR(IF('ORDER Form'!V46="","",46),"")</f>
        <v/>
      </c>
      <c r="B45" s="6" t="str">
        <f>IFERROR(IF('ORDER Form'!V46="","",IFERROR(INDEX('PRODUCT DATA'!$A$2:$A$58,MATCH('ORDER Form'!$N46,'PRODUCT DATA'!$B$2:$B$58,0)),'ORDER Form'!$M46)&amp;""),"")</f>
        <v/>
      </c>
      <c r="C45" s="6" t="str">
        <f>IFERROR(IF('ORDER Form'!V46="","",'ORDER Form'!A46&amp;""),"")</f>
        <v/>
      </c>
      <c r="D45" s="6" t="str">
        <f>IFERROR(IF('ORDER Form'!V46="","",'ORDER Form'!D46&amp;""),"")</f>
        <v/>
      </c>
      <c r="E45" s="6" t="str">
        <f>IFERROR('ORDER Form'!V46,"")</f>
        <v/>
      </c>
      <c r="F45" s="1" t="str">
        <f ca="1">IFERROR('ORDER Form'!W46,"")</f>
        <v/>
      </c>
      <c r="G45" s="1" t="str">
        <f ca="1">IFERROR('ORDER Form'!X46,"")</f>
        <v/>
      </c>
      <c r="H45" s="1" t="str">
        <f>IFERROR('ORDER Form'!Y46,"")</f>
        <v/>
      </c>
    </row>
    <row r="46" spans="1:8" ht="15" customHeight="1" x14ac:dyDescent="0.25">
      <c r="A46" s="6" t="str">
        <f>IFERROR(IF('ORDER Form'!V47="","",47),"")</f>
        <v/>
      </c>
      <c r="B46" s="6" t="str">
        <f>IFERROR(IF('ORDER Form'!V47="","",IFERROR(INDEX('PRODUCT DATA'!$A$2:$A$58,MATCH('ORDER Form'!$N47,'PRODUCT DATA'!$B$2:$B$58,0)),'ORDER Form'!$M47)&amp;""),"")</f>
        <v/>
      </c>
      <c r="C46" s="6" t="str">
        <f>IFERROR(IF('ORDER Form'!V47="","",'ORDER Form'!A47&amp;""),"")</f>
        <v/>
      </c>
      <c r="D46" s="6" t="str">
        <f>IFERROR(IF('ORDER Form'!V47="","",'ORDER Form'!D47&amp;""),"")</f>
        <v/>
      </c>
      <c r="E46" s="6" t="str">
        <f>IFERROR('ORDER Form'!V47,"")</f>
        <v/>
      </c>
      <c r="F46" s="1" t="str">
        <f ca="1">IFERROR('ORDER Form'!W47,"")</f>
        <v/>
      </c>
      <c r="G46" s="1" t="str">
        <f ca="1">IFERROR('ORDER Form'!X47,"")</f>
        <v/>
      </c>
      <c r="H46" s="1" t="str">
        <f>IFERROR('ORDER Form'!Y47,"")</f>
        <v/>
      </c>
    </row>
    <row r="47" spans="1:8" ht="15" customHeight="1" x14ac:dyDescent="0.25">
      <c r="A47" s="6" t="str">
        <f>IFERROR(IF('ORDER Form'!V48="","",48),"")</f>
        <v/>
      </c>
      <c r="B47" s="6" t="str">
        <f>IFERROR(IF('ORDER Form'!V48="","",IFERROR(INDEX('PRODUCT DATA'!$A$2:$A$58,MATCH('ORDER Form'!$N48,'PRODUCT DATA'!$B$2:$B$58,0)),'ORDER Form'!$M48)&amp;""),"")</f>
        <v/>
      </c>
      <c r="C47" s="6" t="str">
        <f>IFERROR(IF('ORDER Form'!V48="","",'ORDER Form'!A48&amp;""),"")</f>
        <v/>
      </c>
      <c r="D47" s="6" t="str">
        <f>IFERROR(IF('ORDER Form'!V48="","",'ORDER Form'!D48&amp;""),"")</f>
        <v/>
      </c>
      <c r="E47" s="6" t="str">
        <f>IFERROR('ORDER Form'!V48,"")</f>
        <v/>
      </c>
      <c r="F47" s="1" t="str">
        <f ca="1">IFERROR('ORDER Form'!W48,"")</f>
        <v/>
      </c>
      <c r="G47" s="1" t="str">
        <f ca="1">IFERROR('ORDER Form'!X48,"")</f>
        <v/>
      </c>
      <c r="H47" s="1" t="str">
        <f>IFERROR('ORDER Form'!Y48,"")</f>
        <v/>
      </c>
    </row>
    <row r="48" spans="1:8" ht="15" customHeight="1" x14ac:dyDescent="0.25">
      <c r="A48" s="6" t="str">
        <f>IFERROR(IF('ORDER Form'!V49="","",49),"")</f>
        <v/>
      </c>
      <c r="B48" s="6" t="str">
        <f>IFERROR(IF('ORDER Form'!V49="","",IFERROR(INDEX('PRODUCT DATA'!$A$2:$A$58,MATCH('ORDER Form'!$N49,'PRODUCT DATA'!$B$2:$B$58,0)),'ORDER Form'!$M49)&amp;""),"")</f>
        <v/>
      </c>
      <c r="C48" s="6" t="str">
        <f>IFERROR(IF('ORDER Form'!V49="","",'ORDER Form'!A49&amp;""),"")</f>
        <v/>
      </c>
      <c r="D48" s="6" t="str">
        <f>IFERROR(IF('ORDER Form'!V49="","",'ORDER Form'!D49&amp;""),"")</f>
        <v/>
      </c>
      <c r="E48" s="6" t="str">
        <f>IFERROR('ORDER Form'!V49,"")</f>
        <v/>
      </c>
      <c r="F48" s="1" t="str">
        <f ca="1">IFERROR('ORDER Form'!W49,"")</f>
        <v/>
      </c>
      <c r="G48" s="1" t="str">
        <f ca="1">IFERROR('ORDER Form'!X49,"")</f>
        <v/>
      </c>
      <c r="H48" s="1" t="str">
        <f>IFERROR('ORDER Form'!Y49,"")</f>
        <v/>
      </c>
    </row>
    <row r="49" spans="1:8" ht="15" customHeight="1" x14ac:dyDescent="0.25">
      <c r="A49" s="6" t="str">
        <f>IFERROR(IF('ORDER Form'!V50="","",50),"")</f>
        <v/>
      </c>
      <c r="B49" s="6" t="str">
        <f>IFERROR(IF('ORDER Form'!V50="","",IFERROR(INDEX('PRODUCT DATA'!$A$2:$A$58,MATCH('ORDER Form'!$N50,'PRODUCT DATA'!$B$2:$B$58,0)),'ORDER Form'!$M50)&amp;""),"")</f>
        <v/>
      </c>
      <c r="C49" s="6" t="str">
        <f>IFERROR(IF('ORDER Form'!V50="","",'ORDER Form'!A50&amp;""),"")</f>
        <v/>
      </c>
      <c r="D49" s="6" t="str">
        <f>IFERROR(IF('ORDER Form'!V50="","",'ORDER Form'!D50&amp;""),"")</f>
        <v/>
      </c>
      <c r="E49" s="6" t="str">
        <f>IFERROR('ORDER Form'!V50,"")</f>
        <v/>
      </c>
      <c r="F49" s="1" t="str">
        <f ca="1">IFERROR('ORDER Form'!W50,"")</f>
        <v/>
      </c>
      <c r="G49" s="1" t="str">
        <f ca="1">IFERROR('ORDER Form'!X50,"")</f>
        <v/>
      </c>
      <c r="H49" s="1" t="str">
        <f>IFERROR('ORDER Form'!Y50,"")</f>
        <v/>
      </c>
    </row>
    <row r="50" spans="1:8" ht="15" customHeight="1" x14ac:dyDescent="0.25">
      <c r="A50" s="6" t="str">
        <f>IFERROR(IF('ORDER Form'!V51="","",51),"")</f>
        <v/>
      </c>
      <c r="B50" s="6" t="str">
        <f>IFERROR(IF('ORDER Form'!V51="","",IFERROR(INDEX('PRODUCT DATA'!$A$2:$A$58,MATCH('ORDER Form'!$N51,'PRODUCT DATA'!$B$2:$B$58,0)),'ORDER Form'!$M51)&amp;""),"")</f>
        <v/>
      </c>
      <c r="C50" s="6" t="str">
        <f>IFERROR(IF('ORDER Form'!V51="","",'ORDER Form'!A51&amp;""),"")</f>
        <v/>
      </c>
      <c r="D50" s="6" t="str">
        <f>IFERROR(IF('ORDER Form'!V51="","",'ORDER Form'!D51&amp;""),"")</f>
        <v/>
      </c>
      <c r="E50" s="6" t="str">
        <f>IFERROR('ORDER Form'!V51,"")</f>
        <v/>
      </c>
      <c r="F50" s="1" t="str">
        <f ca="1">IFERROR('ORDER Form'!W51,"")</f>
        <v/>
      </c>
      <c r="G50" s="1" t="str">
        <f ca="1">IFERROR('ORDER Form'!X51,"")</f>
        <v/>
      </c>
      <c r="H50" s="1" t="str">
        <f>IFERROR('ORDER Form'!Y51,"")</f>
        <v/>
      </c>
    </row>
    <row r="51" spans="1:8" ht="15" customHeight="1" x14ac:dyDescent="0.25">
      <c r="A51" s="6" t="str">
        <f>IFERROR(IF('ORDER Form'!V52="","",52),"")</f>
        <v/>
      </c>
      <c r="B51" s="6" t="str">
        <f>IFERROR(IF('ORDER Form'!V52="","",IFERROR(INDEX('PRODUCT DATA'!$A$2:$A$58,MATCH('ORDER Form'!$N52,'PRODUCT DATA'!$B$2:$B$58,0)),'ORDER Form'!$M52)&amp;""),"")</f>
        <v/>
      </c>
      <c r="C51" s="6" t="str">
        <f>IFERROR(IF('ORDER Form'!V52="","",'ORDER Form'!A52&amp;""),"")</f>
        <v/>
      </c>
      <c r="D51" s="6" t="str">
        <f>IFERROR(IF('ORDER Form'!V52="","",'ORDER Form'!D52&amp;""),"")</f>
        <v/>
      </c>
      <c r="E51" s="6" t="str">
        <f>IFERROR('ORDER Form'!V52,"")</f>
        <v/>
      </c>
      <c r="F51" s="1" t="str">
        <f ca="1">IFERROR('ORDER Form'!W52,"")</f>
        <v/>
      </c>
      <c r="G51" s="1" t="str">
        <f ca="1">IFERROR('ORDER Form'!X52,"")</f>
        <v/>
      </c>
      <c r="H51" s="1" t="str">
        <f>IFERROR('ORDER Form'!Y52,"")</f>
        <v/>
      </c>
    </row>
    <row r="52" spans="1:8" ht="15" customHeight="1" x14ac:dyDescent="0.25">
      <c r="A52" s="6" t="str">
        <f>IFERROR(IF('ORDER Form'!V53="","",53),"")</f>
        <v/>
      </c>
      <c r="B52" s="6" t="str">
        <f>IFERROR(IF('ORDER Form'!V53="","",IFERROR(INDEX('PRODUCT DATA'!$A$2:$A$58,MATCH('ORDER Form'!$N53,'PRODUCT DATA'!$B$2:$B$58,0)),'ORDER Form'!$M53)&amp;""),"")</f>
        <v/>
      </c>
      <c r="C52" s="6" t="str">
        <f>IFERROR(IF('ORDER Form'!V53="","",'ORDER Form'!A53&amp;""),"")</f>
        <v/>
      </c>
      <c r="D52" s="6" t="str">
        <f>IFERROR(IF('ORDER Form'!V53="","",'ORDER Form'!D53&amp;""),"")</f>
        <v/>
      </c>
      <c r="E52" s="6" t="str">
        <f>IFERROR('ORDER Form'!V53,"")</f>
        <v/>
      </c>
      <c r="F52" s="1" t="str">
        <f ca="1">IFERROR('ORDER Form'!W53,"")</f>
        <v/>
      </c>
      <c r="G52" s="1" t="str">
        <f ca="1">IFERROR('ORDER Form'!X53,"")</f>
        <v/>
      </c>
      <c r="H52" s="1" t="str">
        <f>IFERROR('ORDER Form'!Y53,"")</f>
        <v/>
      </c>
    </row>
    <row r="53" spans="1:8" ht="15" customHeight="1" x14ac:dyDescent="0.25">
      <c r="A53" s="6" t="str">
        <f>IFERROR(IF('ORDER Form'!V54="","",54),"")</f>
        <v/>
      </c>
      <c r="B53" s="6" t="str">
        <f>IFERROR(IF('ORDER Form'!V54="","",IFERROR(INDEX('PRODUCT DATA'!$A$2:$A$58,MATCH('ORDER Form'!$N54,'PRODUCT DATA'!$B$2:$B$58,0)),'ORDER Form'!$M54)&amp;""),"")</f>
        <v/>
      </c>
      <c r="C53" s="6" t="str">
        <f>IFERROR(IF('ORDER Form'!V54="","",'ORDER Form'!A54&amp;""),"")</f>
        <v/>
      </c>
      <c r="D53" s="6" t="str">
        <f>IFERROR(IF('ORDER Form'!V54="","",'ORDER Form'!D54&amp;""),"")</f>
        <v/>
      </c>
      <c r="E53" s="6" t="str">
        <f>IFERROR('ORDER Form'!V54,"")</f>
        <v/>
      </c>
      <c r="F53" s="1" t="str">
        <f ca="1">IFERROR('ORDER Form'!W54,"")</f>
        <v/>
      </c>
      <c r="G53" s="1" t="str">
        <f ca="1">IFERROR('ORDER Form'!X54,"")</f>
        <v/>
      </c>
      <c r="H53" s="1" t="str">
        <f>IFERROR('ORDER Form'!Y54,"")</f>
        <v/>
      </c>
    </row>
    <row r="54" spans="1:8" ht="15" customHeight="1" x14ac:dyDescent="0.25">
      <c r="A54" s="6" t="str">
        <f>IFERROR(IF('ORDER Form'!V55="","",55),"")</f>
        <v/>
      </c>
      <c r="B54" s="6" t="str">
        <f>IFERROR(IF('ORDER Form'!V55="","",IFERROR(INDEX('PRODUCT DATA'!$A$2:$A$58,MATCH('ORDER Form'!$N55,'PRODUCT DATA'!$B$2:$B$58,0)),'ORDER Form'!$M55)&amp;""),"")</f>
        <v/>
      </c>
      <c r="C54" s="6" t="str">
        <f>IFERROR(IF('ORDER Form'!V55="","",'ORDER Form'!A55&amp;""),"")</f>
        <v/>
      </c>
      <c r="D54" s="6" t="str">
        <f>IFERROR(IF('ORDER Form'!V55="","",'ORDER Form'!D55&amp;""),"")</f>
        <v/>
      </c>
      <c r="E54" s="6" t="str">
        <f>IFERROR('ORDER Form'!V55,"")</f>
        <v/>
      </c>
      <c r="F54" s="1" t="str">
        <f ca="1">IFERROR('ORDER Form'!W55,"")</f>
        <v/>
      </c>
      <c r="G54" s="1" t="str">
        <f ca="1">IFERROR('ORDER Form'!X55,"")</f>
        <v/>
      </c>
      <c r="H54" s="1" t="str">
        <f>IFERROR('ORDER Form'!Y55,"")</f>
        <v/>
      </c>
    </row>
    <row r="55" spans="1:8" ht="15" customHeight="1" x14ac:dyDescent="0.25">
      <c r="A55" s="6" t="str">
        <f>IFERROR(IF('ORDER Form'!V56="","",56),"")</f>
        <v/>
      </c>
      <c r="B55" s="6" t="str">
        <f>IFERROR(IF('ORDER Form'!V56="","",IFERROR(INDEX('PRODUCT DATA'!$A$2:$A$58,MATCH('ORDER Form'!$N56,'PRODUCT DATA'!$B$2:$B$58,0)),'ORDER Form'!$M56)&amp;""),"")</f>
        <v/>
      </c>
      <c r="C55" s="6" t="str">
        <f>IFERROR(IF('ORDER Form'!V56="","",'ORDER Form'!A56&amp;""),"")</f>
        <v/>
      </c>
      <c r="D55" s="6" t="str">
        <f>IFERROR(IF('ORDER Form'!V56="","",'ORDER Form'!D56&amp;""),"")</f>
        <v/>
      </c>
      <c r="E55" s="6" t="str">
        <f>IFERROR('ORDER Form'!V56,"")</f>
        <v/>
      </c>
      <c r="F55" s="1" t="str">
        <f ca="1">IFERROR('ORDER Form'!W56,"")</f>
        <v/>
      </c>
      <c r="G55" s="1" t="str">
        <f ca="1">IFERROR('ORDER Form'!X56,"")</f>
        <v/>
      </c>
      <c r="H55" s="1" t="str">
        <f>IFERROR('ORDER Form'!Y56,"")</f>
        <v/>
      </c>
    </row>
    <row r="56" spans="1:8" ht="15" customHeight="1" x14ac:dyDescent="0.25">
      <c r="A56" s="6" t="str">
        <f>IFERROR(IF('ORDER Form'!V57="","",57),"")</f>
        <v/>
      </c>
      <c r="B56" s="6" t="str">
        <f>IFERROR(IF('ORDER Form'!V57="","",IFERROR(INDEX('PRODUCT DATA'!$A$2:$A$58,MATCH('ORDER Form'!$N57,'PRODUCT DATA'!$B$2:$B$58,0)),'ORDER Form'!$M57)&amp;""),"")</f>
        <v/>
      </c>
      <c r="C56" s="6" t="str">
        <f>IFERROR(IF('ORDER Form'!V57="","",'ORDER Form'!A57&amp;""),"")</f>
        <v/>
      </c>
      <c r="D56" s="6" t="str">
        <f>IFERROR(IF('ORDER Form'!V57="","",'ORDER Form'!D57&amp;""),"")</f>
        <v/>
      </c>
      <c r="E56" s="6" t="str">
        <f>IFERROR('ORDER Form'!V57,"")</f>
        <v/>
      </c>
      <c r="F56" s="1" t="str">
        <f ca="1">IFERROR('ORDER Form'!W57,"")</f>
        <v/>
      </c>
      <c r="G56" s="1" t="str">
        <f ca="1">IFERROR('ORDER Form'!X57,"")</f>
        <v/>
      </c>
      <c r="H56" s="1" t="str">
        <f>IFERROR('ORDER Form'!Y57,"")</f>
        <v/>
      </c>
    </row>
    <row r="57" spans="1:8" ht="15" customHeight="1" x14ac:dyDescent="0.25">
      <c r="A57" s="6" t="str">
        <f>IFERROR(IF('ORDER Form'!V58="","",58),"")</f>
        <v/>
      </c>
      <c r="B57" s="6" t="str">
        <f>IFERROR(IF('ORDER Form'!V58="","",IFERROR(INDEX('PRODUCT DATA'!$A$2:$A$58,MATCH('ORDER Form'!$N58,'PRODUCT DATA'!$B$2:$B$58,0)),'ORDER Form'!$M58)&amp;""),"")</f>
        <v/>
      </c>
      <c r="C57" s="6" t="str">
        <f>IFERROR(IF('ORDER Form'!V58="","",'ORDER Form'!A58&amp;""),"")</f>
        <v/>
      </c>
      <c r="D57" s="6" t="str">
        <f>IFERROR(IF('ORDER Form'!V58="","",'ORDER Form'!D58&amp;""),"")</f>
        <v/>
      </c>
      <c r="E57" s="6" t="str">
        <f>IFERROR('ORDER Form'!V58,"")</f>
        <v/>
      </c>
      <c r="F57" s="1" t="str">
        <f ca="1">IFERROR('ORDER Form'!W58,"")</f>
        <v/>
      </c>
      <c r="G57" s="1" t="str">
        <f ca="1">IFERROR('ORDER Form'!X58,"")</f>
        <v/>
      </c>
      <c r="H57" s="1" t="str">
        <f>IFERROR('ORDER Form'!Y58,"")</f>
        <v/>
      </c>
    </row>
    <row r="58" spans="1:8" ht="15" customHeight="1" x14ac:dyDescent="0.25">
      <c r="A58" s="6" t="str">
        <f>IFERROR(IF('ORDER Form'!V59="","",59),"")</f>
        <v/>
      </c>
      <c r="B58" s="6" t="str">
        <f>IFERROR(IF('ORDER Form'!V59="","",IFERROR(INDEX('PRODUCT DATA'!$A$2:$A$58,MATCH('ORDER Form'!$N59,'PRODUCT DATA'!$B$2:$B$58,0)),'ORDER Form'!$M59)&amp;""),"")</f>
        <v/>
      </c>
      <c r="C58" s="6" t="str">
        <f>IFERROR(IF('ORDER Form'!V59="","",'ORDER Form'!A59&amp;""),"")</f>
        <v/>
      </c>
      <c r="D58" s="6" t="str">
        <f>IFERROR(IF('ORDER Form'!V59="","",'ORDER Form'!D59&amp;""),"")</f>
        <v/>
      </c>
      <c r="E58" s="6" t="str">
        <f>IFERROR('ORDER Form'!V59,"")</f>
        <v/>
      </c>
      <c r="F58" s="1" t="str">
        <f ca="1">IFERROR('ORDER Form'!W59,"")</f>
        <v/>
      </c>
      <c r="G58" s="1" t="str">
        <f ca="1">IFERROR('ORDER Form'!X59,"")</f>
        <v/>
      </c>
      <c r="H58" s="1" t="str">
        <f>IFERROR('ORDER Form'!Y59,"")</f>
        <v/>
      </c>
    </row>
    <row r="59" spans="1:8" ht="15" customHeight="1" x14ac:dyDescent="0.25">
      <c r="A59" s="6" t="str">
        <f>IFERROR(IF('ORDER Form'!V60="","",60),"")</f>
        <v/>
      </c>
      <c r="B59" s="6" t="str">
        <f>IFERROR(IF('ORDER Form'!V60="","",IFERROR(INDEX('PRODUCT DATA'!$A$2:$A$58,MATCH('ORDER Form'!$N60,'PRODUCT DATA'!$B$2:$B$58,0)),'ORDER Form'!$M60)&amp;""),"")</f>
        <v/>
      </c>
      <c r="C59" s="6" t="str">
        <f>IFERROR(IF('ORDER Form'!V60="","",'ORDER Form'!A60&amp;""),"")</f>
        <v/>
      </c>
      <c r="D59" s="6" t="str">
        <f>IFERROR(IF('ORDER Form'!V60="","",'ORDER Form'!D60&amp;""),"")</f>
        <v/>
      </c>
      <c r="E59" s="6" t="str">
        <f>IFERROR('ORDER Form'!V60,"")</f>
        <v/>
      </c>
      <c r="F59" s="1" t="str">
        <f ca="1">IFERROR('ORDER Form'!W60,"")</f>
        <v/>
      </c>
      <c r="G59" s="1" t="str">
        <f ca="1">IFERROR('ORDER Form'!X60,"")</f>
        <v/>
      </c>
      <c r="H59" s="1" t="str">
        <f>IFERROR('ORDER Form'!Y60,"")</f>
        <v/>
      </c>
    </row>
    <row r="60" spans="1:8" ht="15" customHeight="1" x14ac:dyDescent="0.25">
      <c r="A60" s="6" t="str">
        <f>IFERROR(IF('ORDER Form'!V61="","",61),"")</f>
        <v/>
      </c>
      <c r="B60" s="6" t="str">
        <f>IFERROR(IF('ORDER Form'!V61="","",IFERROR(INDEX('PRODUCT DATA'!$A$2:$A$58,MATCH('ORDER Form'!$N61,'PRODUCT DATA'!$B$2:$B$58,0)),'ORDER Form'!$M61)&amp;""),"")</f>
        <v/>
      </c>
      <c r="C60" s="6" t="str">
        <f>IFERROR(IF('ORDER Form'!V61="","",'ORDER Form'!A61&amp;""),"")</f>
        <v/>
      </c>
      <c r="D60" s="6" t="str">
        <f>IFERROR(IF('ORDER Form'!V61="","",'ORDER Form'!D61&amp;""),"")</f>
        <v/>
      </c>
      <c r="E60" s="6" t="str">
        <f>IFERROR('ORDER Form'!V61,"")</f>
        <v/>
      </c>
      <c r="F60" s="1" t="str">
        <f ca="1">IFERROR('ORDER Form'!W61,"")</f>
        <v/>
      </c>
      <c r="G60" s="1" t="str">
        <f ca="1">IFERROR('ORDER Form'!X61,"")</f>
        <v/>
      </c>
      <c r="H60" s="1" t="str">
        <f>IFERROR('ORDER Form'!Y61,"")</f>
        <v/>
      </c>
    </row>
    <row r="61" spans="1:8" ht="15" customHeight="1" x14ac:dyDescent="0.25">
      <c r="A61" s="6" t="str">
        <f>IFERROR(IF('ORDER Form'!V62="","",62),"")</f>
        <v/>
      </c>
      <c r="B61" s="6" t="str">
        <f>IFERROR(IF('ORDER Form'!V62="","",IFERROR(INDEX('PRODUCT DATA'!$A$2:$A$58,MATCH('ORDER Form'!$N62,'PRODUCT DATA'!$B$2:$B$58,0)),'ORDER Form'!$M62)&amp;""),"")</f>
        <v/>
      </c>
      <c r="C61" s="6" t="str">
        <f>IFERROR(IF('ORDER Form'!V62="","",'ORDER Form'!A62&amp;""),"")</f>
        <v/>
      </c>
      <c r="D61" s="6" t="str">
        <f>IFERROR(IF('ORDER Form'!V62="","",'ORDER Form'!D62&amp;""),"")</f>
        <v/>
      </c>
      <c r="E61" s="6" t="str">
        <f>IFERROR('ORDER Form'!V62,"")</f>
        <v/>
      </c>
      <c r="F61" s="1" t="str">
        <f ca="1">IFERROR('ORDER Form'!W62,"")</f>
        <v/>
      </c>
      <c r="G61" s="1" t="str">
        <f ca="1">IFERROR('ORDER Form'!X62,"")</f>
        <v/>
      </c>
      <c r="H61" s="1" t="str">
        <f>IFERROR('ORDER Form'!Y62,"")</f>
        <v/>
      </c>
    </row>
    <row r="62" spans="1:8" ht="15" customHeight="1" x14ac:dyDescent="0.25">
      <c r="A62" s="6" t="str">
        <f>IFERROR(IF('ORDER Form'!V63="","",63),"")</f>
        <v/>
      </c>
      <c r="B62" s="6" t="str">
        <f>IFERROR(IF('ORDER Form'!V63="","",IFERROR(INDEX('PRODUCT DATA'!$A$2:$A$58,MATCH('ORDER Form'!$N63,'PRODUCT DATA'!$B$2:$B$58,0)),'ORDER Form'!$M63)&amp;""),"")</f>
        <v/>
      </c>
      <c r="C62" s="6" t="str">
        <f>IFERROR(IF('ORDER Form'!V63="","",'ORDER Form'!A63&amp;""),"")</f>
        <v/>
      </c>
      <c r="D62" s="6" t="str">
        <f>IFERROR(IF('ORDER Form'!V63="","",'ORDER Form'!D63&amp;""),"")</f>
        <v/>
      </c>
      <c r="E62" s="6" t="str">
        <f>IFERROR('ORDER Form'!V63,"")</f>
        <v/>
      </c>
      <c r="F62" s="1" t="str">
        <f ca="1">IFERROR('ORDER Form'!W63,"")</f>
        <v/>
      </c>
      <c r="G62" s="1" t="str">
        <f ca="1">IFERROR('ORDER Form'!X63,"")</f>
        <v/>
      </c>
      <c r="H62" s="1" t="str">
        <f>IFERROR('ORDER Form'!Y63,"")</f>
        <v/>
      </c>
    </row>
    <row r="63" spans="1:8" ht="15" customHeight="1" x14ac:dyDescent="0.25">
      <c r="A63" s="6" t="str">
        <f>IFERROR(IF('ORDER Form'!V64="","",64),"")</f>
        <v/>
      </c>
      <c r="B63" s="6" t="str">
        <f>IFERROR(IF('ORDER Form'!V64="","",IFERROR(INDEX('PRODUCT DATA'!$A$2:$A$58,MATCH('ORDER Form'!$N64,'PRODUCT DATA'!$B$2:$B$58,0)),'ORDER Form'!$M64)&amp;""),"")</f>
        <v/>
      </c>
      <c r="C63" s="6" t="str">
        <f>IFERROR(IF('ORDER Form'!V64="","",'ORDER Form'!A64&amp;""),"")</f>
        <v/>
      </c>
      <c r="D63" s="6" t="str">
        <f>IFERROR(IF('ORDER Form'!V64="","",'ORDER Form'!D64&amp;""),"")</f>
        <v/>
      </c>
      <c r="E63" s="6" t="str">
        <f>IFERROR('ORDER Form'!V64,"")</f>
        <v/>
      </c>
      <c r="F63" s="1" t="str">
        <f ca="1">IFERROR('ORDER Form'!W64,"")</f>
        <v/>
      </c>
      <c r="G63" s="1" t="str">
        <f ca="1">IFERROR('ORDER Form'!X64,"")</f>
        <v/>
      </c>
      <c r="H63" s="1" t="str">
        <f>IFERROR('ORDER Form'!Y64,"")</f>
        <v/>
      </c>
    </row>
    <row r="64" spans="1:8" ht="15" customHeight="1" x14ac:dyDescent="0.25">
      <c r="A64" s="6" t="str">
        <f>IFERROR(IF('ORDER Form'!V65="","",65),"")</f>
        <v/>
      </c>
      <c r="B64" s="6" t="str">
        <f>IFERROR(IF('ORDER Form'!V65="","",IFERROR(INDEX('PRODUCT DATA'!$A$2:$A$58,MATCH('ORDER Form'!$N65,'PRODUCT DATA'!$B$2:$B$58,0)),'ORDER Form'!$M65)&amp;""),"")</f>
        <v/>
      </c>
      <c r="C64" s="6" t="str">
        <f>IFERROR(IF('ORDER Form'!V65="","",'ORDER Form'!A65&amp;""),"")</f>
        <v/>
      </c>
      <c r="D64" s="6" t="str">
        <f>IFERROR(IF('ORDER Form'!V65="","",'ORDER Form'!D65&amp;""),"")</f>
        <v/>
      </c>
      <c r="E64" s="6" t="str">
        <f>IFERROR('ORDER Form'!V65,"")</f>
        <v/>
      </c>
      <c r="F64" s="1" t="str">
        <f ca="1">IFERROR('ORDER Form'!W65,"")</f>
        <v/>
      </c>
      <c r="G64" s="1" t="str">
        <f ca="1">IFERROR('ORDER Form'!X65,"")</f>
        <v/>
      </c>
      <c r="H64" s="1" t="str">
        <f>IFERROR('ORDER Form'!Y65,"")</f>
        <v/>
      </c>
    </row>
    <row r="65" spans="1:8" ht="15" customHeight="1" x14ac:dyDescent="0.25">
      <c r="A65" s="6" t="str">
        <f>IFERROR(IF('ORDER Form'!V66="","",66),"")</f>
        <v/>
      </c>
      <c r="B65" s="6" t="str">
        <f>IFERROR(IF('ORDER Form'!V66="","",IFERROR(INDEX('PRODUCT DATA'!$A$2:$A$58,MATCH('ORDER Form'!$N66,'PRODUCT DATA'!$B$2:$B$58,0)),'ORDER Form'!$M66)&amp;""),"")</f>
        <v/>
      </c>
      <c r="C65" s="6" t="str">
        <f>IFERROR(IF('ORDER Form'!V66="","",'ORDER Form'!A66&amp;""),"")</f>
        <v/>
      </c>
      <c r="D65" s="6" t="str">
        <f>IFERROR(IF('ORDER Form'!V66="","",'ORDER Form'!D66&amp;""),"")</f>
        <v/>
      </c>
      <c r="E65" s="6" t="str">
        <f>IFERROR('ORDER Form'!V66,"")</f>
        <v/>
      </c>
      <c r="F65" s="1" t="str">
        <f ca="1">IFERROR('ORDER Form'!W66,"")</f>
        <v/>
      </c>
      <c r="G65" s="1" t="str">
        <f ca="1">IFERROR('ORDER Form'!X66,"")</f>
        <v/>
      </c>
      <c r="H65" s="1" t="str">
        <f>IFERROR('ORDER Form'!Y66,"")</f>
        <v/>
      </c>
    </row>
    <row r="66" spans="1:8" ht="15" customHeight="1" x14ac:dyDescent="0.25">
      <c r="A66" s="6" t="str">
        <f>IFERROR(IF('ORDER Form'!V67="","",67),"")</f>
        <v/>
      </c>
      <c r="B66" s="6" t="str">
        <f>IFERROR(IF('ORDER Form'!V67="","",IFERROR(INDEX('PRODUCT DATA'!$A$2:$A$58,MATCH('ORDER Form'!$N67,'PRODUCT DATA'!$B$2:$B$58,0)),'ORDER Form'!$M67)&amp;""),"")</f>
        <v/>
      </c>
      <c r="C66" s="6" t="str">
        <f>IFERROR(IF('ORDER Form'!V67="","",'ORDER Form'!A67&amp;""),"")</f>
        <v/>
      </c>
      <c r="D66" s="6" t="str">
        <f>IFERROR(IF('ORDER Form'!V67="","",'ORDER Form'!D67&amp;""),"")</f>
        <v/>
      </c>
      <c r="E66" s="6" t="str">
        <f>IFERROR('ORDER Form'!V67,"")</f>
        <v/>
      </c>
      <c r="F66" s="1" t="str">
        <f ca="1">IFERROR('ORDER Form'!W67,"")</f>
        <v/>
      </c>
      <c r="G66" s="1" t="str">
        <f ca="1">IFERROR('ORDER Form'!X67,"")</f>
        <v/>
      </c>
      <c r="H66" s="1" t="str">
        <f>IFERROR('ORDER Form'!Y67,"")</f>
        <v/>
      </c>
    </row>
    <row r="67" spans="1:8" ht="15" customHeight="1" x14ac:dyDescent="0.25">
      <c r="A67" s="6" t="str">
        <f>IFERROR(IF('ORDER Form'!V68="","",68),"")</f>
        <v/>
      </c>
      <c r="B67" s="6" t="str">
        <f>IFERROR(IF('ORDER Form'!V68="","",IFERROR(INDEX('PRODUCT DATA'!$A$2:$A$58,MATCH('ORDER Form'!$N68,'PRODUCT DATA'!$B$2:$B$58,0)),'ORDER Form'!$M68)&amp;""),"")</f>
        <v/>
      </c>
      <c r="C67" s="6" t="str">
        <f>IFERROR(IF('ORDER Form'!V68="","",'ORDER Form'!A68&amp;""),"")</f>
        <v/>
      </c>
      <c r="D67" s="6" t="str">
        <f>IFERROR(IF('ORDER Form'!V68="","",'ORDER Form'!D68&amp;""),"")</f>
        <v/>
      </c>
      <c r="E67" s="6" t="str">
        <f>IFERROR('ORDER Form'!V68,"")</f>
        <v/>
      </c>
      <c r="F67" s="1" t="str">
        <f ca="1">IFERROR('ORDER Form'!W68,"")</f>
        <v/>
      </c>
      <c r="G67" s="1" t="str">
        <f ca="1">IFERROR('ORDER Form'!X68,"")</f>
        <v/>
      </c>
      <c r="H67" s="1" t="str">
        <f>IFERROR('ORDER Form'!Y68,"")</f>
        <v/>
      </c>
    </row>
    <row r="68" spans="1:8" ht="15" customHeight="1" x14ac:dyDescent="0.25">
      <c r="A68" s="6" t="str">
        <f>IFERROR(IF('ORDER Form'!V69="","",69),"")</f>
        <v/>
      </c>
      <c r="B68" s="6" t="str">
        <f>IFERROR(IF('ORDER Form'!V69="","",IFERROR(INDEX('PRODUCT DATA'!$A$2:$A$58,MATCH('ORDER Form'!$N69,'PRODUCT DATA'!$B$2:$B$58,0)),'ORDER Form'!$M69)&amp;""),"")</f>
        <v/>
      </c>
      <c r="C68" s="6" t="str">
        <f>IFERROR(IF('ORDER Form'!V69="","",'ORDER Form'!A69&amp;""),"")</f>
        <v/>
      </c>
      <c r="D68" s="6" t="str">
        <f>IFERROR(IF('ORDER Form'!V69="","",'ORDER Form'!D69&amp;""),"")</f>
        <v/>
      </c>
      <c r="E68" s="6" t="str">
        <f>IFERROR('ORDER Form'!V69,"")</f>
        <v/>
      </c>
      <c r="F68" s="1" t="str">
        <f ca="1">IFERROR('ORDER Form'!W69,"")</f>
        <v/>
      </c>
      <c r="G68" s="1" t="str">
        <f ca="1">IFERROR('ORDER Form'!X69,"")</f>
        <v/>
      </c>
      <c r="H68" s="1" t="str">
        <f>IFERROR('ORDER Form'!Y69,"")</f>
        <v/>
      </c>
    </row>
    <row r="69" spans="1:8" ht="15" customHeight="1" x14ac:dyDescent="0.25">
      <c r="A69" s="6" t="str">
        <f>IFERROR(IF('ORDER Form'!V70="","",70),"")</f>
        <v/>
      </c>
      <c r="B69" s="6" t="str">
        <f>IFERROR(IF('ORDER Form'!V70="","",IFERROR(INDEX('PRODUCT DATA'!$A$2:$A$58,MATCH('ORDER Form'!$N70,'PRODUCT DATA'!$B$2:$B$58,0)),'ORDER Form'!$M70)&amp;""),"")</f>
        <v/>
      </c>
      <c r="C69" s="6" t="str">
        <f>IFERROR(IF('ORDER Form'!V70="","",'ORDER Form'!A70&amp;""),"")</f>
        <v/>
      </c>
      <c r="D69" s="6" t="str">
        <f>IFERROR(IF('ORDER Form'!V70="","",'ORDER Form'!D70&amp;""),"")</f>
        <v/>
      </c>
      <c r="E69" s="6" t="str">
        <f>IFERROR('ORDER Form'!V70,"")</f>
        <v/>
      </c>
      <c r="F69" s="1" t="str">
        <f ca="1">IFERROR('ORDER Form'!W70,"")</f>
        <v/>
      </c>
      <c r="G69" s="1" t="str">
        <f ca="1">IFERROR('ORDER Form'!X70,"")</f>
        <v/>
      </c>
      <c r="H69" s="1" t="str">
        <f>IFERROR('ORDER Form'!Y70,"")</f>
        <v/>
      </c>
    </row>
    <row r="70" spans="1:8" ht="15" customHeight="1" x14ac:dyDescent="0.25">
      <c r="A70" s="6" t="str">
        <f>IFERROR(IF('ORDER Form'!V71="","",71),"")</f>
        <v/>
      </c>
      <c r="B70" s="6" t="str">
        <f>IFERROR(IF('ORDER Form'!V71="","",IFERROR(INDEX('PRODUCT DATA'!$A$2:$A$58,MATCH('ORDER Form'!$N71,'PRODUCT DATA'!$B$2:$B$58,0)),'ORDER Form'!$M71)&amp;""),"")</f>
        <v/>
      </c>
      <c r="C70" s="6" t="str">
        <f>IFERROR(IF('ORDER Form'!V71="","",'ORDER Form'!A71&amp;""),"")</f>
        <v/>
      </c>
      <c r="D70" s="6" t="str">
        <f>IFERROR(IF('ORDER Form'!V71="","",'ORDER Form'!D71&amp;""),"")</f>
        <v/>
      </c>
      <c r="E70" s="6" t="str">
        <f>IFERROR('ORDER Form'!V71,"")</f>
        <v/>
      </c>
      <c r="F70" s="1" t="str">
        <f ca="1">IFERROR('ORDER Form'!W71,"")</f>
        <v/>
      </c>
      <c r="G70" s="1" t="str">
        <f ca="1">IFERROR('ORDER Form'!X71,"")</f>
        <v/>
      </c>
      <c r="H70" s="1" t="str">
        <f>IFERROR('ORDER Form'!Y71,"")</f>
        <v/>
      </c>
    </row>
    <row r="71" spans="1:8" ht="15" customHeight="1" x14ac:dyDescent="0.25">
      <c r="A71" s="6" t="str">
        <f>IFERROR(IF('ORDER Form'!V72="","",72),"")</f>
        <v/>
      </c>
      <c r="B71" s="6" t="str">
        <f>IFERROR(IF('ORDER Form'!V72="","",IFERROR(INDEX('PRODUCT DATA'!$A$2:$A$58,MATCH('ORDER Form'!$N72,'PRODUCT DATA'!$B$2:$B$58,0)),'ORDER Form'!$M72)&amp;""),"")</f>
        <v/>
      </c>
      <c r="C71" s="6" t="str">
        <f>IFERROR(IF('ORDER Form'!V72="","",'ORDER Form'!A72&amp;""),"")</f>
        <v/>
      </c>
      <c r="D71" s="6" t="str">
        <f>IFERROR(IF('ORDER Form'!V72="","",'ORDER Form'!D72&amp;""),"")</f>
        <v/>
      </c>
      <c r="E71" s="6" t="str">
        <f>IFERROR('ORDER Form'!V72,"")</f>
        <v/>
      </c>
      <c r="F71" s="1" t="str">
        <f ca="1">IFERROR('ORDER Form'!W72,"")</f>
        <v/>
      </c>
      <c r="G71" s="1" t="str">
        <f ca="1">IFERROR('ORDER Form'!X72,"")</f>
        <v/>
      </c>
      <c r="H71" s="1" t="str">
        <f>IFERROR('ORDER Form'!Y72,"")</f>
        <v/>
      </c>
    </row>
    <row r="72" spans="1:8" ht="15" customHeight="1" x14ac:dyDescent="0.25">
      <c r="A72" s="6" t="str">
        <f>IFERROR(IF('ORDER Form'!V73="","",73),"")</f>
        <v/>
      </c>
      <c r="B72" s="6" t="str">
        <f>IFERROR(IF('ORDER Form'!V73="","",IFERROR(INDEX('PRODUCT DATA'!$A$2:$A$58,MATCH('ORDER Form'!$N73,'PRODUCT DATA'!$B$2:$B$58,0)),'ORDER Form'!$M73)&amp;""),"")</f>
        <v/>
      </c>
      <c r="C72" s="6" t="str">
        <f>IFERROR(IF('ORDER Form'!V73="","",'ORDER Form'!A73&amp;""),"")</f>
        <v/>
      </c>
      <c r="D72" s="6" t="str">
        <f>IFERROR(IF('ORDER Form'!V73="","",'ORDER Form'!D73&amp;""),"")</f>
        <v/>
      </c>
      <c r="E72" s="6" t="str">
        <f>IFERROR('ORDER Form'!V73,"")</f>
        <v/>
      </c>
      <c r="F72" s="1" t="str">
        <f ca="1">IFERROR('ORDER Form'!W73,"")</f>
        <v/>
      </c>
      <c r="G72" s="1" t="str">
        <f ca="1">IFERROR('ORDER Form'!X73,"")</f>
        <v/>
      </c>
      <c r="H72" s="1" t="str">
        <f>IFERROR('ORDER Form'!Y73,"")</f>
        <v/>
      </c>
    </row>
    <row r="73" spans="1:8" ht="15" customHeight="1" x14ac:dyDescent="0.25">
      <c r="A73" s="6" t="str">
        <f>IFERROR(IF('ORDER Form'!V74="","",74),"")</f>
        <v/>
      </c>
      <c r="B73" s="6" t="str">
        <f>IFERROR(IF('ORDER Form'!V74="","",IFERROR(INDEX('PRODUCT DATA'!$A$2:$A$58,MATCH('ORDER Form'!$N74,'PRODUCT DATA'!$B$2:$B$58,0)),'ORDER Form'!$M74)&amp;""),"")</f>
        <v/>
      </c>
      <c r="C73" s="6" t="str">
        <f>IFERROR(IF('ORDER Form'!V74="","",'ORDER Form'!A74&amp;""),"")</f>
        <v/>
      </c>
      <c r="D73" s="6" t="str">
        <f>IFERROR(IF('ORDER Form'!V74="","",'ORDER Form'!D74&amp;""),"")</f>
        <v/>
      </c>
      <c r="E73" s="6" t="str">
        <f>IFERROR('ORDER Form'!V74,"")</f>
        <v/>
      </c>
      <c r="F73" s="1" t="str">
        <f ca="1">IFERROR('ORDER Form'!W74,"")</f>
        <v/>
      </c>
      <c r="G73" s="1" t="str">
        <f ca="1">IFERROR('ORDER Form'!X74,"")</f>
        <v/>
      </c>
      <c r="H73" s="1" t="str">
        <f>IFERROR('ORDER Form'!Y74,"")</f>
        <v/>
      </c>
    </row>
    <row r="74" spans="1:8" ht="15" customHeight="1" x14ac:dyDescent="0.25">
      <c r="A74" s="6" t="str">
        <f>IFERROR(IF('ORDER Form'!V75="","",75),"")</f>
        <v/>
      </c>
      <c r="B74" s="6" t="str">
        <f>IFERROR(IF('ORDER Form'!V75="","",IFERROR(INDEX('PRODUCT DATA'!$A$2:$A$58,MATCH('ORDER Form'!$N75,'PRODUCT DATA'!$B$2:$B$58,0)),'ORDER Form'!$M75)&amp;""),"")</f>
        <v/>
      </c>
      <c r="C74" s="6" t="str">
        <f>IFERROR(IF('ORDER Form'!V75="","",'ORDER Form'!A75&amp;""),"")</f>
        <v/>
      </c>
      <c r="D74" s="6" t="str">
        <f>IFERROR(IF('ORDER Form'!V75="","",'ORDER Form'!D75&amp;""),"")</f>
        <v/>
      </c>
      <c r="E74" s="6" t="str">
        <f>IFERROR('ORDER Form'!V75,"")</f>
        <v/>
      </c>
      <c r="F74" s="1" t="str">
        <f ca="1">IFERROR('ORDER Form'!W75,"")</f>
        <v/>
      </c>
      <c r="G74" s="1" t="str">
        <f ca="1">IFERROR('ORDER Form'!X75,"")</f>
        <v/>
      </c>
      <c r="H74" s="1" t="str">
        <f>IFERROR('ORDER Form'!Y75,"")</f>
        <v/>
      </c>
    </row>
    <row r="75" spans="1:8" ht="15" customHeight="1" x14ac:dyDescent="0.25">
      <c r="A75" s="6" t="str">
        <f>IFERROR(IF('ORDER Form'!V76="","",76),"")</f>
        <v/>
      </c>
      <c r="B75" s="6" t="str">
        <f>IFERROR(IF('ORDER Form'!V76="","",IFERROR(INDEX('PRODUCT DATA'!$A$2:$A$58,MATCH('ORDER Form'!$N76,'PRODUCT DATA'!$B$2:$B$58,0)),'ORDER Form'!$M76)&amp;""),"")</f>
        <v/>
      </c>
      <c r="C75" s="6" t="str">
        <f>IFERROR(IF('ORDER Form'!V76="","",'ORDER Form'!A76&amp;""),"")</f>
        <v/>
      </c>
      <c r="D75" s="6" t="str">
        <f>IFERROR(IF('ORDER Form'!V76="","",'ORDER Form'!D76&amp;""),"")</f>
        <v/>
      </c>
      <c r="E75" s="6" t="str">
        <f>IFERROR('ORDER Form'!V76,"")</f>
        <v/>
      </c>
      <c r="F75" s="1" t="str">
        <f ca="1">IFERROR('ORDER Form'!W76,"")</f>
        <v/>
      </c>
      <c r="G75" s="1" t="str">
        <f ca="1">IFERROR('ORDER Form'!X76,"")</f>
        <v/>
      </c>
      <c r="H75" s="1" t="str">
        <f>IFERROR('ORDER Form'!Y76,"")</f>
        <v/>
      </c>
    </row>
    <row r="76" spans="1:8" ht="15" customHeight="1" x14ac:dyDescent="0.25">
      <c r="A76" s="6" t="str">
        <f>IFERROR(IF('ORDER Form'!V77="","",77),"")</f>
        <v/>
      </c>
      <c r="B76" s="6" t="str">
        <f>IFERROR(IF('ORDER Form'!V77="","",IFERROR(INDEX('PRODUCT DATA'!$A$2:$A$58,MATCH('ORDER Form'!$N77,'PRODUCT DATA'!$B$2:$B$58,0)),'ORDER Form'!$M77)&amp;""),"")</f>
        <v/>
      </c>
      <c r="C76" s="6" t="str">
        <f>IFERROR(IF('ORDER Form'!V77="","",'ORDER Form'!A77&amp;""),"")</f>
        <v/>
      </c>
      <c r="D76" s="6" t="str">
        <f>IFERROR(IF('ORDER Form'!V77="","",'ORDER Form'!D77&amp;""),"")</f>
        <v/>
      </c>
      <c r="E76" s="6" t="str">
        <f>IFERROR('ORDER Form'!V77,"")</f>
        <v/>
      </c>
      <c r="F76" s="1" t="str">
        <f ca="1">IFERROR('ORDER Form'!W77,"")</f>
        <v/>
      </c>
      <c r="G76" s="1" t="str">
        <f ca="1">IFERROR('ORDER Form'!X77,"")</f>
        <v/>
      </c>
      <c r="H76" s="1" t="str">
        <f>IFERROR('ORDER Form'!Y77,"")</f>
        <v/>
      </c>
    </row>
    <row r="77" spans="1:8" ht="15" customHeight="1" x14ac:dyDescent="0.25">
      <c r="A77" s="6" t="str">
        <f>IFERROR(IF('ORDER Form'!V78="","",78),"")</f>
        <v/>
      </c>
      <c r="B77" s="6" t="str">
        <f>IFERROR(IF('ORDER Form'!V78="","",IFERROR(INDEX('PRODUCT DATA'!$A$2:$A$58,MATCH('ORDER Form'!$N78,'PRODUCT DATA'!$B$2:$B$58,0)),'ORDER Form'!$M78)&amp;""),"")</f>
        <v/>
      </c>
      <c r="C77" s="6" t="str">
        <f>IFERROR(IF('ORDER Form'!V78="","",'ORDER Form'!A78&amp;""),"")</f>
        <v/>
      </c>
      <c r="D77" s="6" t="str">
        <f>IFERROR(IF('ORDER Form'!V78="","",'ORDER Form'!D78&amp;""),"")</f>
        <v/>
      </c>
      <c r="E77" s="6" t="str">
        <f>IFERROR('ORDER Form'!V78,"")</f>
        <v/>
      </c>
      <c r="F77" s="1" t="str">
        <f ca="1">IFERROR('ORDER Form'!W78,"")</f>
        <v/>
      </c>
      <c r="G77" s="1" t="str">
        <f ca="1">IFERROR('ORDER Form'!X78,"")</f>
        <v/>
      </c>
      <c r="H77" s="1" t="str">
        <f>IFERROR('ORDER Form'!Y78,"")</f>
        <v/>
      </c>
    </row>
    <row r="78" spans="1:8" ht="15" customHeight="1" x14ac:dyDescent="0.25">
      <c r="A78" s="6" t="str">
        <f>IFERROR(IF('ORDER Form'!V79="","",79),"")</f>
        <v/>
      </c>
      <c r="B78" s="6" t="str">
        <f>IFERROR(IF('ORDER Form'!V79="","",IFERROR(INDEX('PRODUCT DATA'!$A$2:$A$58,MATCH('ORDER Form'!$N79,'PRODUCT DATA'!$B$2:$B$58,0)),'ORDER Form'!$M79)&amp;""),"")</f>
        <v/>
      </c>
      <c r="C78" s="6" t="str">
        <f>IFERROR(IF('ORDER Form'!V79="","",'ORDER Form'!A79&amp;""),"")</f>
        <v/>
      </c>
      <c r="D78" s="6" t="str">
        <f>IFERROR(IF('ORDER Form'!V79="","",'ORDER Form'!D79&amp;""),"")</f>
        <v/>
      </c>
      <c r="E78" s="6" t="str">
        <f>IFERROR('ORDER Form'!V79,"")</f>
        <v/>
      </c>
      <c r="F78" s="1" t="str">
        <f ca="1">IFERROR('ORDER Form'!W79,"")</f>
        <v/>
      </c>
      <c r="G78" s="1" t="str">
        <f ca="1">IFERROR('ORDER Form'!X79,"")</f>
        <v/>
      </c>
      <c r="H78" s="1" t="str">
        <f>IFERROR('ORDER Form'!Y79,"")</f>
        <v/>
      </c>
    </row>
    <row r="79" spans="1:8" ht="15" customHeight="1" x14ac:dyDescent="0.25">
      <c r="A79" s="6" t="str">
        <f>IFERROR(IF('ORDER Form'!V80="","",80),"")</f>
        <v/>
      </c>
      <c r="B79" s="6" t="str">
        <f>IFERROR(IF('ORDER Form'!V80="","",IFERROR(INDEX('PRODUCT DATA'!$A$2:$A$58,MATCH('ORDER Form'!$N80,'PRODUCT DATA'!$B$2:$B$58,0)),'ORDER Form'!$M80)&amp;""),"")</f>
        <v/>
      </c>
      <c r="C79" s="6" t="str">
        <f>IFERROR(IF('ORDER Form'!V80="","",'ORDER Form'!A80&amp;""),"")</f>
        <v/>
      </c>
      <c r="D79" s="6" t="str">
        <f>IFERROR(IF('ORDER Form'!V80="","",'ORDER Form'!D80&amp;""),"")</f>
        <v/>
      </c>
      <c r="E79" s="6" t="str">
        <f>IFERROR('ORDER Form'!V80,"")</f>
        <v/>
      </c>
      <c r="F79" s="1" t="str">
        <f ca="1">IFERROR('ORDER Form'!W80,"")</f>
        <v/>
      </c>
      <c r="G79" s="1" t="str">
        <f ca="1">IFERROR('ORDER Form'!X80,"")</f>
        <v/>
      </c>
      <c r="H79" s="1" t="str">
        <f>IFERROR('ORDER Form'!Y80,"")</f>
        <v/>
      </c>
    </row>
    <row r="80" spans="1:8" ht="15" customHeight="1" x14ac:dyDescent="0.25">
      <c r="A80" s="6" t="str">
        <f>IFERROR(IF('ORDER Form'!V81="","",81),"")</f>
        <v/>
      </c>
      <c r="B80" s="6" t="str">
        <f>IFERROR(IF('ORDER Form'!V81="","",IFERROR(INDEX('PRODUCT DATA'!$A$2:$A$58,MATCH('ORDER Form'!$N81,'PRODUCT DATA'!$B$2:$B$58,0)),'ORDER Form'!$M81)&amp;""),"")</f>
        <v/>
      </c>
      <c r="C80" s="6" t="str">
        <f>IFERROR(IF('ORDER Form'!V81="","",'ORDER Form'!A81&amp;""),"")</f>
        <v/>
      </c>
      <c r="D80" s="6" t="str">
        <f>IFERROR(IF('ORDER Form'!V81="","",'ORDER Form'!D81&amp;""),"")</f>
        <v/>
      </c>
      <c r="E80" s="6" t="str">
        <f>IFERROR('ORDER Form'!V81,"")</f>
        <v/>
      </c>
      <c r="F80" s="1" t="str">
        <f ca="1">IFERROR('ORDER Form'!W81,"")</f>
        <v/>
      </c>
      <c r="G80" s="1" t="str">
        <f ca="1">IFERROR('ORDER Form'!X81,"")</f>
        <v/>
      </c>
      <c r="H80" s="1" t="str">
        <f>IFERROR('ORDER Form'!Y81,"")</f>
        <v/>
      </c>
    </row>
    <row r="81" spans="1:8" ht="15" customHeight="1" x14ac:dyDescent="0.25">
      <c r="A81" s="6" t="str">
        <f>IFERROR(IF('ORDER Form'!V82="","",82),"")</f>
        <v/>
      </c>
      <c r="B81" s="6" t="str">
        <f>IFERROR(IF('ORDER Form'!V82="","",IFERROR(INDEX('PRODUCT DATA'!$A$2:$A$58,MATCH('ORDER Form'!$N82,'PRODUCT DATA'!$B$2:$B$58,0)),'ORDER Form'!$M82)&amp;""),"")</f>
        <v/>
      </c>
      <c r="C81" s="6" t="str">
        <f>IFERROR(IF('ORDER Form'!V82="","",'ORDER Form'!A82&amp;""),"")</f>
        <v/>
      </c>
      <c r="D81" s="6" t="str">
        <f>IFERROR(IF('ORDER Form'!V82="","",'ORDER Form'!D82&amp;""),"")</f>
        <v/>
      </c>
      <c r="E81" s="6" t="str">
        <f>IFERROR('ORDER Form'!V82,"")</f>
        <v/>
      </c>
      <c r="F81" s="1" t="str">
        <f ca="1">IFERROR('ORDER Form'!W82,"")</f>
        <v/>
      </c>
      <c r="G81" s="1" t="str">
        <f ca="1">IFERROR('ORDER Form'!X82,"")</f>
        <v/>
      </c>
      <c r="H81" s="1" t="str">
        <f>IFERROR('ORDER Form'!Y82,"")</f>
        <v/>
      </c>
    </row>
    <row r="82" spans="1:8" ht="15" customHeight="1" x14ac:dyDescent="0.25">
      <c r="A82" s="6" t="str">
        <f>IFERROR(IF('ORDER Form'!V83="","",83),"")</f>
        <v/>
      </c>
      <c r="B82" s="6" t="str">
        <f>IFERROR(IF('ORDER Form'!V83="","",IFERROR(INDEX('PRODUCT DATA'!$A$2:$A$58,MATCH('ORDER Form'!$N83,'PRODUCT DATA'!$B$2:$B$58,0)),'ORDER Form'!$M83)&amp;""),"")</f>
        <v/>
      </c>
      <c r="C82" s="6" t="str">
        <f>IFERROR(IF('ORDER Form'!V83="","",'ORDER Form'!A83&amp;""),"")</f>
        <v/>
      </c>
      <c r="D82" s="6" t="str">
        <f>IFERROR(IF('ORDER Form'!V83="","",'ORDER Form'!D83&amp;""),"")</f>
        <v/>
      </c>
      <c r="E82" s="6" t="str">
        <f>IFERROR('ORDER Form'!V83,"")</f>
        <v/>
      </c>
      <c r="F82" s="1" t="str">
        <f ca="1">IFERROR('ORDER Form'!W83,"")</f>
        <v/>
      </c>
      <c r="G82" s="1" t="str">
        <f ca="1">IFERROR('ORDER Form'!X83,"")</f>
        <v/>
      </c>
      <c r="H82" s="1" t="str">
        <f>IFERROR('ORDER Form'!Y83,"")</f>
        <v/>
      </c>
    </row>
    <row r="83" spans="1:8" ht="15" customHeight="1" x14ac:dyDescent="0.25">
      <c r="A83" s="6" t="str">
        <f>IFERROR(IF('ORDER Form'!V84="","",84),"")</f>
        <v/>
      </c>
      <c r="B83" s="6" t="str">
        <f>IFERROR(IF('ORDER Form'!V84="","",IFERROR(INDEX('PRODUCT DATA'!$A$2:$A$58,MATCH('ORDER Form'!$N84,'PRODUCT DATA'!$B$2:$B$58,0)),'ORDER Form'!$M84)&amp;""),"")</f>
        <v/>
      </c>
      <c r="C83" s="6" t="str">
        <f>IFERROR(IF('ORDER Form'!V84="","",'ORDER Form'!A84&amp;""),"")</f>
        <v/>
      </c>
      <c r="D83" s="6" t="str">
        <f>IFERROR(IF('ORDER Form'!V84="","",'ORDER Form'!D84&amp;""),"")</f>
        <v/>
      </c>
      <c r="E83" s="6" t="str">
        <f>IFERROR('ORDER Form'!V84,"")</f>
        <v/>
      </c>
      <c r="F83" s="1" t="str">
        <f ca="1">IFERROR('ORDER Form'!W84,"")</f>
        <v/>
      </c>
      <c r="G83" s="1" t="str">
        <f ca="1">IFERROR('ORDER Form'!X84,"")</f>
        <v/>
      </c>
      <c r="H83" s="1" t="str">
        <f>IFERROR('ORDER Form'!Y84,"")</f>
        <v/>
      </c>
    </row>
    <row r="84" spans="1:8" ht="15" customHeight="1" x14ac:dyDescent="0.25">
      <c r="A84" s="6" t="str">
        <f>IFERROR(IF('ORDER Form'!V85="","",85),"")</f>
        <v/>
      </c>
      <c r="B84" s="6" t="str">
        <f>IFERROR(IF('ORDER Form'!V85="","",IFERROR(INDEX('PRODUCT DATA'!$A$2:$A$58,MATCH('ORDER Form'!$N85,'PRODUCT DATA'!$B$2:$B$58,0)),'ORDER Form'!$M85)&amp;""),"")</f>
        <v/>
      </c>
      <c r="C84" s="6" t="str">
        <f>IFERROR(IF('ORDER Form'!V85="","",'ORDER Form'!A85&amp;""),"")</f>
        <v/>
      </c>
      <c r="D84" s="6" t="str">
        <f>IFERROR(IF('ORDER Form'!V85="","",'ORDER Form'!D85&amp;""),"")</f>
        <v/>
      </c>
      <c r="E84" s="6" t="str">
        <f>IFERROR('ORDER Form'!V85,"")</f>
        <v/>
      </c>
      <c r="F84" s="1" t="str">
        <f ca="1">IFERROR('ORDER Form'!W85,"")</f>
        <v/>
      </c>
      <c r="G84" s="1" t="str">
        <f ca="1">IFERROR('ORDER Form'!X85,"")</f>
        <v/>
      </c>
      <c r="H84" s="1" t="str">
        <f>IFERROR('ORDER Form'!Y85,"")</f>
        <v/>
      </c>
    </row>
    <row r="85" spans="1:8" ht="15" customHeight="1" x14ac:dyDescent="0.25">
      <c r="A85" s="6" t="str">
        <f>IFERROR(IF('ORDER Form'!V86="","",86),"")</f>
        <v/>
      </c>
      <c r="B85" s="6" t="str">
        <f>IFERROR(IF('ORDER Form'!V86="","",IFERROR(INDEX('PRODUCT DATA'!$A$2:$A$58,MATCH('ORDER Form'!$N86,'PRODUCT DATA'!$B$2:$B$58,0)),'ORDER Form'!$M86)&amp;""),"")</f>
        <v/>
      </c>
      <c r="C85" s="6" t="str">
        <f>IFERROR(IF('ORDER Form'!V86="","",'ORDER Form'!A86&amp;""),"")</f>
        <v/>
      </c>
      <c r="D85" s="6" t="str">
        <f>IFERROR(IF('ORDER Form'!V86="","",'ORDER Form'!D86&amp;""),"")</f>
        <v/>
      </c>
      <c r="E85" s="6" t="str">
        <f>IFERROR('ORDER Form'!V86,"")</f>
        <v/>
      </c>
      <c r="F85" s="1" t="str">
        <f ca="1">IFERROR('ORDER Form'!W86,"")</f>
        <v/>
      </c>
      <c r="G85" s="1" t="str">
        <f ca="1">IFERROR('ORDER Form'!X86,"")</f>
        <v/>
      </c>
      <c r="H85" s="1" t="str">
        <f>IFERROR('ORDER Form'!Y86,"")</f>
        <v/>
      </c>
    </row>
    <row r="86" spans="1:8" ht="15" customHeight="1" x14ac:dyDescent="0.25">
      <c r="A86" s="6" t="str">
        <f>IFERROR(IF('ORDER Form'!V87="","",87),"")</f>
        <v/>
      </c>
      <c r="B86" s="6" t="str">
        <f>IFERROR(IF('ORDER Form'!V87="","",IFERROR(INDEX('PRODUCT DATA'!$A$2:$A$58,MATCH('ORDER Form'!$N87,'PRODUCT DATA'!$B$2:$B$58,0)),'ORDER Form'!$M87)&amp;""),"")</f>
        <v/>
      </c>
      <c r="C86" s="6" t="str">
        <f>IFERROR(IF('ORDER Form'!V87="","",'ORDER Form'!A87&amp;""),"")</f>
        <v/>
      </c>
      <c r="D86" s="6" t="str">
        <f>IFERROR(IF('ORDER Form'!V87="","",'ORDER Form'!D87&amp;""),"")</f>
        <v/>
      </c>
      <c r="E86" s="6" t="str">
        <f>IFERROR('ORDER Form'!V87,"")</f>
        <v/>
      </c>
      <c r="F86" s="1" t="str">
        <f ca="1">IFERROR('ORDER Form'!W87,"")</f>
        <v/>
      </c>
      <c r="G86" s="1" t="str">
        <f ca="1">IFERROR('ORDER Form'!X87,"")</f>
        <v/>
      </c>
      <c r="H86" s="1" t="str">
        <f>IFERROR('ORDER Form'!Y87,"")</f>
        <v/>
      </c>
    </row>
    <row r="87" spans="1:8" ht="15" customHeight="1" x14ac:dyDescent="0.25">
      <c r="A87" s="6" t="str">
        <f>IFERROR(IF('ORDER Form'!V88="","",88),"")</f>
        <v/>
      </c>
      <c r="B87" s="6" t="str">
        <f>IFERROR(IF('ORDER Form'!V88="","",IFERROR(INDEX('PRODUCT DATA'!$A$2:$A$58,MATCH('ORDER Form'!$N88,'PRODUCT DATA'!$B$2:$B$58,0)),'ORDER Form'!$M88)&amp;""),"")</f>
        <v/>
      </c>
      <c r="C87" s="6" t="str">
        <f>IFERROR(IF('ORDER Form'!V88="","",'ORDER Form'!A88&amp;""),"")</f>
        <v/>
      </c>
      <c r="D87" s="6" t="str">
        <f>IFERROR(IF('ORDER Form'!V88="","",'ORDER Form'!D88&amp;""),"")</f>
        <v/>
      </c>
      <c r="E87" s="6" t="str">
        <f>IFERROR('ORDER Form'!V88,"")</f>
        <v/>
      </c>
      <c r="F87" s="1" t="str">
        <f ca="1">IFERROR('ORDER Form'!W88,"")</f>
        <v/>
      </c>
      <c r="G87" s="1" t="str">
        <f ca="1">IFERROR('ORDER Form'!X88,"")</f>
        <v/>
      </c>
      <c r="H87" s="1" t="str">
        <f>IFERROR('ORDER Form'!Y88,"")</f>
        <v/>
      </c>
    </row>
    <row r="88" spans="1:8" ht="15" customHeight="1" x14ac:dyDescent="0.25">
      <c r="A88" s="6" t="str">
        <f>IFERROR(IF('ORDER Form'!V89="","",89),"")</f>
        <v/>
      </c>
      <c r="B88" s="6" t="str">
        <f>IFERROR(IF('ORDER Form'!V89="","",IFERROR(INDEX('PRODUCT DATA'!$A$2:$A$58,MATCH('ORDER Form'!$N89,'PRODUCT DATA'!$B$2:$B$58,0)),'ORDER Form'!$M89)&amp;""),"")</f>
        <v/>
      </c>
      <c r="C88" s="6" t="str">
        <f>IFERROR(IF('ORDER Form'!V89="","",'ORDER Form'!A89&amp;""),"")</f>
        <v/>
      </c>
      <c r="D88" s="6" t="str">
        <f>IFERROR(IF('ORDER Form'!V89="","",'ORDER Form'!D89&amp;""),"")</f>
        <v/>
      </c>
      <c r="E88" s="6" t="str">
        <f>IFERROR('ORDER Form'!V89,"")</f>
        <v/>
      </c>
      <c r="F88" s="1" t="str">
        <f ca="1">IFERROR('ORDER Form'!W89,"")</f>
        <v/>
      </c>
      <c r="G88" s="1" t="str">
        <f ca="1">IFERROR('ORDER Form'!X89,"")</f>
        <v/>
      </c>
      <c r="H88" s="1" t="str">
        <f>IFERROR('ORDER Form'!Y89,"")</f>
        <v/>
      </c>
    </row>
    <row r="89" spans="1:8" ht="15" customHeight="1" x14ac:dyDescent="0.25">
      <c r="A89" s="6" t="str">
        <f>IFERROR(IF('ORDER Form'!V90="","",90),"")</f>
        <v/>
      </c>
      <c r="B89" s="6" t="str">
        <f>IFERROR(IF('ORDER Form'!V90="","",IFERROR(INDEX('PRODUCT DATA'!$A$2:$A$58,MATCH('ORDER Form'!$N90,'PRODUCT DATA'!$B$2:$B$58,0)),'ORDER Form'!$M90)&amp;""),"")</f>
        <v/>
      </c>
      <c r="C89" s="6" t="str">
        <f>IFERROR(IF('ORDER Form'!V90="","",'ORDER Form'!A90&amp;""),"")</f>
        <v/>
      </c>
      <c r="D89" s="6" t="str">
        <f>IFERROR(IF('ORDER Form'!V90="","",'ORDER Form'!D90&amp;""),"")</f>
        <v/>
      </c>
      <c r="E89" s="6" t="str">
        <f>IFERROR('ORDER Form'!V90,"")</f>
        <v/>
      </c>
      <c r="F89" s="1" t="str">
        <f ca="1">IFERROR('ORDER Form'!W90,"")</f>
        <v/>
      </c>
      <c r="G89" s="1" t="str">
        <f ca="1">IFERROR('ORDER Form'!X90,"")</f>
        <v/>
      </c>
      <c r="H89" s="1" t="str">
        <f>IFERROR('ORDER Form'!Y90,"")</f>
        <v/>
      </c>
    </row>
    <row r="90" spans="1:8" ht="15" customHeight="1" x14ac:dyDescent="0.25">
      <c r="A90" s="6" t="str">
        <f>IFERROR(IF('ORDER Form'!V91="","",91),"")</f>
        <v/>
      </c>
      <c r="B90" s="6" t="str">
        <f>IFERROR(IF('ORDER Form'!V91="","",IFERROR(INDEX('PRODUCT DATA'!$A$2:$A$58,MATCH('ORDER Form'!$N91,'PRODUCT DATA'!$B$2:$B$58,0)),'ORDER Form'!$M91)&amp;""),"")</f>
        <v/>
      </c>
      <c r="C90" s="6" t="str">
        <f>IFERROR(IF('ORDER Form'!V91="","",'ORDER Form'!A91&amp;""),"")</f>
        <v/>
      </c>
      <c r="D90" s="6" t="str">
        <f>IFERROR(IF('ORDER Form'!V91="","",'ORDER Form'!D91&amp;""),"")</f>
        <v/>
      </c>
      <c r="E90" s="6" t="str">
        <f>IFERROR('ORDER Form'!V91,"")</f>
        <v/>
      </c>
      <c r="F90" s="1" t="str">
        <f ca="1">IFERROR('ORDER Form'!W91,"")</f>
        <v/>
      </c>
      <c r="G90" s="1" t="str">
        <f ca="1">IFERROR('ORDER Form'!X91,"")</f>
        <v/>
      </c>
      <c r="H90" s="1" t="str">
        <f>IFERROR('ORDER Form'!Y91,"")</f>
        <v/>
      </c>
    </row>
    <row r="91" spans="1:8" ht="15" customHeight="1" x14ac:dyDescent="0.25">
      <c r="A91" s="6" t="str">
        <f>IFERROR(IF('ORDER Form'!V92="","",92),"")</f>
        <v/>
      </c>
      <c r="B91" s="6" t="str">
        <f>IFERROR(IF('ORDER Form'!V92="","",IFERROR(INDEX('PRODUCT DATA'!$A$2:$A$58,MATCH('ORDER Form'!$N92,'PRODUCT DATA'!$B$2:$B$58,0)),'ORDER Form'!$M92)&amp;""),"")</f>
        <v/>
      </c>
      <c r="C91" s="6" t="str">
        <f>IFERROR(IF('ORDER Form'!V92="","",'ORDER Form'!A92&amp;""),"")</f>
        <v/>
      </c>
      <c r="D91" s="6" t="str">
        <f>IFERROR(IF('ORDER Form'!V92="","",'ORDER Form'!D92&amp;""),"")</f>
        <v/>
      </c>
      <c r="E91" s="6" t="str">
        <f>IFERROR('ORDER Form'!V92,"")</f>
        <v/>
      </c>
      <c r="F91" s="1" t="str">
        <f ca="1">IFERROR('ORDER Form'!W92,"")</f>
        <v/>
      </c>
      <c r="G91" s="1" t="str">
        <f ca="1">IFERROR('ORDER Form'!X92,"")</f>
        <v/>
      </c>
      <c r="H91" s="1" t="str">
        <f>IFERROR('ORDER Form'!Y92,"")</f>
        <v/>
      </c>
    </row>
    <row r="92" spans="1:8" ht="15" customHeight="1" x14ac:dyDescent="0.25">
      <c r="A92" s="6" t="str">
        <f>IFERROR(IF('ORDER Form'!V93="","",93),"")</f>
        <v/>
      </c>
      <c r="B92" s="6" t="str">
        <f>IFERROR(IF('ORDER Form'!V93="","",IFERROR(INDEX('PRODUCT DATA'!$A$2:$A$58,MATCH('ORDER Form'!$N93,'PRODUCT DATA'!$B$2:$B$58,0)),'ORDER Form'!$M93)&amp;""),"")</f>
        <v/>
      </c>
      <c r="C92" s="6" t="str">
        <f>IFERROR(IF('ORDER Form'!V93="","",'ORDER Form'!A93&amp;""),"")</f>
        <v/>
      </c>
      <c r="D92" s="6" t="str">
        <f>IFERROR(IF('ORDER Form'!V93="","",'ORDER Form'!D93&amp;""),"")</f>
        <v/>
      </c>
      <c r="E92" s="6" t="str">
        <f>IFERROR('ORDER Form'!V93,"")</f>
        <v/>
      </c>
      <c r="F92" s="1" t="str">
        <f ca="1">IFERROR('ORDER Form'!W93,"")</f>
        <v/>
      </c>
      <c r="G92" s="1" t="str">
        <f ca="1">IFERROR('ORDER Form'!X93,"")</f>
        <v/>
      </c>
      <c r="H92" s="1" t="str">
        <f>IFERROR('ORDER Form'!Y93,"")</f>
        <v/>
      </c>
    </row>
    <row r="93" spans="1:8" ht="15" customHeight="1" x14ac:dyDescent="0.25">
      <c r="A93" s="6" t="str">
        <f>IFERROR(IF('ORDER Form'!V94="","",94),"")</f>
        <v/>
      </c>
      <c r="B93" s="6" t="str">
        <f>IFERROR(IF('ORDER Form'!V94="","",IFERROR(INDEX('PRODUCT DATA'!$A$2:$A$58,MATCH('ORDER Form'!$N94,'PRODUCT DATA'!$B$2:$B$58,0)),'ORDER Form'!$M94)&amp;""),"")</f>
        <v/>
      </c>
      <c r="C93" s="6" t="str">
        <f>IFERROR(IF('ORDER Form'!V94="","",'ORDER Form'!A94&amp;""),"")</f>
        <v/>
      </c>
      <c r="D93" s="6" t="str">
        <f>IFERROR(IF('ORDER Form'!V94="","",'ORDER Form'!D94&amp;""),"")</f>
        <v/>
      </c>
      <c r="E93" s="6" t="str">
        <f>IFERROR('ORDER Form'!V94,"")</f>
        <v/>
      </c>
      <c r="F93" s="1" t="str">
        <f ca="1">IFERROR('ORDER Form'!W94,"")</f>
        <v/>
      </c>
      <c r="G93" s="1" t="str">
        <f ca="1">IFERROR('ORDER Form'!X94,"")</f>
        <v/>
      </c>
      <c r="H93" s="1" t="str">
        <f>IFERROR('ORDER Form'!Y94,"")</f>
        <v/>
      </c>
    </row>
    <row r="94" spans="1:8" ht="15" customHeight="1" x14ac:dyDescent="0.25">
      <c r="A94" s="6" t="str">
        <f>IFERROR(IF('ORDER Form'!V95="","",95),"")</f>
        <v/>
      </c>
      <c r="B94" s="6" t="str">
        <f>IFERROR(IF('ORDER Form'!V95="","",IFERROR(INDEX('PRODUCT DATA'!$A$2:$A$58,MATCH('ORDER Form'!$N95,'PRODUCT DATA'!$B$2:$B$58,0)),'ORDER Form'!$M95)&amp;""),"")</f>
        <v/>
      </c>
      <c r="C94" s="6" t="str">
        <f>IFERROR(IF('ORDER Form'!V95="","",'ORDER Form'!A95&amp;""),"")</f>
        <v/>
      </c>
      <c r="D94" s="6" t="str">
        <f>IFERROR(IF('ORDER Form'!V95="","",'ORDER Form'!D95&amp;""),"")</f>
        <v/>
      </c>
      <c r="E94" s="6" t="str">
        <f>IFERROR('ORDER Form'!V95,"")</f>
        <v/>
      </c>
      <c r="F94" s="1" t="str">
        <f ca="1">IFERROR('ORDER Form'!W95,"")</f>
        <v/>
      </c>
      <c r="G94" s="1" t="str">
        <f ca="1">IFERROR('ORDER Form'!X95,"")</f>
        <v/>
      </c>
      <c r="H94" s="1" t="str">
        <f>IFERROR('ORDER Form'!Y95,"")</f>
        <v/>
      </c>
    </row>
    <row r="95" spans="1:8" ht="15" customHeight="1" x14ac:dyDescent="0.25">
      <c r="A95" s="6" t="str">
        <f>IFERROR(IF('ORDER Form'!V96="","",96),"")</f>
        <v/>
      </c>
      <c r="B95" s="6" t="str">
        <f>IFERROR(IF('ORDER Form'!V96="","",IFERROR(INDEX('PRODUCT DATA'!$A$2:$A$58,MATCH('ORDER Form'!$N96,'PRODUCT DATA'!$B$2:$B$58,0)),'ORDER Form'!$M96)&amp;""),"")</f>
        <v/>
      </c>
      <c r="C95" s="6" t="str">
        <f>IFERROR(IF('ORDER Form'!V96="","",'ORDER Form'!A96&amp;""),"")</f>
        <v/>
      </c>
      <c r="D95" s="6" t="str">
        <f>IFERROR(IF('ORDER Form'!V96="","",'ORDER Form'!D96&amp;""),"")</f>
        <v/>
      </c>
      <c r="E95" s="6" t="str">
        <f>IFERROR('ORDER Form'!V96,"")</f>
        <v/>
      </c>
      <c r="F95" s="1" t="str">
        <f ca="1">IFERROR('ORDER Form'!W96,"")</f>
        <v/>
      </c>
      <c r="G95" s="1" t="str">
        <f ca="1">IFERROR('ORDER Form'!X96,"")</f>
        <v/>
      </c>
      <c r="H95" s="1" t="str">
        <f>IFERROR('ORDER Form'!Y96,"")</f>
        <v/>
      </c>
    </row>
    <row r="96" spans="1:8" ht="15" customHeight="1" x14ac:dyDescent="0.25">
      <c r="A96" s="6" t="str">
        <f>IFERROR(IF('ORDER Form'!V97="","",97),"")</f>
        <v/>
      </c>
      <c r="B96" s="6" t="str">
        <f>IFERROR(IF('ORDER Form'!V97="","",IFERROR(INDEX('PRODUCT DATA'!$A$2:$A$58,MATCH('ORDER Form'!$N97,'PRODUCT DATA'!$B$2:$B$58,0)),'ORDER Form'!$M97)&amp;""),"")</f>
        <v/>
      </c>
      <c r="C96" s="6" t="str">
        <f>IFERROR(IF('ORDER Form'!V97="","",'ORDER Form'!A97&amp;""),"")</f>
        <v/>
      </c>
      <c r="D96" s="6" t="str">
        <f>IFERROR(IF('ORDER Form'!V97="","",'ORDER Form'!D97&amp;""),"")</f>
        <v/>
      </c>
      <c r="E96" s="6" t="str">
        <f>IFERROR('ORDER Form'!V97,"")</f>
        <v/>
      </c>
      <c r="F96" s="1" t="str">
        <f ca="1">IFERROR('ORDER Form'!W97,"")</f>
        <v/>
      </c>
      <c r="G96" s="1" t="str">
        <f ca="1">IFERROR('ORDER Form'!X97,"")</f>
        <v/>
      </c>
      <c r="H96" s="1" t="str">
        <f>IFERROR('ORDER Form'!Y97,"")</f>
        <v/>
      </c>
    </row>
    <row r="97" spans="1:8" ht="15" customHeight="1" x14ac:dyDescent="0.25">
      <c r="A97" s="6" t="str">
        <f>IFERROR(IF('ORDER Form'!V98="","",98),"")</f>
        <v/>
      </c>
      <c r="B97" s="6" t="str">
        <f>IFERROR(IF('ORDER Form'!V98="","",IFERROR(INDEX('PRODUCT DATA'!$A$2:$A$58,MATCH('ORDER Form'!$N98,'PRODUCT DATA'!$B$2:$B$58,0)),'ORDER Form'!$M98)&amp;""),"")</f>
        <v/>
      </c>
      <c r="C97" s="6" t="str">
        <f>IFERROR(IF('ORDER Form'!V98="","",'ORDER Form'!A98&amp;""),"")</f>
        <v/>
      </c>
      <c r="D97" s="6" t="str">
        <f>IFERROR(IF('ORDER Form'!V98="","",'ORDER Form'!D98&amp;""),"")</f>
        <v/>
      </c>
      <c r="E97" s="6" t="str">
        <f>IFERROR('ORDER Form'!V98,"")</f>
        <v/>
      </c>
      <c r="F97" s="1" t="str">
        <f ca="1">IFERROR('ORDER Form'!W98,"")</f>
        <v/>
      </c>
      <c r="G97" s="1" t="str">
        <f ca="1">IFERROR('ORDER Form'!X98,"")</f>
        <v/>
      </c>
      <c r="H97" s="1" t="str">
        <f>IFERROR('ORDER Form'!Y98,"")</f>
        <v/>
      </c>
    </row>
    <row r="98" spans="1:8" ht="15" customHeight="1" x14ac:dyDescent="0.25">
      <c r="A98" s="6" t="str">
        <f>IFERROR(IF('ORDER Form'!V99="","",99),"")</f>
        <v/>
      </c>
      <c r="B98" s="6" t="str">
        <f>IFERROR(IF('ORDER Form'!V99="","",IFERROR(INDEX('PRODUCT DATA'!$A$2:$A$58,MATCH('ORDER Form'!$N99,'PRODUCT DATA'!$B$2:$B$58,0)),'ORDER Form'!$M99)&amp;""),"")</f>
        <v/>
      </c>
      <c r="C98" s="6" t="str">
        <f>IFERROR(IF('ORDER Form'!V99="","",'ORDER Form'!A99&amp;""),"")</f>
        <v/>
      </c>
      <c r="D98" s="6" t="str">
        <f>IFERROR(IF('ORDER Form'!V99="","",'ORDER Form'!D99&amp;""),"")</f>
        <v/>
      </c>
      <c r="E98" s="6" t="str">
        <f>IFERROR('ORDER Form'!V99,"")</f>
        <v/>
      </c>
      <c r="F98" s="1" t="str">
        <f ca="1">IFERROR('ORDER Form'!W99,"")</f>
        <v/>
      </c>
      <c r="G98" s="1" t="str">
        <f ca="1">IFERROR('ORDER Form'!X99,"")</f>
        <v/>
      </c>
      <c r="H98" s="1" t="str">
        <f>IFERROR('ORDER Form'!Y99,"")</f>
        <v/>
      </c>
    </row>
    <row r="99" spans="1:8" ht="15" customHeight="1" x14ac:dyDescent="0.25">
      <c r="A99" s="6" t="str">
        <f>IFERROR(IF('ORDER Form'!V100="","",100),"")</f>
        <v/>
      </c>
      <c r="B99" s="6" t="str">
        <f>IFERROR(IF('ORDER Form'!V100="","",IFERROR(INDEX('PRODUCT DATA'!$A$2:$A$58,MATCH('ORDER Form'!$N100,'PRODUCT DATA'!$B$2:$B$58,0)),'ORDER Form'!$M100)&amp;""),"")</f>
        <v/>
      </c>
      <c r="C99" s="6" t="str">
        <f>IFERROR(IF('ORDER Form'!V100="","",'ORDER Form'!A100&amp;""),"")</f>
        <v/>
      </c>
      <c r="D99" s="6" t="str">
        <f>IFERROR(IF('ORDER Form'!V100="","",'ORDER Form'!D100&amp;""),"")</f>
        <v/>
      </c>
      <c r="E99" s="6" t="str">
        <f>IFERROR('ORDER Form'!V100,"")</f>
        <v/>
      </c>
      <c r="F99" s="1" t="str">
        <f ca="1">IFERROR('ORDER Form'!W100,"")</f>
        <v/>
      </c>
      <c r="G99" s="1" t="str">
        <f ca="1">IFERROR('ORDER Form'!X100,"")</f>
        <v/>
      </c>
      <c r="H99" s="1" t="str">
        <f>IFERROR('ORDER Form'!Y100,"")</f>
        <v/>
      </c>
    </row>
    <row r="100" spans="1:8" ht="15" customHeight="1" x14ac:dyDescent="0.25">
      <c r="A100" s="6" t="str">
        <f>IFERROR(IF('ORDER Form'!V101="","",101),"")</f>
        <v/>
      </c>
      <c r="B100" s="6" t="str">
        <f>IFERROR(IF('ORDER Form'!V101="","",IFERROR(INDEX('PRODUCT DATA'!$A$2:$A$58,MATCH('ORDER Form'!$N101,'PRODUCT DATA'!$B$2:$B$58,0)),'ORDER Form'!$M101)&amp;""),"")</f>
        <v/>
      </c>
      <c r="C100" s="6" t="str">
        <f>IFERROR(IF('ORDER Form'!V101="","",'ORDER Form'!A101&amp;""),"")</f>
        <v/>
      </c>
      <c r="D100" s="6" t="str">
        <f>IFERROR(IF('ORDER Form'!V101="","",'ORDER Form'!D101&amp;""),"")</f>
        <v/>
      </c>
      <c r="E100" s="6" t="str">
        <f>IFERROR('ORDER Form'!V101,"")</f>
        <v/>
      </c>
      <c r="F100" s="1" t="str">
        <f ca="1">IFERROR('ORDER Form'!W101,"")</f>
        <v/>
      </c>
      <c r="G100" s="1" t="str">
        <f ca="1">IFERROR('ORDER Form'!X101,"")</f>
        <v/>
      </c>
      <c r="H100" s="1" t="str">
        <f>IFERROR('ORDER Form'!Y101,"")</f>
        <v/>
      </c>
    </row>
    <row r="101" spans="1:8" ht="15" customHeight="1" x14ac:dyDescent="0.25">
      <c r="A101" s="6" t="str">
        <f>IFERROR(IF('ORDER Form'!V102="","",102),"")</f>
        <v/>
      </c>
      <c r="B101" s="6" t="str">
        <f>IFERROR(IF('ORDER Form'!V102="","",IFERROR(INDEX('PRODUCT DATA'!$A$2:$A$58,MATCH('ORDER Form'!$N102,'PRODUCT DATA'!$B$2:$B$58,0)),'ORDER Form'!$M102)&amp;""),"")</f>
        <v/>
      </c>
      <c r="C101" s="6" t="str">
        <f>IFERROR(IF('ORDER Form'!V102="","",'ORDER Form'!A102&amp;""),"")</f>
        <v/>
      </c>
      <c r="D101" s="6" t="str">
        <f>IFERROR(IF('ORDER Form'!V102="","",'ORDER Form'!D102&amp;""),"")</f>
        <v/>
      </c>
      <c r="E101" s="6" t="str">
        <f>IFERROR('ORDER Form'!V102,"")</f>
        <v/>
      </c>
      <c r="F101" s="1" t="str">
        <f ca="1">IFERROR('ORDER Form'!W102,"")</f>
        <v/>
      </c>
      <c r="G101" s="1" t="str">
        <f ca="1">IFERROR('ORDER Form'!X102,"")</f>
        <v/>
      </c>
      <c r="H101" s="1" t="str">
        <f>IFERROR('ORDER Form'!Y102,"")</f>
        <v/>
      </c>
    </row>
    <row r="102" spans="1:8" ht="15" customHeight="1" x14ac:dyDescent="0.25">
      <c r="A102" s="6" t="str">
        <f>IFERROR(IF('ORDER Form'!V103="","",103),"")</f>
        <v/>
      </c>
      <c r="B102" s="6" t="str">
        <f>IFERROR(IF('ORDER Form'!V103="","",IFERROR(INDEX('PRODUCT DATA'!$A$2:$A$58,MATCH('ORDER Form'!$N103,'PRODUCT DATA'!$B$2:$B$58,0)),'ORDER Form'!$M103)&amp;""),"")</f>
        <v/>
      </c>
      <c r="C102" s="6" t="str">
        <f>IFERROR(IF('ORDER Form'!V103="","",'ORDER Form'!A103&amp;""),"")</f>
        <v/>
      </c>
      <c r="D102" s="6" t="str">
        <f>IFERROR(IF('ORDER Form'!V103="","",'ORDER Form'!D103&amp;""),"")</f>
        <v/>
      </c>
      <c r="E102" s="6" t="str">
        <f>IFERROR('ORDER Form'!V103,"")</f>
        <v/>
      </c>
      <c r="F102" s="1" t="str">
        <f ca="1">IFERROR('ORDER Form'!W103,"")</f>
        <v/>
      </c>
      <c r="G102" s="1" t="str">
        <f ca="1">IFERROR('ORDER Form'!X103,"")</f>
        <v/>
      </c>
      <c r="H102" s="1" t="str">
        <f>IFERROR('ORDER Form'!Y103,"")</f>
        <v/>
      </c>
    </row>
    <row r="103" spans="1:8" ht="15" customHeight="1" x14ac:dyDescent="0.25">
      <c r="A103" s="6" t="str">
        <f>IFERROR(IF('ORDER Form'!V104="","",104),"")</f>
        <v/>
      </c>
      <c r="B103" s="6" t="str">
        <f>IFERROR(IF('ORDER Form'!V104="","",IFERROR(INDEX('PRODUCT DATA'!$A$2:$A$58,MATCH('ORDER Form'!$N104,'PRODUCT DATA'!$B$2:$B$58,0)),'ORDER Form'!$M104)&amp;""),"")</f>
        <v/>
      </c>
      <c r="C103" s="6" t="str">
        <f>IFERROR(IF('ORDER Form'!V104="","",'ORDER Form'!A104&amp;""),"")</f>
        <v/>
      </c>
      <c r="D103" s="6" t="str">
        <f>IFERROR(IF('ORDER Form'!V104="","",'ORDER Form'!D104&amp;""),"")</f>
        <v/>
      </c>
      <c r="E103" s="6" t="str">
        <f>IFERROR('ORDER Form'!V104,"")</f>
        <v/>
      </c>
      <c r="F103" s="1" t="str">
        <f ca="1">IFERROR('ORDER Form'!W104,"")</f>
        <v/>
      </c>
      <c r="G103" s="1" t="str">
        <f ca="1">IFERROR('ORDER Form'!X104,"")</f>
        <v/>
      </c>
      <c r="H103" s="1" t="str">
        <f>IFERROR('ORDER Form'!Y104,"")</f>
        <v/>
      </c>
    </row>
    <row r="104" spans="1:8" ht="15" customHeight="1" x14ac:dyDescent="0.25">
      <c r="A104" s="6" t="str">
        <f>IFERROR(IF('ORDER Form'!V105="","",105),"")</f>
        <v/>
      </c>
      <c r="B104" s="6" t="str">
        <f>IFERROR(IF('ORDER Form'!V105="","",IFERROR(INDEX('PRODUCT DATA'!$A$2:$A$58,MATCH('ORDER Form'!$N105,'PRODUCT DATA'!$B$2:$B$58,0)),'ORDER Form'!$M105)&amp;""),"")</f>
        <v/>
      </c>
      <c r="C104" s="6" t="str">
        <f>IFERROR(IF('ORDER Form'!V105="","",'ORDER Form'!A105&amp;""),"")</f>
        <v/>
      </c>
      <c r="D104" s="6" t="str">
        <f>IFERROR(IF('ORDER Form'!V105="","",'ORDER Form'!D105&amp;""),"")</f>
        <v/>
      </c>
      <c r="E104" s="6" t="str">
        <f>IFERROR('ORDER Form'!V105,"")</f>
        <v/>
      </c>
      <c r="F104" s="1" t="str">
        <f ca="1">IFERROR('ORDER Form'!W105,"")</f>
        <v/>
      </c>
      <c r="G104" s="1" t="str">
        <f ca="1">IFERROR('ORDER Form'!X105,"")</f>
        <v/>
      </c>
      <c r="H104" s="1" t="str">
        <f>IFERROR('ORDER Form'!Y105,"")</f>
        <v/>
      </c>
    </row>
    <row r="105" spans="1:8" ht="15" customHeight="1" x14ac:dyDescent="0.25">
      <c r="A105" s="6" t="str">
        <f>IFERROR(IF('ORDER Form'!V106="","",106),"")</f>
        <v/>
      </c>
      <c r="B105" s="6" t="str">
        <f>IFERROR(IF('ORDER Form'!V106="","",IFERROR(INDEX('PRODUCT DATA'!$A$2:$A$58,MATCH('ORDER Form'!$N106,'PRODUCT DATA'!$B$2:$B$58,0)),'ORDER Form'!$M106)&amp;""),"")</f>
        <v/>
      </c>
      <c r="C105" s="6" t="str">
        <f>IFERROR(IF('ORDER Form'!V106="","",'ORDER Form'!A106&amp;""),"")</f>
        <v/>
      </c>
      <c r="D105" s="6" t="str">
        <f>IFERROR(IF('ORDER Form'!V106="","",'ORDER Form'!D106&amp;""),"")</f>
        <v/>
      </c>
      <c r="E105" s="6" t="str">
        <f>IFERROR('ORDER Form'!V106,"")</f>
        <v/>
      </c>
      <c r="F105" s="1" t="str">
        <f ca="1">IFERROR('ORDER Form'!W106,"")</f>
        <v/>
      </c>
      <c r="G105" s="1" t="str">
        <f ca="1">IFERROR('ORDER Form'!X106,"")</f>
        <v/>
      </c>
      <c r="H105" s="1" t="str">
        <f>IFERROR('ORDER Form'!Y106,"")</f>
        <v/>
      </c>
    </row>
    <row r="106" spans="1:8" ht="15" customHeight="1" x14ac:dyDescent="0.25">
      <c r="A106" s="6" t="str">
        <f>IFERROR(IF('ORDER Form'!V107="","",107),"")</f>
        <v/>
      </c>
      <c r="B106" s="6" t="str">
        <f>IFERROR(IF('ORDER Form'!V107="","",IFERROR(INDEX('PRODUCT DATA'!$A$2:$A$58,MATCH('ORDER Form'!$N107,'PRODUCT DATA'!$B$2:$B$58,0)),'ORDER Form'!$M107)&amp;""),"")</f>
        <v/>
      </c>
      <c r="C106" s="6" t="str">
        <f>IFERROR(IF('ORDER Form'!V107="","",'ORDER Form'!A107&amp;""),"")</f>
        <v/>
      </c>
      <c r="D106" s="6" t="str">
        <f>IFERROR(IF('ORDER Form'!V107="","",'ORDER Form'!D107&amp;""),"")</f>
        <v/>
      </c>
      <c r="E106" s="6" t="str">
        <f>IFERROR('ORDER Form'!V107,"")</f>
        <v/>
      </c>
      <c r="F106" s="1" t="str">
        <f ca="1">IFERROR('ORDER Form'!W107,"")</f>
        <v/>
      </c>
      <c r="G106" s="1" t="str">
        <f ca="1">IFERROR('ORDER Form'!X107,"")</f>
        <v/>
      </c>
      <c r="H106" s="1" t="str">
        <f>IFERROR('ORDER Form'!Y107,"")</f>
        <v/>
      </c>
    </row>
    <row r="107" spans="1:8" ht="15" customHeight="1" x14ac:dyDescent="0.25">
      <c r="A107" s="6" t="str">
        <f>IFERROR(IF('ORDER Form'!V108="","",108),"")</f>
        <v/>
      </c>
      <c r="B107" s="6" t="str">
        <f>IFERROR(IF('ORDER Form'!V108="","",IFERROR(INDEX('PRODUCT DATA'!$A$2:$A$58,MATCH('ORDER Form'!$N108,'PRODUCT DATA'!$B$2:$B$58,0)),'ORDER Form'!$M108)&amp;""),"")</f>
        <v/>
      </c>
      <c r="C107" s="6" t="str">
        <f>IFERROR(IF('ORDER Form'!V108="","",'ORDER Form'!A108&amp;""),"")</f>
        <v/>
      </c>
      <c r="D107" s="6" t="str">
        <f>IFERROR(IF('ORDER Form'!V108="","",'ORDER Form'!D108&amp;""),"")</f>
        <v/>
      </c>
      <c r="E107" s="6" t="str">
        <f>IFERROR('ORDER Form'!V108,"")</f>
        <v/>
      </c>
      <c r="F107" s="1" t="str">
        <f ca="1">IFERROR('ORDER Form'!W108,"")</f>
        <v/>
      </c>
      <c r="G107" s="1" t="str">
        <f ca="1">IFERROR('ORDER Form'!X108,"")</f>
        <v/>
      </c>
      <c r="H107" s="1" t="str">
        <f>IFERROR('ORDER Form'!Y108,"")</f>
        <v/>
      </c>
    </row>
    <row r="108" spans="1:8" ht="15" customHeight="1" x14ac:dyDescent="0.25">
      <c r="A108" s="6" t="str">
        <f>IFERROR(IF('ORDER Form'!V109="","",109),"")</f>
        <v/>
      </c>
      <c r="B108" s="6" t="str">
        <f>IFERROR(IF('ORDER Form'!V109="","",IFERROR(INDEX('PRODUCT DATA'!$A$2:$A$58,MATCH('ORDER Form'!$N109,'PRODUCT DATA'!$B$2:$B$58,0)),'ORDER Form'!$M109)&amp;""),"")</f>
        <v/>
      </c>
      <c r="C108" s="6" t="str">
        <f>IFERROR(IF('ORDER Form'!V109="","",'ORDER Form'!A109&amp;""),"")</f>
        <v/>
      </c>
      <c r="D108" s="6" t="str">
        <f>IFERROR(IF('ORDER Form'!V109="","",'ORDER Form'!D109&amp;""),"")</f>
        <v/>
      </c>
      <c r="E108" s="6" t="str">
        <f>IFERROR('ORDER Form'!V109,"")</f>
        <v/>
      </c>
      <c r="F108" s="1" t="str">
        <f ca="1">IFERROR('ORDER Form'!W109,"")</f>
        <v/>
      </c>
      <c r="G108" s="1" t="str">
        <f ca="1">IFERROR('ORDER Form'!X109,"")</f>
        <v/>
      </c>
      <c r="H108" s="1" t="str">
        <f>IFERROR('ORDER Form'!Y109,"")</f>
        <v/>
      </c>
    </row>
    <row r="109" spans="1:8" ht="15" customHeight="1" x14ac:dyDescent="0.25">
      <c r="A109" s="6" t="str">
        <f>IFERROR(IF('ORDER Form'!V110="","",110),"")</f>
        <v/>
      </c>
      <c r="B109" s="6" t="str">
        <f>IFERROR(IF('ORDER Form'!V110="","",IFERROR(INDEX('PRODUCT DATA'!$A$2:$A$58,MATCH('ORDER Form'!$N110,'PRODUCT DATA'!$B$2:$B$58,0)),'ORDER Form'!$M110)&amp;""),"")</f>
        <v/>
      </c>
      <c r="C109" s="6" t="str">
        <f>IFERROR(IF('ORDER Form'!V110="","",'ORDER Form'!A110&amp;""),"")</f>
        <v/>
      </c>
      <c r="D109" s="6" t="str">
        <f>IFERROR(IF('ORDER Form'!V110="","",'ORDER Form'!D110&amp;""),"")</f>
        <v/>
      </c>
      <c r="E109" s="6" t="str">
        <f>IFERROR('ORDER Form'!V110,"")</f>
        <v/>
      </c>
      <c r="F109" s="1" t="str">
        <f ca="1">IFERROR('ORDER Form'!W110,"")</f>
        <v/>
      </c>
      <c r="G109" s="1" t="str">
        <f ca="1">IFERROR('ORDER Form'!X110,"")</f>
        <v/>
      </c>
      <c r="H109" s="1" t="str">
        <f>IFERROR('ORDER Form'!Y110,"")</f>
        <v/>
      </c>
    </row>
    <row r="110" spans="1:8" ht="15" customHeight="1" x14ac:dyDescent="0.25">
      <c r="A110" s="6" t="str">
        <f>IFERROR(IF('ORDER Form'!V111="","",111),"")</f>
        <v/>
      </c>
      <c r="B110" s="6" t="str">
        <f>IFERROR(IF('ORDER Form'!V111="","",IFERROR(INDEX('PRODUCT DATA'!$A$2:$A$58,MATCH('ORDER Form'!$N111,'PRODUCT DATA'!$B$2:$B$58,0)),'ORDER Form'!$M111)&amp;""),"")</f>
        <v/>
      </c>
      <c r="C110" s="6" t="str">
        <f>IFERROR(IF('ORDER Form'!V111="","",'ORDER Form'!A111&amp;""),"")</f>
        <v/>
      </c>
      <c r="D110" s="6" t="str">
        <f>IFERROR(IF('ORDER Form'!V111="","",'ORDER Form'!D111&amp;""),"")</f>
        <v/>
      </c>
      <c r="E110" s="6" t="str">
        <f>IFERROR('ORDER Form'!V111,"")</f>
        <v/>
      </c>
      <c r="F110" s="1" t="str">
        <f ca="1">IFERROR('ORDER Form'!W111,"")</f>
        <v/>
      </c>
      <c r="G110" s="1" t="str">
        <f ca="1">IFERROR('ORDER Form'!X111,"")</f>
        <v/>
      </c>
      <c r="H110" s="1" t="str">
        <f>IFERROR('ORDER Form'!Y111,"")</f>
        <v/>
      </c>
    </row>
    <row r="111" spans="1:8" ht="15" customHeight="1" x14ac:dyDescent="0.25">
      <c r="A111" s="6" t="str">
        <f>IFERROR(IF('ORDER Form'!V112="","",112),"")</f>
        <v/>
      </c>
      <c r="B111" s="6" t="str">
        <f>IFERROR(IF('ORDER Form'!V112="","",IFERROR(INDEX('PRODUCT DATA'!$A$2:$A$58,MATCH('ORDER Form'!$N112,'PRODUCT DATA'!$B$2:$B$58,0)),'ORDER Form'!$M112)&amp;""),"")</f>
        <v/>
      </c>
      <c r="C111" s="6" t="str">
        <f>IFERROR(IF('ORDER Form'!V112="","",'ORDER Form'!A112&amp;""),"")</f>
        <v/>
      </c>
      <c r="D111" s="6" t="str">
        <f>IFERROR(IF('ORDER Form'!V112="","",'ORDER Form'!D112&amp;""),"")</f>
        <v/>
      </c>
      <c r="E111" s="6" t="str">
        <f>IFERROR('ORDER Form'!V112,"")</f>
        <v/>
      </c>
      <c r="F111" s="1" t="str">
        <f ca="1">IFERROR('ORDER Form'!W112,"")</f>
        <v/>
      </c>
      <c r="G111" s="1" t="str">
        <f ca="1">IFERROR('ORDER Form'!X112,"")</f>
        <v/>
      </c>
      <c r="H111" s="1" t="str">
        <f>IFERROR('ORDER Form'!Y112,"")</f>
        <v/>
      </c>
    </row>
    <row r="112" spans="1:8" ht="15" customHeight="1" x14ac:dyDescent="0.25">
      <c r="A112" s="6" t="str">
        <f>IFERROR(IF('ORDER Form'!V113="","",113),"")</f>
        <v/>
      </c>
      <c r="B112" s="6" t="str">
        <f>IFERROR(IF('ORDER Form'!V113="","",IFERROR(INDEX('PRODUCT DATA'!$A$2:$A$58,MATCH('ORDER Form'!$N113,'PRODUCT DATA'!$B$2:$B$58,0)),'ORDER Form'!$M113)&amp;""),"")</f>
        <v/>
      </c>
      <c r="C112" s="6" t="str">
        <f>IFERROR(IF('ORDER Form'!V113="","",'ORDER Form'!A113&amp;""),"")</f>
        <v/>
      </c>
      <c r="D112" s="6" t="str">
        <f>IFERROR(IF('ORDER Form'!V113="","",'ORDER Form'!D113&amp;""),"")</f>
        <v/>
      </c>
      <c r="E112" s="6" t="str">
        <f>IFERROR('ORDER Form'!V113,"")</f>
        <v/>
      </c>
      <c r="F112" s="1" t="str">
        <f ca="1">IFERROR('ORDER Form'!W113,"")</f>
        <v/>
      </c>
      <c r="G112" s="1" t="str">
        <f ca="1">IFERROR('ORDER Form'!X113,"")</f>
        <v/>
      </c>
      <c r="H112" s="1" t="str">
        <f>IFERROR('ORDER Form'!Y113,"")</f>
        <v/>
      </c>
    </row>
    <row r="113" spans="1:8" ht="15" customHeight="1" x14ac:dyDescent="0.25">
      <c r="A113" s="6" t="str">
        <f>IFERROR(IF('ORDER Form'!V114="","",114),"")</f>
        <v/>
      </c>
      <c r="B113" s="6" t="str">
        <f>IFERROR(IF('ORDER Form'!V114="","",IFERROR(INDEX('PRODUCT DATA'!$A$2:$A$58,MATCH('ORDER Form'!$N114,'PRODUCT DATA'!$B$2:$B$58,0)),'ORDER Form'!$M114)&amp;""),"")</f>
        <v/>
      </c>
      <c r="C113" s="6" t="str">
        <f>IFERROR(IF('ORDER Form'!V114="","",'ORDER Form'!A114&amp;""),"")</f>
        <v/>
      </c>
      <c r="D113" s="6" t="str">
        <f>IFERROR(IF('ORDER Form'!V114="","",'ORDER Form'!D114&amp;""),"")</f>
        <v/>
      </c>
      <c r="E113" s="6" t="str">
        <f>IFERROR('ORDER Form'!V114,"")</f>
        <v/>
      </c>
      <c r="F113" s="1" t="str">
        <f ca="1">IFERROR('ORDER Form'!W114,"")</f>
        <v/>
      </c>
      <c r="G113" s="1" t="str">
        <f ca="1">IFERROR('ORDER Form'!X114,"")</f>
        <v/>
      </c>
      <c r="H113" s="1" t="str">
        <f>IFERROR('ORDER Form'!Y114,"")</f>
        <v/>
      </c>
    </row>
    <row r="114" spans="1:8" ht="15" customHeight="1" x14ac:dyDescent="0.25">
      <c r="A114" s="6" t="str">
        <f>IFERROR(IF('ORDER Form'!V115="","",115),"")</f>
        <v/>
      </c>
      <c r="B114" s="6" t="str">
        <f>IFERROR(IF('ORDER Form'!V115="","",IFERROR(INDEX('PRODUCT DATA'!$A$2:$A$58,MATCH('ORDER Form'!$N115,'PRODUCT DATA'!$B$2:$B$58,0)),'ORDER Form'!$M115)&amp;""),"")</f>
        <v/>
      </c>
      <c r="C114" s="6" t="str">
        <f>IFERROR(IF('ORDER Form'!V115="","",'ORDER Form'!A115&amp;""),"")</f>
        <v/>
      </c>
      <c r="D114" s="6" t="str">
        <f>IFERROR(IF('ORDER Form'!V115="","",'ORDER Form'!D115&amp;""),"")</f>
        <v/>
      </c>
      <c r="E114" s="6" t="str">
        <f>IFERROR('ORDER Form'!V115,"")</f>
        <v/>
      </c>
      <c r="F114" s="1" t="str">
        <f ca="1">IFERROR('ORDER Form'!W115,"")</f>
        <v/>
      </c>
      <c r="G114" s="1" t="str">
        <f ca="1">IFERROR('ORDER Form'!X115,"")</f>
        <v/>
      </c>
      <c r="H114" s="1" t="str">
        <f>IFERROR('ORDER Form'!Y115,"")</f>
        <v/>
      </c>
    </row>
    <row r="115" spans="1:8" ht="15" customHeight="1" x14ac:dyDescent="0.25">
      <c r="A115" s="6" t="str">
        <f>IFERROR(IF('ORDER Form'!V116="","",116),"")</f>
        <v/>
      </c>
      <c r="B115" s="6" t="str">
        <f>IFERROR(IF('ORDER Form'!V116="","",IFERROR(INDEX('PRODUCT DATA'!$A$2:$A$58,MATCH('ORDER Form'!$N116,'PRODUCT DATA'!$B$2:$B$58,0)),'ORDER Form'!$M116)&amp;""),"")</f>
        <v/>
      </c>
      <c r="C115" s="6" t="str">
        <f>IFERROR(IF('ORDER Form'!V116="","",'ORDER Form'!A116&amp;""),"")</f>
        <v/>
      </c>
      <c r="D115" s="6" t="str">
        <f>IFERROR(IF('ORDER Form'!V116="","",'ORDER Form'!D116&amp;""),"")</f>
        <v/>
      </c>
      <c r="E115" s="6" t="str">
        <f>IFERROR('ORDER Form'!V116,"")</f>
        <v/>
      </c>
      <c r="F115" s="1" t="str">
        <f ca="1">IFERROR('ORDER Form'!W116,"")</f>
        <v/>
      </c>
      <c r="G115" s="1" t="str">
        <f ca="1">IFERROR('ORDER Form'!X116,"")</f>
        <v/>
      </c>
      <c r="H115" s="1" t="str">
        <f>IFERROR('ORDER Form'!Y116,"")</f>
        <v/>
      </c>
    </row>
    <row r="116" spans="1:8" ht="15" customHeight="1" x14ac:dyDescent="0.25">
      <c r="A116" s="6" t="str">
        <f>IFERROR(IF('ORDER Form'!V117="","",117),"")</f>
        <v/>
      </c>
      <c r="B116" s="6" t="str">
        <f>IFERROR(IF('ORDER Form'!V117="","",IFERROR(INDEX('PRODUCT DATA'!$A$2:$A$58,MATCH('ORDER Form'!$N117,'PRODUCT DATA'!$B$2:$B$58,0)),'ORDER Form'!$M117)&amp;""),"")</f>
        <v/>
      </c>
      <c r="C116" s="6" t="str">
        <f>IFERROR(IF('ORDER Form'!V117="","",'ORDER Form'!A117&amp;""),"")</f>
        <v/>
      </c>
      <c r="D116" s="6" t="str">
        <f>IFERROR(IF('ORDER Form'!V117="","",'ORDER Form'!D117&amp;""),"")</f>
        <v/>
      </c>
      <c r="E116" s="6" t="str">
        <f>IFERROR('ORDER Form'!V117,"")</f>
        <v/>
      </c>
      <c r="F116" s="1" t="str">
        <f ca="1">IFERROR('ORDER Form'!W117,"")</f>
        <v/>
      </c>
      <c r="G116" s="1" t="str">
        <f ca="1">IFERROR('ORDER Form'!X117,"")</f>
        <v/>
      </c>
      <c r="H116" s="1" t="str">
        <f>IFERROR('ORDER Form'!Y117,"")</f>
        <v/>
      </c>
    </row>
    <row r="117" spans="1:8" ht="15" customHeight="1" x14ac:dyDescent="0.25">
      <c r="A117" s="6" t="str">
        <f>IFERROR(IF('ORDER Form'!V118="","",118),"")</f>
        <v/>
      </c>
      <c r="B117" s="6" t="str">
        <f>IFERROR(IF('ORDER Form'!V118="","",IFERROR(INDEX('PRODUCT DATA'!$A$2:$A$58,MATCH('ORDER Form'!$N118,'PRODUCT DATA'!$B$2:$B$58,0)),'ORDER Form'!$M118)&amp;""),"")</f>
        <v/>
      </c>
      <c r="C117" s="6" t="str">
        <f>IFERROR(IF('ORDER Form'!V118="","",'ORDER Form'!A118&amp;""),"")</f>
        <v/>
      </c>
      <c r="D117" s="6" t="str">
        <f>IFERROR(IF('ORDER Form'!V118="","",'ORDER Form'!D118&amp;""),"")</f>
        <v/>
      </c>
      <c r="E117" s="6" t="str">
        <f>IFERROR('ORDER Form'!V118,"")</f>
        <v/>
      </c>
      <c r="F117" s="1" t="str">
        <f ca="1">IFERROR('ORDER Form'!W118,"")</f>
        <v/>
      </c>
      <c r="G117" s="1" t="str">
        <f ca="1">IFERROR('ORDER Form'!X118,"")</f>
        <v/>
      </c>
      <c r="H117" s="1" t="str">
        <f>IFERROR('ORDER Form'!Y118,"")</f>
        <v/>
      </c>
    </row>
    <row r="118" spans="1:8" ht="15" customHeight="1" x14ac:dyDescent="0.25">
      <c r="A118" s="6" t="str">
        <f>IFERROR(IF('ORDER Form'!V119="","",119),"")</f>
        <v/>
      </c>
      <c r="B118" s="6" t="str">
        <f>IFERROR(IF('ORDER Form'!V119="","",IFERROR(INDEX('PRODUCT DATA'!$A$2:$A$58,MATCH('ORDER Form'!$N119,'PRODUCT DATA'!$B$2:$B$58,0)),'ORDER Form'!$M119)&amp;""),"")</f>
        <v/>
      </c>
      <c r="C118" s="6" t="str">
        <f>IFERROR(IF('ORDER Form'!V119="","",'ORDER Form'!A119&amp;""),"")</f>
        <v/>
      </c>
      <c r="D118" s="6" t="str">
        <f>IFERROR(IF('ORDER Form'!V119="","",'ORDER Form'!D119&amp;""),"")</f>
        <v/>
      </c>
      <c r="E118" s="6" t="str">
        <f>IFERROR('ORDER Form'!V119,"")</f>
        <v/>
      </c>
      <c r="F118" s="1" t="str">
        <f ca="1">IFERROR('ORDER Form'!W119,"")</f>
        <v/>
      </c>
      <c r="G118" s="1" t="str">
        <f ca="1">IFERROR('ORDER Form'!X119,"")</f>
        <v/>
      </c>
      <c r="H118" s="1" t="str">
        <f>IFERROR('ORDER Form'!Y119,"")</f>
        <v/>
      </c>
    </row>
    <row r="119" spans="1:8" ht="15" customHeight="1" x14ac:dyDescent="0.25">
      <c r="A119" s="6" t="str">
        <f>IFERROR(IF('ORDER Form'!V120="","",120),"")</f>
        <v/>
      </c>
      <c r="B119" s="6" t="str">
        <f>IFERROR(IF('ORDER Form'!V120="","",IFERROR(INDEX('PRODUCT DATA'!$A$2:$A$58,MATCH('ORDER Form'!$N120,'PRODUCT DATA'!$B$2:$B$58,0)),'ORDER Form'!$M120)&amp;""),"")</f>
        <v/>
      </c>
      <c r="C119" s="6" t="str">
        <f>IFERROR(IF('ORDER Form'!V120="","",'ORDER Form'!A120&amp;""),"")</f>
        <v/>
      </c>
      <c r="D119" s="6" t="str">
        <f>IFERROR(IF('ORDER Form'!V120="","",'ORDER Form'!D120&amp;""),"")</f>
        <v/>
      </c>
      <c r="E119" s="6" t="str">
        <f>IFERROR('ORDER Form'!V120,"")</f>
        <v/>
      </c>
      <c r="F119" s="1" t="str">
        <f ca="1">IFERROR('ORDER Form'!W120,"")</f>
        <v/>
      </c>
      <c r="G119" s="1" t="str">
        <f ca="1">IFERROR('ORDER Form'!X120,"")</f>
        <v/>
      </c>
      <c r="H119" s="1" t="str">
        <f>IFERROR('ORDER Form'!Y120,"")</f>
        <v/>
      </c>
    </row>
    <row r="120" spans="1:8" ht="15" customHeight="1" x14ac:dyDescent="0.25">
      <c r="A120" s="6" t="str">
        <f>IFERROR(IF('ORDER Form'!V121="","",121),"")</f>
        <v/>
      </c>
      <c r="B120" s="6" t="str">
        <f>IFERROR(IF('ORDER Form'!V121="","",IFERROR(INDEX('PRODUCT DATA'!$A$2:$A$58,MATCH('ORDER Form'!$N121,'PRODUCT DATA'!$B$2:$B$58,0)),'ORDER Form'!$M121)&amp;""),"")</f>
        <v/>
      </c>
      <c r="C120" s="6" t="str">
        <f>IFERROR(IF('ORDER Form'!V121="","",'ORDER Form'!A121&amp;""),"")</f>
        <v/>
      </c>
      <c r="D120" s="6" t="str">
        <f>IFERROR(IF('ORDER Form'!V121="","",'ORDER Form'!D121&amp;""),"")</f>
        <v/>
      </c>
      <c r="E120" s="6" t="str">
        <f>IFERROR('ORDER Form'!V121,"")</f>
        <v/>
      </c>
      <c r="F120" s="1" t="str">
        <f ca="1">IFERROR('ORDER Form'!W121,"")</f>
        <v/>
      </c>
      <c r="G120" s="1" t="str">
        <f ca="1">IFERROR('ORDER Form'!X121,"")</f>
        <v/>
      </c>
      <c r="H120" s="1" t="str">
        <f>IFERROR('ORDER Form'!Y121,"")</f>
        <v/>
      </c>
    </row>
    <row r="121" spans="1:8" ht="15" customHeight="1" x14ac:dyDescent="0.25">
      <c r="A121" s="6" t="str">
        <f>IFERROR(IF('ORDER Form'!V122="","",122),"")</f>
        <v/>
      </c>
      <c r="B121" s="6" t="str">
        <f>IFERROR(IF('ORDER Form'!V122="","",IFERROR(INDEX('PRODUCT DATA'!$A$2:$A$58,MATCH('ORDER Form'!$N122,'PRODUCT DATA'!$B$2:$B$58,0)),'ORDER Form'!$M122)&amp;""),"")</f>
        <v/>
      </c>
      <c r="C121" s="6" t="str">
        <f>IFERROR(IF('ORDER Form'!V122="","",'ORDER Form'!A122&amp;""),"")</f>
        <v/>
      </c>
      <c r="D121" s="6" t="str">
        <f>IFERROR(IF('ORDER Form'!V122="","",'ORDER Form'!D122&amp;""),"")</f>
        <v/>
      </c>
      <c r="E121" s="6" t="str">
        <f>IFERROR('ORDER Form'!V122,"")</f>
        <v/>
      </c>
      <c r="F121" s="1" t="str">
        <f ca="1">IFERROR('ORDER Form'!W122,"")</f>
        <v/>
      </c>
      <c r="G121" s="1" t="str">
        <f ca="1">IFERROR('ORDER Form'!X122,"")</f>
        <v/>
      </c>
      <c r="H121" s="1" t="str">
        <f>IFERROR('ORDER Form'!Y122,"")</f>
        <v/>
      </c>
    </row>
    <row r="122" spans="1:8" ht="15" customHeight="1" x14ac:dyDescent="0.25">
      <c r="A122" s="6" t="str">
        <f>IFERROR(IF('ORDER Form'!V123="","",123),"")</f>
        <v/>
      </c>
      <c r="B122" s="6" t="str">
        <f>IFERROR(IF('ORDER Form'!V123="","",IFERROR(INDEX('PRODUCT DATA'!$A$2:$A$58,MATCH('ORDER Form'!$N123,'PRODUCT DATA'!$B$2:$B$58,0)),'ORDER Form'!$M123)&amp;""),"")</f>
        <v/>
      </c>
      <c r="C122" s="6" t="str">
        <f>IFERROR(IF('ORDER Form'!V123="","",'ORDER Form'!A123&amp;""),"")</f>
        <v/>
      </c>
      <c r="D122" s="6" t="str">
        <f>IFERROR(IF('ORDER Form'!V123="","",'ORDER Form'!D123&amp;""),"")</f>
        <v/>
      </c>
      <c r="E122" s="6" t="str">
        <f>IFERROR('ORDER Form'!V123,"")</f>
        <v/>
      </c>
      <c r="F122" s="1" t="str">
        <f ca="1">IFERROR('ORDER Form'!W123,"")</f>
        <v/>
      </c>
      <c r="G122" s="1" t="str">
        <f ca="1">IFERROR('ORDER Form'!X123,"")</f>
        <v/>
      </c>
      <c r="H122" s="1" t="str">
        <f>IFERROR('ORDER Form'!Y123,"")</f>
        <v/>
      </c>
    </row>
    <row r="123" spans="1:8" ht="15" customHeight="1" x14ac:dyDescent="0.25">
      <c r="A123" s="6" t="str">
        <f>IFERROR(IF('ORDER Form'!V124="","",124),"")</f>
        <v/>
      </c>
      <c r="B123" s="6" t="str">
        <f>IFERROR(IF('ORDER Form'!V124="","",IFERROR(INDEX('PRODUCT DATA'!$A$2:$A$58,MATCH('ORDER Form'!$N124,'PRODUCT DATA'!$B$2:$B$58,0)),'ORDER Form'!$M124)&amp;""),"")</f>
        <v/>
      </c>
      <c r="C123" s="6" t="str">
        <f>IFERROR(IF('ORDER Form'!V124="","",'ORDER Form'!A124&amp;""),"")</f>
        <v/>
      </c>
      <c r="D123" s="6" t="str">
        <f>IFERROR(IF('ORDER Form'!V124="","",'ORDER Form'!D124&amp;""),"")</f>
        <v/>
      </c>
      <c r="E123" s="6" t="str">
        <f>IFERROR('ORDER Form'!V124,"")</f>
        <v/>
      </c>
      <c r="F123" s="1" t="str">
        <f ca="1">IFERROR('ORDER Form'!W124,"")</f>
        <v/>
      </c>
      <c r="G123" s="1" t="str">
        <f ca="1">IFERROR('ORDER Form'!X124,"")</f>
        <v/>
      </c>
      <c r="H123" s="1" t="str">
        <f>IFERROR('ORDER Form'!Y124,"")</f>
        <v/>
      </c>
    </row>
    <row r="124" spans="1:8" ht="15" customHeight="1" x14ac:dyDescent="0.25">
      <c r="A124" s="6" t="str">
        <f>IFERROR(IF('ORDER Form'!V125="","",125),"")</f>
        <v/>
      </c>
      <c r="B124" s="6" t="str">
        <f>IFERROR(IF('ORDER Form'!V125="","",IFERROR(INDEX('PRODUCT DATA'!$A$2:$A$58,MATCH('ORDER Form'!$N125,'PRODUCT DATA'!$B$2:$B$58,0)),'ORDER Form'!$M125)&amp;""),"")</f>
        <v/>
      </c>
      <c r="C124" s="6" t="str">
        <f>IFERROR(IF('ORDER Form'!V125="","",'ORDER Form'!A125&amp;""),"")</f>
        <v/>
      </c>
      <c r="D124" s="6" t="str">
        <f>IFERROR(IF('ORDER Form'!V125="","",'ORDER Form'!D125&amp;""),"")</f>
        <v/>
      </c>
      <c r="E124" s="6" t="str">
        <f>IFERROR('ORDER Form'!V125,"")</f>
        <v/>
      </c>
      <c r="F124" s="1" t="str">
        <f ca="1">IFERROR('ORDER Form'!W125,"")</f>
        <v/>
      </c>
      <c r="G124" s="1" t="str">
        <f ca="1">IFERROR('ORDER Form'!X125,"")</f>
        <v/>
      </c>
      <c r="H124" s="1" t="str">
        <f>IFERROR('ORDER Form'!Y125,"")</f>
        <v/>
      </c>
    </row>
    <row r="125" spans="1:8" ht="15" customHeight="1" x14ac:dyDescent="0.25">
      <c r="A125" s="6" t="str">
        <f>IFERROR(IF('ORDER Form'!V126="","",126),"")</f>
        <v/>
      </c>
      <c r="B125" s="6" t="str">
        <f>IFERROR(IF('ORDER Form'!V126="","",IFERROR(INDEX('PRODUCT DATA'!$A$2:$A$58,MATCH('ORDER Form'!$N126,'PRODUCT DATA'!$B$2:$B$58,0)),'ORDER Form'!$M126)&amp;""),"")</f>
        <v/>
      </c>
      <c r="C125" s="6" t="str">
        <f>IFERROR(IF('ORDER Form'!V126="","",'ORDER Form'!A126&amp;""),"")</f>
        <v/>
      </c>
      <c r="D125" s="6" t="str">
        <f>IFERROR(IF('ORDER Form'!V126="","",'ORDER Form'!D126&amp;""),"")</f>
        <v/>
      </c>
      <c r="E125" s="6" t="str">
        <f>IFERROR('ORDER Form'!V126,"")</f>
        <v/>
      </c>
      <c r="F125" s="1" t="str">
        <f ca="1">IFERROR('ORDER Form'!W126,"")</f>
        <v/>
      </c>
      <c r="G125" s="1" t="str">
        <f ca="1">IFERROR('ORDER Form'!X126,"")</f>
        <v/>
      </c>
      <c r="H125" s="1" t="str">
        <f>IFERROR('ORDER Form'!Y126,"")</f>
        <v/>
      </c>
    </row>
    <row r="126" spans="1:8" ht="15" customHeight="1" x14ac:dyDescent="0.25">
      <c r="A126" s="6" t="str">
        <f>IFERROR(IF('ORDER Form'!V127="","",127),"")</f>
        <v/>
      </c>
      <c r="B126" s="6" t="str">
        <f>IFERROR(IF('ORDER Form'!V127="","",IFERROR(INDEX('PRODUCT DATA'!$A$2:$A$58,MATCH('ORDER Form'!$N127,'PRODUCT DATA'!$B$2:$B$58,0)),'ORDER Form'!$M127)&amp;""),"")</f>
        <v/>
      </c>
      <c r="C126" s="6" t="str">
        <f>IFERROR(IF('ORDER Form'!V127="","",'ORDER Form'!A127&amp;""),"")</f>
        <v/>
      </c>
      <c r="D126" s="6" t="str">
        <f>IFERROR(IF('ORDER Form'!V127="","",'ORDER Form'!D127&amp;""),"")</f>
        <v/>
      </c>
      <c r="E126" s="6" t="str">
        <f>IFERROR('ORDER Form'!V127,"")</f>
        <v/>
      </c>
      <c r="F126" s="1" t="str">
        <f ca="1">IFERROR('ORDER Form'!W127,"")</f>
        <v/>
      </c>
      <c r="G126" s="1" t="str">
        <f ca="1">IFERROR('ORDER Form'!X127,"")</f>
        <v/>
      </c>
      <c r="H126" s="1" t="str">
        <f>IFERROR('ORDER Form'!Y127,"")</f>
        <v/>
      </c>
    </row>
    <row r="127" spans="1:8" ht="15" customHeight="1" x14ac:dyDescent="0.25">
      <c r="A127" s="6" t="str">
        <f>IFERROR(IF('ORDER Form'!V128="","",128),"")</f>
        <v/>
      </c>
      <c r="B127" s="6" t="str">
        <f>IFERROR(IF('ORDER Form'!V128="","",IFERROR(INDEX('PRODUCT DATA'!$A$2:$A$58,MATCH('ORDER Form'!$N128,'PRODUCT DATA'!$B$2:$B$58,0)),'ORDER Form'!$M128)&amp;""),"")</f>
        <v/>
      </c>
      <c r="C127" s="6" t="str">
        <f>IFERROR(IF('ORDER Form'!V128="","",'ORDER Form'!A128&amp;""),"")</f>
        <v/>
      </c>
      <c r="D127" s="6" t="str">
        <f>IFERROR(IF('ORDER Form'!V128="","",'ORDER Form'!D128&amp;""),"")</f>
        <v/>
      </c>
      <c r="E127" s="6" t="str">
        <f>IFERROR('ORDER Form'!V128,"")</f>
        <v/>
      </c>
      <c r="F127" s="1" t="str">
        <f ca="1">IFERROR('ORDER Form'!W128,"")</f>
        <v/>
      </c>
      <c r="G127" s="1" t="str">
        <f ca="1">IFERROR('ORDER Form'!X128,"")</f>
        <v/>
      </c>
      <c r="H127" s="1" t="str">
        <f>IFERROR('ORDER Form'!Y128,"")</f>
        <v/>
      </c>
    </row>
    <row r="128" spans="1:8" ht="15" customHeight="1" x14ac:dyDescent="0.25">
      <c r="A128" s="6" t="str">
        <f>IFERROR(IF('ORDER Form'!V129="","",129),"")</f>
        <v/>
      </c>
      <c r="B128" s="6" t="str">
        <f>IFERROR(IF('ORDER Form'!V129="","",IFERROR(INDEX('PRODUCT DATA'!$A$2:$A$58,MATCH('ORDER Form'!$N129,'PRODUCT DATA'!$B$2:$B$58,0)),'ORDER Form'!$M129)&amp;""),"")</f>
        <v/>
      </c>
      <c r="C128" s="6" t="str">
        <f>IFERROR(IF('ORDER Form'!V129="","",'ORDER Form'!A129&amp;""),"")</f>
        <v/>
      </c>
      <c r="D128" s="6" t="str">
        <f>IFERROR(IF('ORDER Form'!V129="","",'ORDER Form'!D129&amp;""),"")</f>
        <v/>
      </c>
      <c r="E128" s="6" t="str">
        <f>IFERROR('ORDER Form'!V129,"")</f>
        <v/>
      </c>
      <c r="F128" s="1" t="str">
        <f ca="1">IFERROR('ORDER Form'!W129,"")</f>
        <v/>
      </c>
      <c r="G128" s="1" t="str">
        <f ca="1">IFERROR('ORDER Form'!X129,"")</f>
        <v/>
      </c>
      <c r="H128" s="1" t="str">
        <f>IFERROR('ORDER Form'!Y129,"")</f>
        <v/>
      </c>
    </row>
    <row r="129" spans="1:8" ht="15" customHeight="1" x14ac:dyDescent="0.25">
      <c r="A129" s="6" t="str">
        <f>IFERROR(IF('ORDER Form'!V130="","",130),"")</f>
        <v/>
      </c>
      <c r="B129" s="6" t="str">
        <f>IFERROR(IF('ORDER Form'!V130="","",IFERROR(INDEX('PRODUCT DATA'!$A$2:$A$58,MATCH('ORDER Form'!$N130,'PRODUCT DATA'!$B$2:$B$58,0)),'ORDER Form'!$M130)&amp;""),"")</f>
        <v/>
      </c>
      <c r="C129" s="6" t="str">
        <f>IFERROR(IF('ORDER Form'!V130="","",'ORDER Form'!A130&amp;""),"")</f>
        <v/>
      </c>
      <c r="D129" s="6" t="str">
        <f>IFERROR(IF('ORDER Form'!V130="","",'ORDER Form'!D130&amp;""),"")</f>
        <v/>
      </c>
      <c r="E129" s="6" t="str">
        <f>IFERROR('ORDER Form'!V130,"")</f>
        <v/>
      </c>
      <c r="F129" s="1" t="str">
        <f ca="1">IFERROR('ORDER Form'!W130,"")</f>
        <v/>
      </c>
      <c r="G129" s="1" t="str">
        <f ca="1">IFERROR('ORDER Form'!X130,"")</f>
        <v/>
      </c>
      <c r="H129" s="1" t="str">
        <f>IFERROR('ORDER Form'!Y130,"")</f>
        <v/>
      </c>
    </row>
    <row r="130" spans="1:8" ht="15" customHeight="1" x14ac:dyDescent="0.25">
      <c r="A130" s="6" t="str">
        <f>IFERROR(IF('ORDER Form'!V131="","",131),"")</f>
        <v/>
      </c>
      <c r="B130" s="6" t="str">
        <f>IFERROR(IF('ORDER Form'!V131="","",IFERROR(INDEX('PRODUCT DATA'!$A$2:$A$58,MATCH('ORDER Form'!$N131,'PRODUCT DATA'!$B$2:$B$58,0)),'ORDER Form'!$M131)&amp;""),"")</f>
        <v/>
      </c>
      <c r="C130" s="6" t="str">
        <f>IFERROR(IF('ORDER Form'!V131="","",'ORDER Form'!A131&amp;""),"")</f>
        <v/>
      </c>
      <c r="D130" s="6" t="str">
        <f>IFERROR(IF('ORDER Form'!V131="","",'ORDER Form'!D131&amp;""),"")</f>
        <v/>
      </c>
      <c r="E130" s="6" t="str">
        <f>IFERROR('ORDER Form'!V131,"")</f>
        <v/>
      </c>
      <c r="F130" s="1" t="str">
        <f ca="1">IFERROR('ORDER Form'!W131,"")</f>
        <v/>
      </c>
      <c r="G130" s="1" t="str">
        <f ca="1">IFERROR('ORDER Form'!X131,"")</f>
        <v/>
      </c>
      <c r="H130" s="1" t="str">
        <f>IFERROR('ORDER Form'!Y131,"")</f>
        <v/>
      </c>
    </row>
    <row r="131" spans="1:8" ht="15" customHeight="1" x14ac:dyDescent="0.25">
      <c r="A131" s="6" t="str">
        <f>IFERROR(IF('ORDER Form'!V132="","",132),"")</f>
        <v/>
      </c>
      <c r="B131" s="6" t="str">
        <f>IFERROR(IF('ORDER Form'!V132="","",IFERROR(INDEX('PRODUCT DATA'!$A$2:$A$58,MATCH('ORDER Form'!$N132,'PRODUCT DATA'!$B$2:$B$58,0)),'ORDER Form'!$M132)&amp;""),"")</f>
        <v/>
      </c>
      <c r="C131" s="6" t="str">
        <f>IFERROR(IF('ORDER Form'!V132="","",'ORDER Form'!A132&amp;""),"")</f>
        <v/>
      </c>
      <c r="D131" s="6" t="str">
        <f>IFERROR(IF('ORDER Form'!V132="","",'ORDER Form'!D132&amp;""),"")</f>
        <v/>
      </c>
      <c r="E131" s="6" t="str">
        <f>IFERROR('ORDER Form'!V132,"")</f>
        <v/>
      </c>
      <c r="F131" s="1" t="str">
        <f ca="1">IFERROR('ORDER Form'!W132,"")</f>
        <v/>
      </c>
      <c r="G131" s="1" t="str">
        <f ca="1">IFERROR('ORDER Form'!X132,"")</f>
        <v/>
      </c>
      <c r="H131" s="1" t="str">
        <f>IFERROR('ORDER Form'!Y132,"")</f>
        <v/>
      </c>
    </row>
    <row r="132" spans="1:8" ht="15" customHeight="1" x14ac:dyDescent="0.25">
      <c r="A132" s="6" t="str">
        <f>IFERROR(IF('ORDER Form'!V133="","",133),"")</f>
        <v/>
      </c>
      <c r="B132" s="6" t="str">
        <f>IFERROR(IF('ORDER Form'!V133="","",IFERROR(INDEX('PRODUCT DATA'!$A$2:$A$58,MATCH('ORDER Form'!$N133,'PRODUCT DATA'!$B$2:$B$58,0)),'ORDER Form'!$M133)&amp;""),"")</f>
        <v/>
      </c>
      <c r="C132" s="6" t="str">
        <f>IFERROR(IF('ORDER Form'!V133="","",'ORDER Form'!A133&amp;""),"")</f>
        <v/>
      </c>
      <c r="D132" s="6" t="str">
        <f>IFERROR(IF('ORDER Form'!V133="","",'ORDER Form'!D133&amp;""),"")</f>
        <v/>
      </c>
      <c r="E132" s="6" t="str">
        <f>IFERROR('ORDER Form'!V133,"")</f>
        <v/>
      </c>
      <c r="F132" s="1" t="str">
        <f ca="1">IFERROR('ORDER Form'!W133,"")</f>
        <v/>
      </c>
      <c r="G132" s="1" t="str">
        <f ca="1">IFERROR('ORDER Form'!X133,"")</f>
        <v/>
      </c>
      <c r="H132" s="1" t="str">
        <f>IFERROR('ORDER Form'!Y133,"")</f>
        <v/>
      </c>
    </row>
    <row r="133" spans="1:8" ht="15" customHeight="1" x14ac:dyDescent="0.25">
      <c r="A133" s="6" t="str">
        <f>IFERROR(IF('ORDER Form'!V134="","",134),"")</f>
        <v/>
      </c>
      <c r="B133" s="6" t="str">
        <f>IFERROR(IF('ORDER Form'!V134="","",IFERROR(INDEX('PRODUCT DATA'!$A$2:$A$58,MATCH('ORDER Form'!$N134,'PRODUCT DATA'!$B$2:$B$58,0)),'ORDER Form'!$M134)&amp;""),"")</f>
        <v/>
      </c>
      <c r="C133" s="6" t="str">
        <f>IFERROR(IF('ORDER Form'!V134="","",'ORDER Form'!A134&amp;""),"")</f>
        <v/>
      </c>
      <c r="D133" s="6" t="str">
        <f>IFERROR(IF('ORDER Form'!V134="","",'ORDER Form'!D134&amp;""),"")</f>
        <v/>
      </c>
      <c r="E133" s="6" t="str">
        <f>IFERROR('ORDER Form'!V134,"")</f>
        <v/>
      </c>
      <c r="F133" s="1" t="str">
        <f ca="1">IFERROR('ORDER Form'!W134,"")</f>
        <v/>
      </c>
      <c r="G133" s="1" t="str">
        <f ca="1">IFERROR('ORDER Form'!X134,"")</f>
        <v/>
      </c>
      <c r="H133" s="1" t="str">
        <f>IFERROR('ORDER Form'!Y134,"")</f>
        <v/>
      </c>
    </row>
    <row r="134" spans="1:8" ht="15" customHeight="1" x14ac:dyDescent="0.25">
      <c r="A134" s="6" t="str">
        <f>IFERROR(IF('ORDER Form'!V135="","",135),"")</f>
        <v/>
      </c>
      <c r="B134" s="6" t="str">
        <f>IFERROR(IF('ORDER Form'!V135="","",IFERROR(INDEX('PRODUCT DATA'!$A$2:$A$58,MATCH('ORDER Form'!$N135,'PRODUCT DATA'!$B$2:$B$58,0)),'ORDER Form'!$M135)&amp;""),"")</f>
        <v/>
      </c>
      <c r="C134" s="6" t="str">
        <f>IFERROR(IF('ORDER Form'!V135="","",'ORDER Form'!A135&amp;""),"")</f>
        <v/>
      </c>
      <c r="D134" s="6" t="str">
        <f>IFERROR(IF('ORDER Form'!V135="","",'ORDER Form'!D135&amp;""),"")</f>
        <v/>
      </c>
      <c r="E134" s="6" t="str">
        <f>IFERROR('ORDER Form'!V135,"")</f>
        <v/>
      </c>
      <c r="F134" s="1" t="str">
        <f ca="1">IFERROR('ORDER Form'!W135,"")</f>
        <v/>
      </c>
      <c r="G134" s="1" t="str">
        <f ca="1">IFERROR('ORDER Form'!X135,"")</f>
        <v/>
      </c>
      <c r="H134" s="1" t="str">
        <f>IFERROR('ORDER Form'!Y135,"")</f>
        <v/>
      </c>
    </row>
    <row r="135" spans="1:8" ht="15" customHeight="1" x14ac:dyDescent="0.25">
      <c r="A135" s="6" t="str">
        <f>IFERROR(IF('ORDER Form'!V136="","",136),"")</f>
        <v/>
      </c>
      <c r="B135" s="6" t="str">
        <f>IFERROR(IF('ORDER Form'!V136="","",IFERROR(INDEX('PRODUCT DATA'!$A$2:$A$58,MATCH('ORDER Form'!$N136,'PRODUCT DATA'!$B$2:$B$58,0)),'ORDER Form'!$M136)&amp;""),"")</f>
        <v/>
      </c>
      <c r="C135" s="6" t="str">
        <f>IFERROR(IF('ORDER Form'!V136="","",'ORDER Form'!A136&amp;""),"")</f>
        <v/>
      </c>
      <c r="D135" s="6" t="str">
        <f>IFERROR(IF('ORDER Form'!V136="","",'ORDER Form'!D136&amp;""),"")</f>
        <v/>
      </c>
      <c r="E135" s="6" t="str">
        <f>IFERROR('ORDER Form'!V136,"")</f>
        <v/>
      </c>
      <c r="F135" s="1" t="str">
        <f ca="1">IFERROR('ORDER Form'!W136,"")</f>
        <v/>
      </c>
      <c r="G135" s="1" t="str">
        <f ca="1">IFERROR('ORDER Form'!X136,"")</f>
        <v/>
      </c>
      <c r="H135" s="1" t="str">
        <f>IFERROR('ORDER Form'!Y136,"")</f>
        <v/>
      </c>
    </row>
    <row r="136" spans="1:8" ht="15" customHeight="1" x14ac:dyDescent="0.25">
      <c r="A136" s="6" t="str">
        <f>IFERROR(IF('ORDER Form'!V137="","",137),"")</f>
        <v/>
      </c>
      <c r="B136" s="6" t="str">
        <f>IFERROR(IF('ORDER Form'!V137="","",IFERROR(INDEX('PRODUCT DATA'!$A$2:$A$58,MATCH('ORDER Form'!$N137,'PRODUCT DATA'!$B$2:$B$58,0)),'ORDER Form'!$M137)&amp;""),"")</f>
        <v/>
      </c>
      <c r="C136" s="6" t="str">
        <f>IFERROR(IF('ORDER Form'!V137="","",'ORDER Form'!A137&amp;""),"")</f>
        <v/>
      </c>
      <c r="D136" s="6" t="str">
        <f>IFERROR(IF('ORDER Form'!V137="","",'ORDER Form'!D137&amp;""),"")</f>
        <v/>
      </c>
      <c r="E136" s="6" t="str">
        <f>IFERROR('ORDER Form'!V137,"")</f>
        <v/>
      </c>
      <c r="F136" s="1" t="str">
        <f ca="1">IFERROR('ORDER Form'!W137,"")</f>
        <v/>
      </c>
      <c r="G136" s="1" t="str">
        <f ca="1">IFERROR('ORDER Form'!X137,"")</f>
        <v/>
      </c>
      <c r="H136" s="1" t="str">
        <f>IFERROR('ORDER Form'!Y137,"")</f>
        <v/>
      </c>
    </row>
    <row r="137" spans="1:8" ht="15" customHeight="1" x14ac:dyDescent="0.25">
      <c r="A137" s="6" t="str">
        <f>IFERROR(IF('ORDER Form'!V138="","",138),"")</f>
        <v/>
      </c>
      <c r="B137" s="6" t="str">
        <f>IFERROR(IF('ORDER Form'!V138="","",IFERROR(INDEX('PRODUCT DATA'!$A$2:$A$58,MATCH('ORDER Form'!$N138,'PRODUCT DATA'!$B$2:$B$58,0)),'ORDER Form'!$M138)&amp;""),"")</f>
        <v/>
      </c>
      <c r="C137" s="6" t="str">
        <f>IFERROR(IF('ORDER Form'!V138="","",'ORDER Form'!A138&amp;""),"")</f>
        <v/>
      </c>
      <c r="D137" s="6" t="str">
        <f>IFERROR(IF('ORDER Form'!V138="","",'ORDER Form'!D138&amp;""),"")</f>
        <v/>
      </c>
      <c r="E137" s="6" t="str">
        <f>IFERROR('ORDER Form'!V138,"")</f>
        <v/>
      </c>
      <c r="F137" s="1" t="str">
        <f ca="1">IFERROR('ORDER Form'!W138,"")</f>
        <v/>
      </c>
      <c r="G137" s="1" t="str">
        <f ca="1">IFERROR('ORDER Form'!X138,"")</f>
        <v/>
      </c>
      <c r="H137" s="1" t="str">
        <f>IFERROR('ORDER Form'!Y138,"")</f>
        <v/>
      </c>
    </row>
    <row r="138" spans="1:8" ht="15" customHeight="1" x14ac:dyDescent="0.25">
      <c r="A138" s="6" t="str">
        <f>IFERROR(IF('ORDER Form'!V139="","",139),"")</f>
        <v/>
      </c>
      <c r="B138" s="6" t="str">
        <f>IFERROR(IF('ORDER Form'!V139="","",IFERROR(INDEX('PRODUCT DATA'!$A$2:$A$58,MATCH('ORDER Form'!$N139,'PRODUCT DATA'!$B$2:$B$58,0)),'ORDER Form'!$M139)&amp;""),"")</f>
        <v/>
      </c>
      <c r="C138" s="6" t="str">
        <f>IFERROR(IF('ORDER Form'!V139="","",'ORDER Form'!A139&amp;""),"")</f>
        <v/>
      </c>
      <c r="D138" s="6" t="str">
        <f>IFERROR(IF('ORDER Form'!V139="","",'ORDER Form'!D139&amp;""),"")</f>
        <v/>
      </c>
      <c r="E138" s="6" t="str">
        <f>IFERROR('ORDER Form'!V139,"")</f>
        <v/>
      </c>
      <c r="F138" s="1" t="str">
        <f ca="1">IFERROR('ORDER Form'!W139,"")</f>
        <v/>
      </c>
      <c r="G138" s="1" t="str">
        <f ca="1">IFERROR('ORDER Form'!X139,"")</f>
        <v/>
      </c>
      <c r="H138" s="1" t="str">
        <f>IFERROR('ORDER Form'!Y139,"")</f>
        <v/>
      </c>
    </row>
    <row r="139" spans="1:8" ht="15" customHeight="1" x14ac:dyDescent="0.25">
      <c r="A139" s="6" t="str">
        <f>IFERROR(IF('ORDER Form'!V140="","",140),"")</f>
        <v/>
      </c>
      <c r="B139" s="6" t="str">
        <f>IFERROR(IF('ORDER Form'!V140="","",IFERROR(INDEX('PRODUCT DATA'!$A$2:$A$58,MATCH('ORDER Form'!$N140,'PRODUCT DATA'!$B$2:$B$58,0)),'ORDER Form'!$M140)&amp;""),"")</f>
        <v/>
      </c>
      <c r="C139" s="6" t="str">
        <f>IFERROR(IF('ORDER Form'!V140="","",'ORDER Form'!A140&amp;""),"")</f>
        <v/>
      </c>
      <c r="D139" s="6" t="str">
        <f>IFERROR(IF('ORDER Form'!V140="","",'ORDER Form'!D140&amp;""),"")</f>
        <v/>
      </c>
      <c r="E139" s="6" t="str">
        <f>IFERROR('ORDER Form'!V140,"")</f>
        <v/>
      </c>
      <c r="F139" s="1" t="str">
        <f ca="1">IFERROR('ORDER Form'!W140,"")</f>
        <v/>
      </c>
      <c r="G139" s="1" t="str">
        <f ca="1">IFERROR('ORDER Form'!X140,"")</f>
        <v/>
      </c>
      <c r="H139" s="1" t="str">
        <f>IFERROR('ORDER Form'!Y140,"")</f>
        <v/>
      </c>
    </row>
    <row r="140" spans="1:8" ht="15" customHeight="1" x14ac:dyDescent="0.25">
      <c r="A140" s="6" t="str">
        <f>IFERROR(IF('ORDER Form'!V141="","",141),"")</f>
        <v/>
      </c>
      <c r="B140" s="6" t="str">
        <f>IFERROR(IF('ORDER Form'!V141="","",IFERROR(INDEX('PRODUCT DATA'!$A$2:$A$58,MATCH('ORDER Form'!$N141,'PRODUCT DATA'!$B$2:$B$58,0)),'ORDER Form'!$M141)&amp;""),"")</f>
        <v/>
      </c>
      <c r="C140" s="6" t="str">
        <f>IFERROR(IF('ORDER Form'!V141="","",'ORDER Form'!A141&amp;""),"")</f>
        <v/>
      </c>
      <c r="D140" s="6" t="str">
        <f>IFERROR(IF('ORDER Form'!V141="","",'ORDER Form'!D141&amp;""),"")</f>
        <v/>
      </c>
      <c r="E140" s="6" t="str">
        <f>IFERROR('ORDER Form'!V141,"")</f>
        <v/>
      </c>
      <c r="F140" s="1" t="str">
        <f ca="1">IFERROR('ORDER Form'!W141,"")</f>
        <v/>
      </c>
      <c r="G140" s="1" t="str">
        <f ca="1">IFERROR('ORDER Form'!X141,"")</f>
        <v/>
      </c>
      <c r="H140" s="1" t="str">
        <f>IFERROR('ORDER Form'!Y141,"")</f>
        <v/>
      </c>
    </row>
    <row r="141" spans="1:8" ht="15" customHeight="1" x14ac:dyDescent="0.25">
      <c r="A141" s="6" t="str">
        <f>IFERROR(IF('ORDER Form'!V142="","",142),"")</f>
        <v/>
      </c>
      <c r="B141" s="6" t="str">
        <f>IFERROR(IF('ORDER Form'!V142="","",IFERROR(INDEX('PRODUCT DATA'!$A$2:$A$58,MATCH('ORDER Form'!$N142,'PRODUCT DATA'!$B$2:$B$58,0)),'ORDER Form'!$M142)&amp;""),"")</f>
        <v/>
      </c>
      <c r="C141" s="6" t="str">
        <f>IFERROR(IF('ORDER Form'!V142="","",'ORDER Form'!A142&amp;""),"")</f>
        <v/>
      </c>
      <c r="D141" s="6" t="str">
        <f>IFERROR(IF('ORDER Form'!V142="","",'ORDER Form'!D142&amp;""),"")</f>
        <v/>
      </c>
      <c r="E141" s="6" t="str">
        <f>IFERROR('ORDER Form'!V142,"")</f>
        <v/>
      </c>
      <c r="F141" s="1" t="str">
        <f ca="1">IFERROR('ORDER Form'!W142,"")</f>
        <v/>
      </c>
      <c r="G141" s="1" t="str">
        <f ca="1">IFERROR('ORDER Form'!X142,"")</f>
        <v/>
      </c>
      <c r="H141" s="1" t="str">
        <f>IFERROR('ORDER Form'!Y142,"")</f>
        <v/>
      </c>
    </row>
    <row r="142" spans="1:8" ht="15" customHeight="1" x14ac:dyDescent="0.25">
      <c r="A142" s="6" t="str">
        <f>IFERROR(IF('ORDER Form'!V143="","",143),"")</f>
        <v/>
      </c>
      <c r="B142" s="6" t="str">
        <f>IFERROR(IF('ORDER Form'!V143="","",IFERROR(INDEX('PRODUCT DATA'!$A$2:$A$58,MATCH('ORDER Form'!$N143,'PRODUCT DATA'!$B$2:$B$58,0)),'ORDER Form'!$M143)&amp;""),"")</f>
        <v/>
      </c>
      <c r="C142" s="6" t="str">
        <f>IFERROR(IF('ORDER Form'!V143="","",'ORDER Form'!A143&amp;""),"")</f>
        <v/>
      </c>
      <c r="D142" s="6" t="str">
        <f>IFERROR(IF('ORDER Form'!V143="","",'ORDER Form'!D143&amp;""),"")</f>
        <v/>
      </c>
      <c r="E142" s="6" t="str">
        <f>IFERROR('ORDER Form'!V143,"")</f>
        <v/>
      </c>
      <c r="F142" s="1" t="str">
        <f ca="1">IFERROR('ORDER Form'!W143,"")</f>
        <v/>
      </c>
      <c r="G142" s="1" t="str">
        <f ca="1">IFERROR('ORDER Form'!X143,"")</f>
        <v/>
      </c>
      <c r="H142" s="1" t="str">
        <f>IFERROR('ORDER Form'!Y143,"")</f>
        <v/>
      </c>
    </row>
    <row r="143" spans="1:8" ht="15" customHeight="1" x14ac:dyDescent="0.25">
      <c r="A143" s="6" t="str">
        <f>IFERROR(IF('ORDER Form'!V144="","",144),"")</f>
        <v/>
      </c>
      <c r="B143" s="6" t="str">
        <f>IFERROR(IF('ORDER Form'!V144="","",IFERROR(INDEX('PRODUCT DATA'!$A$2:$A$58,MATCH('ORDER Form'!$N144,'PRODUCT DATA'!$B$2:$B$58,0)),'ORDER Form'!$M144)&amp;""),"")</f>
        <v/>
      </c>
      <c r="C143" s="6" t="str">
        <f>IFERROR(IF('ORDER Form'!V144="","",'ORDER Form'!A144&amp;""),"")</f>
        <v/>
      </c>
      <c r="D143" s="6" t="str">
        <f>IFERROR(IF('ORDER Form'!V144="","",'ORDER Form'!D144&amp;""),"")</f>
        <v/>
      </c>
      <c r="E143" s="6" t="str">
        <f>IFERROR('ORDER Form'!V144,"")</f>
        <v/>
      </c>
      <c r="F143" s="1" t="str">
        <f ca="1">IFERROR('ORDER Form'!W144,"")</f>
        <v/>
      </c>
      <c r="G143" s="1" t="str">
        <f ca="1">IFERROR('ORDER Form'!X144,"")</f>
        <v/>
      </c>
      <c r="H143" s="1" t="str">
        <f>IFERROR('ORDER Form'!Y144,"")</f>
        <v/>
      </c>
    </row>
    <row r="144" spans="1:8" ht="15" customHeight="1" x14ac:dyDescent="0.25">
      <c r="A144" s="6" t="str">
        <f>IFERROR(IF('ORDER Form'!V145="","",145),"")</f>
        <v/>
      </c>
      <c r="B144" s="6" t="str">
        <f>IFERROR(IF('ORDER Form'!V145="","",IFERROR(INDEX('PRODUCT DATA'!$A$2:$A$58,MATCH('ORDER Form'!$N145,'PRODUCT DATA'!$B$2:$B$58,0)),'ORDER Form'!$M145)&amp;""),"")</f>
        <v/>
      </c>
      <c r="C144" s="6" t="str">
        <f>IFERROR(IF('ORDER Form'!V145="","",'ORDER Form'!A145&amp;""),"")</f>
        <v/>
      </c>
      <c r="D144" s="6" t="str">
        <f>IFERROR(IF('ORDER Form'!V145="","",'ORDER Form'!D145&amp;""),"")</f>
        <v/>
      </c>
      <c r="E144" s="6" t="str">
        <f>IFERROR('ORDER Form'!V145,"")</f>
        <v/>
      </c>
      <c r="F144" s="1" t="str">
        <f ca="1">IFERROR('ORDER Form'!W145,"")</f>
        <v/>
      </c>
      <c r="G144" s="1" t="str">
        <f ca="1">IFERROR('ORDER Form'!X145,"")</f>
        <v/>
      </c>
      <c r="H144" s="1" t="str">
        <f>IFERROR('ORDER Form'!Y145,"")</f>
        <v/>
      </c>
    </row>
    <row r="145" spans="1:8" ht="15" customHeight="1" x14ac:dyDescent="0.25">
      <c r="A145" s="6" t="str">
        <f>IFERROR(IF('ORDER Form'!V146="","",146),"")</f>
        <v/>
      </c>
      <c r="B145" s="6" t="str">
        <f>IFERROR(IF('ORDER Form'!V146="","",IFERROR(INDEX('PRODUCT DATA'!$A$2:$A$58,MATCH('ORDER Form'!$N146,'PRODUCT DATA'!$B$2:$B$58,0)),'ORDER Form'!$M146)&amp;""),"")</f>
        <v/>
      </c>
      <c r="C145" s="6" t="str">
        <f>IFERROR(IF('ORDER Form'!V146="","",'ORDER Form'!A146&amp;""),"")</f>
        <v/>
      </c>
      <c r="D145" s="6" t="str">
        <f>IFERROR(IF('ORDER Form'!V146="","",'ORDER Form'!D146&amp;""),"")</f>
        <v/>
      </c>
      <c r="E145" s="6" t="str">
        <f>IFERROR('ORDER Form'!V146,"")</f>
        <v/>
      </c>
      <c r="F145" s="1" t="str">
        <f ca="1">IFERROR('ORDER Form'!W146,"")</f>
        <v/>
      </c>
      <c r="G145" s="1" t="str">
        <f ca="1">IFERROR('ORDER Form'!X146,"")</f>
        <v/>
      </c>
      <c r="H145" s="1" t="str">
        <f>IFERROR('ORDER Form'!Y146,"")</f>
        <v/>
      </c>
    </row>
    <row r="146" spans="1:8" ht="15" customHeight="1" x14ac:dyDescent="0.25">
      <c r="A146" s="6" t="str">
        <f>IFERROR(IF('ORDER Form'!V147="","",147),"")</f>
        <v/>
      </c>
      <c r="B146" s="6" t="str">
        <f>IFERROR(IF('ORDER Form'!V147="","",IFERROR(INDEX('PRODUCT DATA'!$A$2:$A$58,MATCH('ORDER Form'!$N147,'PRODUCT DATA'!$B$2:$B$58,0)),'ORDER Form'!$M147)&amp;""),"")</f>
        <v/>
      </c>
      <c r="C146" s="6" t="str">
        <f>IFERROR(IF('ORDER Form'!V147="","",'ORDER Form'!A147&amp;""),"")</f>
        <v/>
      </c>
      <c r="D146" s="6" t="str">
        <f>IFERROR(IF('ORDER Form'!V147="","",'ORDER Form'!D147&amp;""),"")</f>
        <v/>
      </c>
      <c r="E146" s="6" t="str">
        <f>IFERROR('ORDER Form'!V147,"")</f>
        <v/>
      </c>
      <c r="F146" s="1" t="str">
        <f ca="1">IFERROR('ORDER Form'!W147,"")</f>
        <v/>
      </c>
      <c r="G146" s="1" t="str">
        <f ca="1">IFERROR('ORDER Form'!X147,"")</f>
        <v/>
      </c>
      <c r="H146" s="1" t="str">
        <f>IFERROR('ORDER Form'!Y147,"")</f>
        <v/>
      </c>
    </row>
    <row r="147" spans="1:8" ht="15" customHeight="1" x14ac:dyDescent="0.25">
      <c r="A147" s="6" t="str">
        <f>IFERROR(IF('ORDER Form'!V148="","",148),"")</f>
        <v/>
      </c>
      <c r="B147" s="6" t="str">
        <f>IFERROR(IF('ORDER Form'!V148="","",IFERROR(INDEX('PRODUCT DATA'!$A$2:$A$58,MATCH('ORDER Form'!$N148,'PRODUCT DATA'!$B$2:$B$58,0)),'ORDER Form'!$M148)&amp;""),"")</f>
        <v/>
      </c>
      <c r="C147" s="6" t="str">
        <f>IFERROR(IF('ORDER Form'!V148="","",'ORDER Form'!A148&amp;""),"")</f>
        <v/>
      </c>
      <c r="D147" s="6" t="str">
        <f>IFERROR(IF('ORDER Form'!V148="","",'ORDER Form'!D148&amp;""),"")</f>
        <v/>
      </c>
      <c r="E147" s="6" t="str">
        <f>IFERROR('ORDER Form'!V148,"")</f>
        <v/>
      </c>
      <c r="F147" s="1" t="str">
        <f ca="1">IFERROR('ORDER Form'!W148,"")</f>
        <v/>
      </c>
      <c r="G147" s="1" t="str">
        <f ca="1">IFERROR('ORDER Form'!X148,"")</f>
        <v/>
      </c>
      <c r="H147" s="1" t="str">
        <f>IFERROR('ORDER Form'!Y148,"")</f>
        <v/>
      </c>
    </row>
    <row r="148" spans="1:8" ht="15" customHeight="1" x14ac:dyDescent="0.25">
      <c r="A148" s="6" t="str">
        <f>IFERROR(IF('ORDER Form'!V149="","",149),"")</f>
        <v/>
      </c>
      <c r="B148" s="6" t="str">
        <f>IFERROR(IF('ORDER Form'!V149="","",IFERROR(INDEX('PRODUCT DATA'!$A$2:$A$58,MATCH('ORDER Form'!$N149,'PRODUCT DATA'!$B$2:$B$58,0)),'ORDER Form'!$M149)&amp;""),"")</f>
        <v/>
      </c>
      <c r="C148" s="6" t="str">
        <f>IFERROR(IF('ORDER Form'!V149="","",'ORDER Form'!A149&amp;""),"")</f>
        <v/>
      </c>
      <c r="D148" s="6" t="str">
        <f>IFERROR(IF('ORDER Form'!V149="","",'ORDER Form'!D149&amp;""),"")</f>
        <v/>
      </c>
      <c r="E148" s="6" t="str">
        <f>IFERROR('ORDER Form'!V149,"")</f>
        <v/>
      </c>
      <c r="F148" s="1" t="str">
        <f ca="1">IFERROR('ORDER Form'!W149,"")</f>
        <v/>
      </c>
      <c r="G148" s="1" t="str">
        <f ca="1">IFERROR('ORDER Form'!X149,"")</f>
        <v/>
      </c>
      <c r="H148" s="1" t="str">
        <f>IFERROR('ORDER Form'!Y149,"")</f>
        <v/>
      </c>
    </row>
    <row r="149" spans="1:8" ht="15" customHeight="1" x14ac:dyDescent="0.25">
      <c r="A149" s="6" t="str">
        <f>IFERROR(IF('ORDER Form'!V150="","",150),"")</f>
        <v/>
      </c>
      <c r="B149" s="6" t="str">
        <f>IFERROR(IF('ORDER Form'!V150="","",IFERROR(INDEX('PRODUCT DATA'!$A$2:$A$58,MATCH('ORDER Form'!$N150,'PRODUCT DATA'!$B$2:$B$58,0)),'ORDER Form'!$M150)&amp;""),"")</f>
        <v/>
      </c>
      <c r="C149" s="6" t="str">
        <f>IFERROR(IF('ORDER Form'!V150="","",'ORDER Form'!A150&amp;""),"")</f>
        <v/>
      </c>
      <c r="D149" s="6" t="str">
        <f>IFERROR(IF('ORDER Form'!V150="","",'ORDER Form'!D150&amp;""),"")</f>
        <v/>
      </c>
      <c r="E149" s="6" t="str">
        <f>IFERROR('ORDER Form'!V150,"")</f>
        <v/>
      </c>
      <c r="F149" s="1" t="str">
        <f ca="1">IFERROR('ORDER Form'!W150,"")</f>
        <v/>
      </c>
      <c r="G149" s="1" t="str">
        <f ca="1">IFERROR('ORDER Form'!X150,"")</f>
        <v/>
      </c>
      <c r="H149" s="1" t="str">
        <f>IFERROR('ORDER Form'!Y150,"")</f>
        <v/>
      </c>
    </row>
    <row r="150" spans="1:8" ht="15" customHeight="1" x14ac:dyDescent="0.25">
      <c r="A150" s="6" t="str">
        <f>IFERROR(IF('ORDER Form'!V151="","",151),"")</f>
        <v/>
      </c>
      <c r="B150" s="6" t="str">
        <f>IFERROR(IF('ORDER Form'!V151="","",IFERROR(INDEX('PRODUCT DATA'!$A$2:$A$58,MATCH('ORDER Form'!$N151,'PRODUCT DATA'!$B$2:$B$58,0)),'ORDER Form'!$M151)&amp;""),"")</f>
        <v/>
      </c>
      <c r="C150" s="6" t="str">
        <f>IFERROR(IF('ORDER Form'!V151="","",'ORDER Form'!A151&amp;""),"")</f>
        <v/>
      </c>
      <c r="D150" s="6" t="str">
        <f>IFERROR(IF('ORDER Form'!V151="","",'ORDER Form'!D151&amp;""),"")</f>
        <v/>
      </c>
      <c r="E150" s="6" t="str">
        <f>IFERROR('ORDER Form'!V151,"")</f>
        <v/>
      </c>
      <c r="F150" s="1" t="str">
        <f ca="1">IFERROR('ORDER Form'!W151,"")</f>
        <v/>
      </c>
      <c r="G150" s="1" t="str">
        <f ca="1">IFERROR('ORDER Form'!X151,"")</f>
        <v/>
      </c>
      <c r="H150" s="1" t="str">
        <f>IFERROR('ORDER Form'!Y151,"")</f>
        <v/>
      </c>
    </row>
    <row r="151" spans="1:8" ht="15" customHeight="1" x14ac:dyDescent="0.25">
      <c r="A151" s="6" t="str">
        <f>IFERROR(IF('ORDER Form'!V152="","",152),"")</f>
        <v/>
      </c>
      <c r="B151" s="6" t="str">
        <f>IFERROR(IF('ORDER Form'!V152="","",IFERROR(INDEX('PRODUCT DATA'!$A$2:$A$58,MATCH('ORDER Form'!$N152,'PRODUCT DATA'!$B$2:$B$58,0)),'ORDER Form'!$M152)&amp;""),"")</f>
        <v/>
      </c>
      <c r="C151" s="6" t="str">
        <f>IFERROR(IF('ORDER Form'!V152="","",'ORDER Form'!A152&amp;""),"")</f>
        <v/>
      </c>
      <c r="D151" s="6" t="str">
        <f>IFERROR(IF('ORDER Form'!V152="","",'ORDER Form'!D152&amp;""),"")</f>
        <v/>
      </c>
      <c r="E151" s="6" t="str">
        <f>IFERROR('ORDER Form'!V152,"")</f>
        <v/>
      </c>
      <c r="F151" s="1" t="str">
        <f ca="1">IFERROR('ORDER Form'!W152,"")</f>
        <v/>
      </c>
      <c r="G151" s="1" t="str">
        <f ca="1">IFERROR('ORDER Form'!X152,"")</f>
        <v/>
      </c>
      <c r="H151" s="1" t="str">
        <f>IFERROR('ORDER Form'!Y152,"")</f>
        <v/>
      </c>
    </row>
    <row r="152" spans="1:8" ht="15" customHeight="1" x14ac:dyDescent="0.25">
      <c r="A152" s="6" t="str">
        <f>IFERROR(IF('ORDER Form'!V153="","",153),"")</f>
        <v/>
      </c>
      <c r="B152" s="6" t="str">
        <f>IFERROR(IF('ORDER Form'!V153="","",IFERROR(INDEX('PRODUCT DATA'!$A$2:$A$58,MATCH('ORDER Form'!$N153,'PRODUCT DATA'!$B$2:$B$58,0)),'ORDER Form'!$M153)&amp;""),"")</f>
        <v/>
      </c>
      <c r="C152" s="6" t="str">
        <f>IFERROR(IF('ORDER Form'!V153="","",'ORDER Form'!A153&amp;""),"")</f>
        <v/>
      </c>
      <c r="D152" s="6" t="str">
        <f>IFERROR(IF('ORDER Form'!V153="","",'ORDER Form'!D153&amp;""),"")</f>
        <v/>
      </c>
      <c r="E152" s="6" t="str">
        <f>IFERROR('ORDER Form'!V153,"")</f>
        <v/>
      </c>
      <c r="F152" s="1" t="str">
        <f ca="1">IFERROR('ORDER Form'!W153,"")</f>
        <v/>
      </c>
      <c r="G152" s="1" t="str">
        <f ca="1">IFERROR('ORDER Form'!X153,"")</f>
        <v/>
      </c>
      <c r="H152" s="1" t="str">
        <f>IFERROR('ORDER Form'!Y153,"")</f>
        <v/>
      </c>
    </row>
    <row r="153" spans="1:8" ht="15" customHeight="1" x14ac:dyDescent="0.25">
      <c r="A153" s="6" t="str">
        <f>IFERROR(IF('ORDER Form'!V154="","",154),"")</f>
        <v/>
      </c>
      <c r="B153" s="6" t="str">
        <f>IFERROR(IF('ORDER Form'!V154="","",IFERROR(INDEX('PRODUCT DATA'!$A$2:$A$58,MATCH('ORDER Form'!$N154,'PRODUCT DATA'!$B$2:$B$58,0)),'ORDER Form'!$M154)&amp;""),"")</f>
        <v/>
      </c>
      <c r="C153" s="6" t="str">
        <f>IFERROR(IF('ORDER Form'!V154="","",'ORDER Form'!A154&amp;""),"")</f>
        <v/>
      </c>
      <c r="D153" s="6" t="str">
        <f>IFERROR(IF('ORDER Form'!V154="","",'ORDER Form'!D154&amp;""),"")</f>
        <v/>
      </c>
      <c r="E153" s="6" t="str">
        <f>IFERROR('ORDER Form'!V154,"")</f>
        <v/>
      </c>
      <c r="F153" s="1" t="str">
        <f ca="1">IFERROR('ORDER Form'!W154,"")</f>
        <v/>
      </c>
      <c r="G153" s="1" t="str">
        <f ca="1">IFERROR('ORDER Form'!X154,"")</f>
        <v/>
      </c>
      <c r="H153" s="1" t="str">
        <f>IFERROR('ORDER Form'!Y154,"")</f>
        <v/>
      </c>
    </row>
    <row r="154" spans="1:8" ht="15" customHeight="1" x14ac:dyDescent="0.25">
      <c r="A154" s="6" t="str">
        <f>IFERROR(IF('ORDER Form'!V155="","",155),"")</f>
        <v/>
      </c>
      <c r="B154" s="6" t="str">
        <f>IFERROR(IF('ORDER Form'!V155="","",IFERROR(INDEX('PRODUCT DATA'!$A$2:$A$58,MATCH('ORDER Form'!$N155,'PRODUCT DATA'!$B$2:$B$58,0)),'ORDER Form'!$M155)&amp;""),"")</f>
        <v/>
      </c>
      <c r="C154" s="6" t="str">
        <f>IFERROR(IF('ORDER Form'!V155="","",'ORDER Form'!A155&amp;""),"")</f>
        <v/>
      </c>
      <c r="D154" s="6" t="str">
        <f>IFERROR(IF('ORDER Form'!V155="","",'ORDER Form'!D155&amp;""),"")</f>
        <v/>
      </c>
      <c r="E154" s="6" t="str">
        <f>IFERROR('ORDER Form'!V155,"")</f>
        <v/>
      </c>
      <c r="F154" s="1" t="str">
        <f ca="1">IFERROR('ORDER Form'!W155,"")</f>
        <v/>
      </c>
      <c r="G154" s="1" t="str">
        <f ca="1">IFERROR('ORDER Form'!X155,"")</f>
        <v/>
      </c>
      <c r="H154" s="1" t="str">
        <f>IFERROR('ORDER Form'!Y155,"")</f>
        <v/>
      </c>
    </row>
    <row r="155" spans="1:8" ht="15" customHeight="1" x14ac:dyDescent="0.25">
      <c r="A155" s="6" t="str">
        <f>IFERROR(IF('ORDER Form'!V156="","",156),"")</f>
        <v/>
      </c>
      <c r="B155" s="6" t="str">
        <f>IFERROR(IF('ORDER Form'!V156="","",IFERROR(INDEX('PRODUCT DATA'!$A$2:$A$58,MATCH('ORDER Form'!$N156,'PRODUCT DATA'!$B$2:$B$58,0)),'ORDER Form'!$M156)&amp;""),"")</f>
        <v/>
      </c>
      <c r="C155" s="6" t="str">
        <f>IFERROR(IF('ORDER Form'!V156="","",'ORDER Form'!A156&amp;""),"")</f>
        <v/>
      </c>
      <c r="D155" s="6" t="str">
        <f>IFERROR(IF('ORDER Form'!V156="","",'ORDER Form'!D156&amp;""),"")</f>
        <v/>
      </c>
      <c r="E155" s="6" t="str">
        <f>IFERROR('ORDER Form'!V156,"")</f>
        <v/>
      </c>
      <c r="F155" s="1" t="str">
        <f ca="1">IFERROR('ORDER Form'!W156,"")</f>
        <v/>
      </c>
      <c r="G155" s="1" t="str">
        <f ca="1">IFERROR('ORDER Form'!X156,"")</f>
        <v/>
      </c>
      <c r="H155" s="1" t="str">
        <f>IFERROR('ORDER Form'!Y156,"")</f>
        <v/>
      </c>
    </row>
    <row r="156" spans="1:8" ht="15" customHeight="1" x14ac:dyDescent="0.25">
      <c r="A156" s="6" t="str">
        <f>IFERROR(IF('ORDER Form'!V157="","",157),"")</f>
        <v/>
      </c>
      <c r="B156" s="6" t="str">
        <f>IFERROR(IF('ORDER Form'!V157="","",IFERROR(INDEX('PRODUCT DATA'!$A$2:$A$58,MATCH('ORDER Form'!$N157,'PRODUCT DATA'!$B$2:$B$58,0)),'ORDER Form'!$M157)&amp;""),"")</f>
        <v/>
      </c>
      <c r="C156" s="6" t="str">
        <f>IFERROR(IF('ORDER Form'!V157="","",'ORDER Form'!A157&amp;""),"")</f>
        <v/>
      </c>
      <c r="D156" s="6" t="str">
        <f>IFERROR(IF('ORDER Form'!V157="","",'ORDER Form'!D157&amp;""),"")</f>
        <v/>
      </c>
      <c r="E156" s="6" t="str">
        <f>IFERROR('ORDER Form'!V157,"")</f>
        <v/>
      </c>
      <c r="F156" s="1" t="str">
        <f ca="1">IFERROR('ORDER Form'!W157,"")</f>
        <v/>
      </c>
      <c r="G156" s="1" t="str">
        <f ca="1">IFERROR('ORDER Form'!X157,"")</f>
        <v/>
      </c>
      <c r="H156" s="1" t="str">
        <f>IFERROR('ORDER Form'!Y157,"")</f>
        <v/>
      </c>
    </row>
    <row r="157" spans="1:8" ht="15" customHeight="1" x14ac:dyDescent="0.25">
      <c r="A157" s="6" t="str">
        <f>IFERROR(IF('ORDER Form'!V158="","",158),"")</f>
        <v/>
      </c>
      <c r="B157" s="6" t="str">
        <f>IFERROR(IF('ORDER Form'!V158="","",IFERROR(INDEX('PRODUCT DATA'!$A$2:$A$58,MATCH('ORDER Form'!$N158,'PRODUCT DATA'!$B$2:$B$58,0)),'ORDER Form'!$M158)&amp;""),"")</f>
        <v/>
      </c>
      <c r="C157" s="6" t="str">
        <f>IFERROR(IF('ORDER Form'!V158="","",'ORDER Form'!A158&amp;""),"")</f>
        <v/>
      </c>
      <c r="D157" s="6" t="str">
        <f>IFERROR(IF('ORDER Form'!V158="","",'ORDER Form'!D158&amp;""),"")</f>
        <v/>
      </c>
      <c r="E157" s="6" t="str">
        <f>IFERROR('ORDER Form'!V158,"")</f>
        <v/>
      </c>
      <c r="F157" s="1" t="str">
        <f ca="1">IFERROR('ORDER Form'!W158,"")</f>
        <v/>
      </c>
      <c r="G157" s="1" t="str">
        <f ca="1">IFERROR('ORDER Form'!X158,"")</f>
        <v/>
      </c>
      <c r="H157" s="1" t="str">
        <f>IFERROR('ORDER Form'!Y158,"")</f>
        <v/>
      </c>
    </row>
    <row r="158" spans="1:8" ht="15" customHeight="1" x14ac:dyDescent="0.25">
      <c r="A158" s="6" t="str">
        <f>IFERROR(IF('ORDER Form'!V159="","",159),"")</f>
        <v/>
      </c>
      <c r="B158" s="6" t="str">
        <f>IFERROR(IF('ORDER Form'!V159="","",IFERROR(INDEX('PRODUCT DATA'!$A$2:$A$58,MATCH('ORDER Form'!$N159,'PRODUCT DATA'!$B$2:$B$58,0)),'ORDER Form'!$M159)&amp;""),"")</f>
        <v/>
      </c>
      <c r="C158" s="6" t="str">
        <f>IFERROR(IF('ORDER Form'!V159="","",'ORDER Form'!A159&amp;""),"")</f>
        <v/>
      </c>
      <c r="D158" s="6" t="str">
        <f>IFERROR(IF('ORDER Form'!V159="","",'ORDER Form'!D159&amp;""),"")</f>
        <v/>
      </c>
      <c r="E158" s="6" t="str">
        <f>IFERROR('ORDER Form'!V159,"")</f>
        <v/>
      </c>
      <c r="F158" s="1" t="str">
        <f ca="1">IFERROR('ORDER Form'!W159,"")</f>
        <v/>
      </c>
      <c r="G158" s="1" t="str">
        <f ca="1">IFERROR('ORDER Form'!X159,"")</f>
        <v/>
      </c>
      <c r="H158" s="1" t="str">
        <f>IFERROR('ORDER Form'!Y159,"")</f>
        <v/>
      </c>
    </row>
    <row r="159" spans="1:8" ht="15" customHeight="1" x14ac:dyDescent="0.25">
      <c r="A159" s="6" t="str">
        <f>IFERROR(IF('ORDER Form'!V160="","",160),"")</f>
        <v/>
      </c>
      <c r="B159" s="6" t="str">
        <f>IFERROR(IF('ORDER Form'!V160="","",IFERROR(INDEX('PRODUCT DATA'!$A$2:$A$58,MATCH('ORDER Form'!$N160,'PRODUCT DATA'!$B$2:$B$58,0)),'ORDER Form'!$M160)&amp;""),"")</f>
        <v/>
      </c>
      <c r="C159" s="6" t="str">
        <f>IFERROR(IF('ORDER Form'!V160="","",'ORDER Form'!A160&amp;""),"")</f>
        <v/>
      </c>
      <c r="D159" s="6" t="str">
        <f>IFERROR(IF('ORDER Form'!V160="","",'ORDER Form'!D160&amp;""),"")</f>
        <v/>
      </c>
      <c r="E159" s="6" t="str">
        <f>IFERROR('ORDER Form'!V160,"")</f>
        <v/>
      </c>
      <c r="F159" s="1" t="str">
        <f ca="1">IFERROR('ORDER Form'!W160,"")</f>
        <v/>
      </c>
      <c r="G159" s="1" t="str">
        <f ca="1">IFERROR('ORDER Form'!X160,"")</f>
        <v/>
      </c>
      <c r="H159" s="1" t="str">
        <f>IFERROR('ORDER Form'!Y160,"")</f>
        <v/>
      </c>
    </row>
    <row r="160" spans="1:8" ht="15" customHeight="1" x14ac:dyDescent="0.25">
      <c r="A160" s="6" t="str">
        <f>IFERROR(IF('ORDER Form'!V161="","",161),"")</f>
        <v/>
      </c>
      <c r="B160" s="6" t="str">
        <f>IFERROR(IF('ORDER Form'!V161="","",IFERROR(INDEX('PRODUCT DATA'!$A$2:$A$58,MATCH('ORDER Form'!$N161,'PRODUCT DATA'!$B$2:$B$58,0)),'ORDER Form'!$M161)&amp;""),"")</f>
        <v/>
      </c>
      <c r="C160" s="6" t="str">
        <f>IFERROR(IF('ORDER Form'!V161="","",'ORDER Form'!A161&amp;""),"")</f>
        <v/>
      </c>
      <c r="D160" s="6" t="str">
        <f>IFERROR(IF('ORDER Form'!V161="","",'ORDER Form'!D161&amp;""),"")</f>
        <v/>
      </c>
      <c r="E160" s="6" t="str">
        <f>IFERROR('ORDER Form'!V161,"")</f>
        <v/>
      </c>
      <c r="F160" s="1" t="str">
        <f ca="1">IFERROR('ORDER Form'!W161,"")</f>
        <v/>
      </c>
      <c r="G160" s="1" t="str">
        <f ca="1">IFERROR('ORDER Form'!X161,"")</f>
        <v/>
      </c>
      <c r="H160" s="1" t="str">
        <f>IFERROR('ORDER Form'!Y161,"")</f>
        <v/>
      </c>
    </row>
    <row r="161" spans="1:8" ht="15" customHeight="1" x14ac:dyDescent="0.25">
      <c r="A161" s="6" t="str">
        <f>IFERROR(IF('ORDER Form'!V162="","",162),"")</f>
        <v/>
      </c>
      <c r="B161" s="6" t="str">
        <f>IFERROR(IF('ORDER Form'!V162="","",IFERROR(INDEX('PRODUCT DATA'!$A$2:$A$58,MATCH('ORDER Form'!$N162,'PRODUCT DATA'!$B$2:$B$58,0)),'ORDER Form'!$M162)&amp;""),"")</f>
        <v/>
      </c>
      <c r="C161" s="6" t="str">
        <f>IFERROR(IF('ORDER Form'!V162="","",'ORDER Form'!A162&amp;""),"")</f>
        <v/>
      </c>
      <c r="D161" s="6" t="str">
        <f>IFERROR(IF('ORDER Form'!V162="","",'ORDER Form'!D162&amp;""),"")</f>
        <v/>
      </c>
      <c r="E161" s="6" t="str">
        <f>IFERROR('ORDER Form'!V162,"")</f>
        <v/>
      </c>
      <c r="F161" s="1" t="str">
        <f ca="1">IFERROR('ORDER Form'!W162,"")</f>
        <v/>
      </c>
      <c r="G161" s="1" t="str">
        <f ca="1">IFERROR('ORDER Form'!X162,"")</f>
        <v/>
      </c>
      <c r="H161" s="1" t="str">
        <f>IFERROR('ORDER Form'!Y162,"")</f>
        <v/>
      </c>
    </row>
    <row r="162" spans="1:8" ht="15" customHeight="1" x14ac:dyDescent="0.25">
      <c r="A162" s="6" t="str">
        <f>IFERROR(IF('ORDER Form'!V163="","",163),"")</f>
        <v/>
      </c>
      <c r="B162" s="6" t="str">
        <f>IFERROR(IF('ORDER Form'!V163="","",IFERROR(INDEX('PRODUCT DATA'!$A$2:$A$58,MATCH('ORDER Form'!$N163,'PRODUCT DATA'!$B$2:$B$58,0)),'ORDER Form'!$M163)&amp;""),"")</f>
        <v/>
      </c>
      <c r="C162" s="6" t="str">
        <f>IFERROR(IF('ORDER Form'!V163="","",'ORDER Form'!A163&amp;""),"")</f>
        <v/>
      </c>
      <c r="D162" s="6" t="str">
        <f>IFERROR(IF('ORDER Form'!V163="","",'ORDER Form'!D163&amp;""),"")</f>
        <v/>
      </c>
      <c r="E162" s="6" t="str">
        <f>IFERROR('ORDER Form'!V163,"")</f>
        <v/>
      </c>
      <c r="F162" s="1" t="str">
        <f ca="1">IFERROR('ORDER Form'!W163,"")</f>
        <v/>
      </c>
      <c r="G162" s="1" t="str">
        <f ca="1">IFERROR('ORDER Form'!X163,"")</f>
        <v/>
      </c>
      <c r="H162" s="1" t="str">
        <f>IFERROR('ORDER Form'!Y163,"")</f>
        <v/>
      </c>
    </row>
    <row r="163" spans="1:8" ht="15" customHeight="1" x14ac:dyDescent="0.25">
      <c r="A163" s="6" t="str">
        <f>IFERROR(IF('ORDER Form'!V164="","",164),"")</f>
        <v/>
      </c>
      <c r="B163" s="6" t="str">
        <f>IFERROR(IF('ORDER Form'!V164="","",IFERROR(INDEX('PRODUCT DATA'!$A$2:$A$58,MATCH('ORDER Form'!$N164,'PRODUCT DATA'!$B$2:$B$58,0)),'ORDER Form'!$M164)&amp;""),"")</f>
        <v/>
      </c>
      <c r="C163" s="6" t="str">
        <f>IFERROR(IF('ORDER Form'!V164="","",'ORDER Form'!A164&amp;""),"")</f>
        <v/>
      </c>
      <c r="D163" s="6" t="str">
        <f>IFERROR(IF('ORDER Form'!V164="","",'ORDER Form'!D164&amp;""),"")</f>
        <v/>
      </c>
      <c r="E163" s="6" t="str">
        <f>IFERROR('ORDER Form'!V164,"")</f>
        <v/>
      </c>
      <c r="F163" s="1" t="str">
        <f ca="1">IFERROR('ORDER Form'!W164,"")</f>
        <v/>
      </c>
      <c r="G163" s="1" t="str">
        <f ca="1">IFERROR('ORDER Form'!X164,"")</f>
        <v/>
      </c>
      <c r="H163" s="1" t="str">
        <f>IFERROR('ORDER Form'!Y164,"")</f>
        <v/>
      </c>
    </row>
    <row r="164" spans="1:8" ht="15" customHeight="1" x14ac:dyDescent="0.25">
      <c r="A164" s="6" t="str">
        <f>IFERROR(IF('ORDER Form'!V165="","",165),"")</f>
        <v/>
      </c>
      <c r="B164" s="6" t="str">
        <f>IFERROR(IF('ORDER Form'!V165="","",IFERROR(INDEX('PRODUCT DATA'!$A$2:$A$58,MATCH('ORDER Form'!$N165,'PRODUCT DATA'!$B$2:$B$58,0)),'ORDER Form'!$M165)&amp;""),"")</f>
        <v/>
      </c>
      <c r="C164" s="6" t="str">
        <f>IFERROR(IF('ORDER Form'!V165="","",'ORDER Form'!A165&amp;""),"")</f>
        <v/>
      </c>
      <c r="D164" s="6" t="str">
        <f>IFERROR(IF('ORDER Form'!V165="","",'ORDER Form'!D165&amp;""),"")</f>
        <v/>
      </c>
      <c r="E164" s="6" t="str">
        <f>IFERROR('ORDER Form'!V165,"")</f>
        <v/>
      </c>
      <c r="F164" s="1" t="str">
        <f ca="1">IFERROR('ORDER Form'!W165,"")</f>
        <v/>
      </c>
      <c r="G164" s="1" t="str">
        <f ca="1">IFERROR('ORDER Form'!X165,"")</f>
        <v/>
      </c>
      <c r="H164" s="1" t="str">
        <f>IFERROR('ORDER Form'!Y165,"")</f>
        <v/>
      </c>
    </row>
    <row r="165" spans="1:8" ht="15" customHeight="1" x14ac:dyDescent="0.25">
      <c r="A165" s="6" t="str">
        <f>IFERROR(IF('ORDER Form'!V166="","",166),"")</f>
        <v/>
      </c>
      <c r="B165" s="6" t="str">
        <f>IFERROR(IF('ORDER Form'!V166="","",IFERROR(INDEX('PRODUCT DATA'!$A$2:$A$58,MATCH('ORDER Form'!$N166,'PRODUCT DATA'!$B$2:$B$58,0)),'ORDER Form'!$M166)&amp;""),"")</f>
        <v/>
      </c>
      <c r="C165" s="6" t="str">
        <f>IFERROR(IF('ORDER Form'!V166="","",'ORDER Form'!A166&amp;""),"")</f>
        <v/>
      </c>
      <c r="D165" s="6" t="str">
        <f>IFERROR(IF('ORDER Form'!V166="","",'ORDER Form'!D166&amp;""),"")</f>
        <v/>
      </c>
      <c r="E165" s="6" t="str">
        <f>IFERROR('ORDER Form'!V166,"")</f>
        <v/>
      </c>
      <c r="F165" s="1" t="str">
        <f ca="1">IFERROR('ORDER Form'!W166,"")</f>
        <v/>
      </c>
      <c r="G165" s="1" t="str">
        <f ca="1">IFERROR('ORDER Form'!X166,"")</f>
        <v/>
      </c>
      <c r="H165" s="1" t="str">
        <f>IFERROR('ORDER Form'!Y166,"")</f>
        <v/>
      </c>
    </row>
    <row r="166" spans="1:8" ht="15" customHeight="1" x14ac:dyDescent="0.25">
      <c r="A166" s="6" t="str">
        <f>IFERROR(IF('ORDER Form'!V167="","",167),"")</f>
        <v/>
      </c>
      <c r="B166" s="6" t="str">
        <f>IFERROR(IF('ORDER Form'!V167="","",IFERROR(INDEX('PRODUCT DATA'!$A$2:$A$58,MATCH('ORDER Form'!$N167,'PRODUCT DATA'!$B$2:$B$58,0)),'ORDER Form'!$M167)&amp;""),"")</f>
        <v/>
      </c>
      <c r="C166" s="6" t="str">
        <f>IFERROR(IF('ORDER Form'!V167="","",'ORDER Form'!A167&amp;""),"")</f>
        <v/>
      </c>
      <c r="D166" s="6" t="str">
        <f>IFERROR(IF('ORDER Form'!V167="","",'ORDER Form'!D167&amp;""),"")</f>
        <v/>
      </c>
      <c r="E166" s="6" t="str">
        <f>IFERROR('ORDER Form'!V167,"")</f>
        <v/>
      </c>
      <c r="F166" s="1" t="str">
        <f ca="1">IFERROR('ORDER Form'!W167,"")</f>
        <v/>
      </c>
      <c r="G166" s="1" t="str">
        <f ca="1">IFERROR('ORDER Form'!X167,"")</f>
        <v/>
      </c>
      <c r="H166" s="1" t="str">
        <f>IFERROR('ORDER Form'!Y167,"")</f>
        <v/>
      </c>
    </row>
    <row r="167" spans="1:8" ht="15" customHeight="1" x14ac:dyDescent="0.25">
      <c r="A167" s="6" t="str">
        <f>IFERROR(IF('ORDER Form'!V168="","",168),"")</f>
        <v/>
      </c>
      <c r="B167" s="6" t="str">
        <f>IFERROR(IF('ORDER Form'!V168="","",IFERROR(INDEX('PRODUCT DATA'!$A$2:$A$58,MATCH('ORDER Form'!$N168,'PRODUCT DATA'!$B$2:$B$58,0)),'ORDER Form'!$M168)&amp;""),"")</f>
        <v/>
      </c>
      <c r="C167" s="6" t="str">
        <f>IFERROR(IF('ORDER Form'!V168="","",'ORDER Form'!A168&amp;""),"")</f>
        <v/>
      </c>
      <c r="D167" s="6" t="str">
        <f>IFERROR(IF('ORDER Form'!V168="","",'ORDER Form'!D168&amp;""),"")</f>
        <v/>
      </c>
      <c r="E167" s="6" t="str">
        <f>IFERROR('ORDER Form'!V168,"")</f>
        <v/>
      </c>
      <c r="F167" s="1" t="str">
        <f ca="1">IFERROR('ORDER Form'!W168,"")</f>
        <v/>
      </c>
      <c r="G167" s="1" t="str">
        <f ca="1">IFERROR('ORDER Form'!X168,"")</f>
        <v/>
      </c>
      <c r="H167" s="1" t="str">
        <f>IFERROR('ORDER Form'!Y168,"")</f>
        <v/>
      </c>
    </row>
    <row r="168" spans="1:8" ht="15" customHeight="1" x14ac:dyDescent="0.25">
      <c r="A168" s="6" t="str">
        <f>IFERROR(IF('ORDER Form'!V169="","",169),"")</f>
        <v/>
      </c>
      <c r="B168" s="6" t="str">
        <f>IFERROR(IF('ORDER Form'!V169="","",IFERROR(INDEX('PRODUCT DATA'!$A$2:$A$58,MATCH('ORDER Form'!$N169,'PRODUCT DATA'!$B$2:$B$58,0)),'ORDER Form'!$M169)&amp;""),"")</f>
        <v/>
      </c>
      <c r="C168" s="6" t="str">
        <f>IFERROR(IF('ORDER Form'!V169="","",'ORDER Form'!A169&amp;""),"")</f>
        <v/>
      </c>
      <c r="D168" s="6" t="str">
        <f>IFERROR(IF('ORDER Form'!V169="","",'ORDER Form'!D169&amp;""),"")</f>
        <v/>
      </c>
      <c r="E168" s="6" t="str">
        <f>IFERROR('ORDER Form'!V169,"")</f>
        <v/>
      </c>
      <c r="F168" s="1" t="str">
        <f ca="1">IFERROR('ORDER Form'!W169,"")</f>
        <v/>
      </c>
      <c r="G168" s="1" t="str">
        <f ca="1">IFERROR('ORDER Form'!X169,"")</f>
        <v/>
      </c>
      <c r="H168" s="1" t="str">
        <f>IFERROR('ORDER Form'!Y169,"")</f>
        <v/>
      </c>
    </row>
    <row r="169" spans="1:8" ht="15" customHeight="1" x14ac:dyDescent="0.25">
      <c r="A169" s="6" t="str">
        <f>IFERROR(IF('ORDER Form'!V170="","",170),"")</f>
        <v/>
      </c>
      <c r="B169" s="6" t="str">
        <f>IFERROR(IF('ORDER Form'!V170="","",IFERROR(INDEX('PRODUCT DATA'!$A$2:$A$58,MATCH('ORDER Form'!$N170,'PRODUCT DATA'!$B$2:$B$58,0)),'ORDER Form'!$M170)&amp;""),"")</f>
        <v/>
      </c>
      <c r="C169" s="6" t="str">
        <f>IFERROR(IF('ORDER Form'!V170="","",'ORDER Form'!A170&amp;""),"")</f>
        <v/>
      </c>
      <c r="D169" s="6" t="str">
        <f>IFERROR(IF('ORDER Form'!V170="","",'ORDER Form'!D170&amp;""),"")</f>
        <v/>
      </c>
      <c r="E169" s="6" t="str">
        <f>IFERROR('ORDER Form'!V170,"")</f>
        <v/>
      </c>
      <c r="F169" s="1" t="str">
        <f ca="1">IFERROR('ORDER Form'!W170,"")</f>
        <v/>
      </c>
      <c r="G169" s="1" t="str">
        <f ca="1">IFERROR('ORDER Form'!X170,"")</f>
        <v/>
      </c>
      <c r="H169" s="1" t="str">
        <f>IFERROR('ORDER Form'!Y170,"")</f>
        <v/>
      </c>
    </row>
    <row r="170" spans="1:8" ht="15" customHeight="1" x14ac:dyDescent="0.25">
      <c r="A170" s="6" t="str">
        <f>IFERROR(IF('ORDER Form'!V171="","",171),"")</f>
        <v/>
      </c>
      <c r="B170" s="6" t="str">
        <f>IFERROR(IF('ORDER Form'!V171="","",IFERROR(INDEX('PRODUCT DATA'!$A$2:$A$58,MATCH('ORDER Form'!$N171,'PRODUCT DATA'!$B$2:$B$58,0)),'ORDER Form'!$M171)&amp;""),"")</f>
        <v/>
      </c>
      <c r="C170" s="6" t="str">
        <f>IFERROR(IF('ORDER Form'!V171="","",'ORDER Form'!A171&amp;""),"")</f>
        <v/>
      </c>
      <c r="D170" s="6" t="str">
        <f>IFERROR(IF('ORDER Form'!V171="","",'ORDER Form'!D171&amp;""),"")</f>
        <v/>
      </c>
      <c r="E170" s="6" t="str">
        <f>IFERROR('ORDER Form'!V171,"")</f>
        <v/>
      </c>
      <c r="F170" s="1" t="str">
        <f ca="1">IFERROR('ORDER Form'!W171,"")</f>
        <v/>
      </c>
      <c r="G170" s="1" t="str">
        <f ca="1">IFERROR('ORDER Form'!X171,"")</f>
        <v/>
      </c>
      <c r="H170" s="1" t="str">
        <f>IFERROR('ORDER Form'!Y171,"")</f>
        <v/>
      </c>
    </row>
    <row r="171" spans="1:8" ht="15" customHeight="1" x14ac:dyDescent="0.25">
      <c r="A171" s="6" t="str">
        <f>IFERROR(IF('ORDER Form'!V172="","",172),"")</f>
        <v/>
      </c>
      <c r="B171" s="6" t="str">
        <f>IFERROR(IF('ORDER Form'!V172="","",IFERROR(INDEX('PRODUCT DATA'!$A$2:$A$58,MATCH('ORDER Form'!$N172,'PRODUCT DATA'!$B$2:$B$58,0)),'ORDER Form'!$M172)&amp;""),"")</f>
        <v/>
      </c>
      <c r="C171" s="6" t="str">
        <f>IFERROR(IF('ORDER Form'!V172="","",'ORDER Form'!A172&amp;""),"")</f>
        <v/>
      </c>
      <c r="D171" s="6" t="str">
        <f>IFERROR(IF('ORDER Form'!V172="","",'ORDER Form'!D172&amp;""),"")</f>
        <v/>
      </c>
      <c r="E171" s="6" t="str">
        <f>IFERROR('ORDER Form'!V172,"")</f>
        <v/>
      </c>
      <c r="F171" s="1" t="str">
        <f ca="1">IFERROR('ORDER Form'!W172,"")</f>
        <v/>
      </c>
      <c r="G171" s="1" t="str">
        <f ca="1">IFERROR('ORDER Form'!X172,"")</f>
        <v/>
      </c>
      <c r="H171" s="1" t="str">
        <f>IFERROR('ORDER Form'!Y172,"")</f>
        <v/>
      </c>
    </row>
    <row r="172" spans="1:8" ht="15" customHeight="1" x14ac:dyDescent="0.25">
      <c r="A172" s="6" t="str">
        <f>IFERROR(IF('ORDER Form'!V173="","",173),"")</f>
        <v/>
      </c>
      <c r="B172" s="6" t="str">
        <f>IFERROR(IF('ORDER Form'!V173="","",IFERROR(INDEX('PRODUCT DATA'!$A$2:$A$58,MATCH('ORDER Form'!$N173,'PRODUCT DATA'!$B$2:$B$58,0)),'ORDER Form'!$M173)&amp;""),"")</f>
        <v/>
      </c>
      <c r="C172" s="6" t="str">
        <f>IFERROR(IF('ORDER Form'!V173="","",'ORDER Form'!A173&amp;""),"")</f>
        <v/>
      </c>
      <c r="D172" s="6" t="str">
        <f>IFERROR(IF('ORDER Form'!V173="","",'ORDER Form'!D173&amp;""),"")</f>
        <v/>
      </c>
      <c r="E172" s="6" t="str">
        <f>IFERROR('ORDER Form'!V173,"")</f>
        <v/>
      </c>
      <c r="F172" s="1" t="str">
        <f ca="1">IFERROR('ORDER Form'!W173,"")</f>
        <v/>
      </c>
      <c r="G172" s="1" t="str">
        <f ca="1">IFERROR('ORDER Form'!X173,"")</f>
        <v/>
      </c>
      <c r="H172" s="1" t="str">
        <f>IFERROR('ORDER Form'!Y173,"")</f>
        <v/>
      </c>
    </row>
    <row r="173" spans="1:8" ht="15" customHeight="1" x14ac:dyDescent="0.25">
      <c r="A173" s="6" t="str">
        <f>IFERROR(IF('ORDER Form'!V174="","",174),"")</f>
        <v/>
      </c>
      <c r="B173" s="6" t="str">
        <f>IFERROR(IF('ORDER Form'!V174="","",IFERROR(INDEX('PRODUCT DATA'!$A$2:$A$58,MATCH('ORDER Form'!$N174,'PRODUCT DATA'!$B$2:$B$58,0)),'ORDER Form'!$M174)&amp;""),"")</f>
        <v/>
      </c>
      <c r="C173" s="6" t="str">
        <f>IFERROR(IF('ORDER Form'!V174="","",'ORDER Form'!A174&amp;""),"")</f>
        <v/>
      </c>
      <c r="D173" s="6" t="str">
        <f>IFERROR(IF('ORDER Form'!V174="","",'ORDER Form'!D174&amp;""),"")</f>
        <v/>
      </c>
      <c r="E173" s="6" t="str">
        <f>IFERROR('ORDER Form'!V174,"")</f>
        <v/>
      </c>
      <c r="F173" s="1" t="str">
        <f ca="1">IFERROR('ORDER Form'!W174,"")</f>
        <v/>
      </c>
      <c r="G173" s="1" t="str">
        <f ca="1">IFERROR('ORDER Form'!X174,"")</f>
        <v/>
      </c>
      <c r="H173" s="1" t="str">
        <f>IFERROR('ORDER Form'!Y174,"")</f>
        <v/>
      </c>
    </row>
    <row r="174" spans="1:8" ht="15" customHeight="1" x14ac:dyDescent="0.25">
      <c r="A174" s="6" t="str">
        <f>IFERROR(IF('ORDER Form'!V175="","",175),"")</f>
        <v/>
      </c>
      <c r="B174" s="6" t="str">
        <f>IFERROR(IF('ORDER Form'!V175="","",IFERROR(INDEX('PRODUCT DATA'!$A$2:$A$58,MATCH('ORDER Form'!$N175,'PRODUCT DATA'!$B$2:$B$58,0)),'ORDER Form'!$M175)&amp;""),"")</f>
        <v/>
      </c>
      <c r="C174" s="6" t="str">
        <f>IFERROR(IF('ORDER Form'!V175="","",'ORDER Form'!A175&amp;""),"")</f>
        <v/>
      </c>
      <c r="D174" s="6" t="str">
        <f>IFERROR(IF('ORDER Form'!V175="","",'ORDER Form'!D175&amp;""),"")</f>
        <v/>
      </c>
      <c r="E174" s="6" t="str">
        <f>IFERROR('ORDER Form'!V175,"")</f>
        <v/>
      </c>
      <c r="F174" s="1" t="str">
        <f ca="1">IFERROR('ORDER Form'!W175,"")</f>
        <v/>
      </c>
      <c r="G174" s="1" t="str">
        <f ca="1">IFERROR('ORDER Form'!X175,"")</f>
        <v/>
      </c>
      <c r="H174" s="1" t="str">
        <f>IFERROR('ORDER Form'!Y175,"")</f>
        <v/>
      </c>
    </row>
    <row r="175" spans="1:8" ht="15" customHeight="1" x14ac:dyDescent="0.25">
      <c r="A175" s="6" t="str">
        <f>IFERROR(IF('ORDER Form'!V176="","",176),"")</f>
        <v/>
      </c>
      <c r="B175" s="6" t="str">
        <f>IFERROR(IF('ORDER Form'!V176="","",IFERROR(INDEX('PRODUCT DATA'!$A$2:$A$58,MATCH('ORDER Form'!$N176,'PRODUCT DATA'!$B$2:$B$58,0)),'ORDER Form'!$M176)&amp;""),"")</f>
        <v/>
      </c>
      <c r="C175" s="6" t="str">
        <f>IFERROR(IF('ORDER Form'!V176="","",'ORDER Form'!A176&amp;""),"")</f>
        <v/>
      </c>
      <c r="D175" s="6" t="str">
        <f>IFERROR(IF('ORDER Form'!V176="","",'ORDER Form'!D176&amp;""),"")</f>
        <v/>
      </c>
      <c r="E175" s="6" t="str">
        <f>IFERROR('ORDER Form'!V176,"")</f>
        <v/>
      </c>
      <c r="F175" s="1" t="str">
        <f ca="1">IFERROR('ORDER Form'!W176,"")</f>
        <v/>
      </c>
      <c r="G175" s="1" t="str">
        <f ca="1">IFERROR('ORDER Form'!X176,"")</f>
        <v/>
      </c>
      <c r="H175" s="1" t="str">
        <f>IFERROR('ORDER Form'!Y176,"")</f>
        <v/>
      </c>
    </row>
    <row r="176" spans="1:8" ht="15" customHeight="1" x14ac:dyDescent="0.25">
      <c r="A176" s="6" t="str">
        <f>IFERROR(IF('ORDER Form'!V177="","",177),"")</f>
        <v/>
      </c>
      <c r="B176" s="6" t="str">
        <f>IFERROR(IF('ORDER Form'!V177="","",IFERROR(INDEX('PRODUCT DATA'!$A$2:$A$58,MATCH('ORDER Form'!$N177,'PRODUCT DATA'!$B$2:$B$58,0)),'ORDER Form'!$M177)&amp;""),"")</f>
        <v/>
      </c>
      <c r="C176" s="6" t="str">
        <f>IFERROR(IF('ORDER Form'!V177="","",'ORDER Form'!A177&amp;""),"")</f>
        <v/>
      </c>
      <c r="D176" s="6" t="str">
        <f>IFERROR(IF('ORDER Form'!V177="","",'ORDER Form'!D177&amp;""),"")</f>
        <v/>
      </c>
      <c r="E176" s="6" t="str">
        <f>IFERROR('ORDER Form'!V177,"")</f>
        <v/>
      </c>
      <c r="F176" s="1" t="str">
        <f ca="1">IFERROR('ORDER Form'!W177,"")</f>
        <v/>
      </c>
      <c r="G176" s="1" t="str">
        <f ca="1">IFERROR('ORDER Form'!X177,"")</f>
        <v/>
      </c>
      <c r="H176" s="1" t="str">
        <f>IFERROR('ORDER Form'!Y177,"")</f>
        <v/>
      </c>
    </row>
    <row r="177" spans="1:8" ht="15" customHeight="1" x14ac:dyDescent="0.25">
      <c r="A177" s="6" t="str">
        <f>IFERROR(IF('ORDER Form'!V178="","",178),"")</f>
        <v/>
      </c>
      <c r="B177" s="6" t="str">
        <f>IFERROR(IF('ORDER Form'!V178="","",IFERROR(INDEX('PRODUCT DATA'!$A$2:$A$58,MATCH('ORDER Form'!$N178,'PRODUCT DATA'!$B$2:$B$58,0)),'ORDER Form'!$M178)&amp;""),"")</f>
        <v/>
      </c>
      <c r="C177" s="6" t="str">
        <f>IFERROR(IF('ORDER Form'!V178="","",'ORDER Form'!A178&amp;""),"")</f>
        <v/>
      </c>
      <c r="D177" s="6" t="str">
        <f>IFERROR(IF('ORDER Form'!V178="","",'ORDER Form'!D178&amp;""),"")</f>
        <v/>
      </c>
      <c r="E177" s="6" t="str">
        <f>IFERROR('ORDER Form'!V178,"")</f>
        <v/>
      </c>
      <c r="F177" s="1" t="str">
        <f ca="1">IFERROR('ORDER Form'!W178,"")</f>
        <v/>
      </c>
      <c r="G177" s="1" t="str">
        <f ca="1">IFERROR('ORDER Form'!X178,"")</f>
        <v/>
      </c>
      <c r="H177" s="1" t="str">
        <f>IFERROR('ORDER Form'!Y178,"")</f>
        <v/>
      </c>
    </row>
    <row r="178" spans="1:8" ht="15" customHeight="1" x14ac:dyDescent="0.25">
      <c r="A178" s="6" t="str">
        <f>IFERROR(IF('ORDER Form'!V179="","",179),"")</f>
        <v/>
      </c>
      <c r="B178" s="6" t="str">
        <f>IFERROR(IF('ORDER Form'!V179="","",IFERROR(INDEX('PRODUCT DATA'!$A$2:$A$58,MATCH('ORDER Form'!$N179,'PRODUCT DATA'!$B$2:$B$58,0)),'ORDER Form'!$M179)&amp;""),"")</f>
        <v/>
      </c>
      <c r="C178" s="6" t="str">
        <f>IFERROR(IF('ORDER Form'!V179="","",'ORDER Form'!A179&amp;""),"")</f>
        <v/>
      </c>
      <c r="D178" s="6" t="str">
        <f>IFERROR(IF('ORDER Form'!V179="","",'ORDER Form'!D179&amp;""),"")</f>
        <v/>
      </c>
      <c r="E178" s="6" t="str">
        <f>IFERROR('ORDER Form'!V179,"")</f>
        <v/>
      </c>
      <c r="F178" s="1" t="str">
        <f ca="1">IFERROR('ORDER Form'!W179,"")</f>
        <v/>
      </c>
      <c r="G178" s="1" t="str">
        <f ca="1">IFERROR('ORDER Form'!X179,"")</f>
        <v/>
      </c>
      <c r="H178" s="1" t="str">
        <f>IFERROR('ORDER Form'!Y179,"")</f>
        <v/>
      </c>
    </row>
    <row r="179" spans="1:8" ht="15" customHeight="1" x14ac:dyDescent="0.25">
      <c r="A179" s="6" t="str">
        <f>IFERROR(IF('ORDER Form'!V180="","",180),"")</f>
        <v/>
      </c>
      <c r="B179" s="6" t="str">
        <f>IFERROR(IF('ORDER Form'!V180="","",IFERROR(INDEX('PRODUCT DATA'!$A$2:$A$58,MATCH('ORDER Form'!$N180,'PRODUCT DATA'!$B$2:$B$58,0)),'ORDER Form'!$M180)&amp;""),"")</f>
        <v/>
      </c>
      <c r="C179" s="6" t="str">
        <f>IFERROR(IF('ORDER Form'!V180="","",'ORDER Form'!A180&amp;""),"")</f>
        <v/>
      </c>
      <c r="D179" s="6" t="str">
        <f>IFERROR(IF('ORDER Form'!V180="","",'ORDER Form'!D180&amp;""),"")</f>
        <v/>
      </c>
      <c r="E179" s="6" t="str">
        <f>IFERROR('ORDER Form'!V180,"")</f>
        <v/>
      </c>
      <c r="F179" s="1" t="str">
        <f ca="1">IFERROR('ORDER Form'!W180,"")</f>
        <v/>
      </c>
      <c r="G179" s="1" t="str">
        <f ca="1">IFERROR('ORDER Form'!X180,"")</f>
        <v/>
      </c>
      <c r="H179" s="1" t="str">
        <f>IFERROR('ORDER Form'!Y180,"")</f>
        <v/>
      </c>
    </row>
    <row r="180" spans="1:8" ht="15" customHeight="1" x14ac:dyDescent="0.25">
      <c r="A180" s="6" t="str">
        <f>IFERROR(IF('ORDER Form'!V181="","",181),"")</f>
        <v/>
      </c>
      <c r="B180" s="6" t="str">
        <f>IFERROR(IF('ORDER Form'!V181="","",IFERROR(INDEX('PRODUCT DATA'!$A$2:$A$58,MATCH('ORDER Form'!$N181,'PRODUCT DATA'!$B$2:$B$58,0)),'ORDER Form'!$M181)&amp;""),"")</f>
        <v/>
      </c>
      <c r="C180" s="6" t="str">
        <f>IFERROR(IF('ORDER Form'!V181="","",'ORDER Form'!A181&amp;""),"")</f>
        <v/>
      </c>
      <c r="D180" s="6" t="str">
        <f>IFERROR(IF('ORDER Form'!V181="","",'ORDER Form'!D181&amp;""),"")</f>
        <v/>
      </c>
      <c r="E180" s="6" t="str">
        <f>IFERROR('ORDER Form'!V181,"")</f>
        <v/>
      </c>
      <c r="F180" s="1" t="str">
        <f ca="1">IFERROR('ORDER Form'!W181,"")</f>
        <v/>
      </c>
      <c r="G180" s="1" t="str">
        <f ca="1">IFERROR('ORDER Form'!X181,"")</f>
        <v/>
      </c>
      <c r="H180" s="1" t="str">
        <f>IFERROR('ORDER Form'!Y181,"")</f>
        <v/>
      </c>
    </row>
    <row r="181" spans="1:8" ht="15" customHeight="1" x14ac:dyDescent="0.25">
      <c r="A181" s="6" t="str">
        <f>IFERROR(IF('ORDER Form'!V182="","",182),"")</f>
        <v/>
      </c>
      <c r="B181" s="6" t="str">
        <f>IFERROR(IF('ORDER Form'!V182="","",IFERROR(INDEX('PRODUCT DATA'!$A$2:$A$58,MATCH('ORDER Form'!$N182,'PRODUCT DATA'!$B$2:$B$58,0)),'ORDER Form'!$M182)&amp;""),"")</f>
        <v/>
      </c>
      <c r="C181" s="6" t="str">
        <f>IFERROR(IF('ORDER Form'!V182="","",'ORDER Form'!A182&amp;""),"")</f>
        <v/>
      </c>
      <c r="D181" s="6" t="str">
        <f>IFERROR(IF('ORDER Form'!V182="","",'ORDER Form'!D182&amp;""),"")</f>
        <v/>
      </c>
      <c r="E181" s="6" t="str">
        <f>IFERROR('ORDER Form'!V182,"")</f>
        <v/>
      </c>
      <c r="F181" s="1" t="str">
        <f ca="1">IFERROR('ORDER Form'!W182,"")</f>
        <v/>
      </c>
      <c r="G181" s="1" t="str">
        <f ca="1">IFERROR('ORDER Form'!X182,"")</f>
        <v/>
      </c>
      <c r="H181" s="1" t="str">
        <f>IFERROR('ORDER Form'!Y182,"")</f>
        <v/>
      </c>
    </row>
    <row r="182" spans="1:8" ht="15" customHeight="1" x14ac:dyDescent="0.25">
      <c r="A182" s="6" t="str">
        <f>IFERROR(IF('ORDER Form'!V183="","",183),"")</f>
        <v/>
      </c>
      <c r="B182" s="6" t="str">
        <f>IFERROR(IF('ORDER Form'!V183="","",IFERROR(INDEX('PRODUCT DATA'!$A$2:$A$58,MATCH('ORDER Form'!$N183,'PRODUCT DATA'!$B$2:$B$58,0)),'ORDER Form'!$M183)&amp;""),"")</f>
        <v/>
      </c>
      <c r="C182" s="6" t="str">
        <f>IFERROR(IF('ORDER Form'!V183="","",'ORDER Form'!A183&amp;""),"")</f>
        <v/>
      </c>
      <c r="D182" s="6" t="str">
        <f>IFERROR(IF('ORDER Form'!V183="","",'ORDER Form'!D183&amp;""),"")</f>
        <v/>
      </c>
      <c r="E182" s="6" t="str">
        <f>IFERROR('ORDER Form'!V183,"")</f>
        <v/>
      </c>
      <c r="F182" s="1" t="str">
        <f ca="1">IFERROR('ORDER Form'!W183,"")</f>
        <v/>
      </c>
      <c r="G182" s="1" t="str">
        <f ca="1">IFERROR('ORDER Form'!X183,"")</f>
        <v/>
      </c>
      <c r="H182" s="1" t="str">
        <f>IFERROR('ORDER Form'!Y183,"")</f>
        <v/>
      </c>
    </row>
    <row r="183" spans="1:8" ht="15" customHeight="1" x14ac:dyDescent="0.25">
      <c r="A183" s="6" t="str">
        <f>IFERROR(IF('ORDER Form'!V184="","",184),"")</f>
        <v/>
      </c>
      <c r="B183" s="6" t="str">
        <f>IFERROR(IF('ORDER Form'!V184="","",IFERROR(INDEX('PRODUCT DATA'!$A$2:$A$58,MATCH('ORDER Form'!$N184,'PRODUCT DATA'!$B$2:$B$58,0)),'ORDER Form'!$M184)&amp;""),"")</f>
        <v/>
      </c>
      <c r="C183" s="6" t="str">
        <f>IFERROR(IF('ORDER Form'!V184="","",'ORDER Form'!A184&amp;""),"")</f>
        <v/>
      </c>
      <c r="D183" s="6" t="str">
        <f>IFERROR(IF('ORDER Form'!V184="","",'ORDER Form'!D184&amp;""),"")</f>
        <v/>
      </c>
      <c r="E183" s="6" t="str">
        <f>IFERROR('ORDER Form'!V184,"")</f>
        <v/>
      </c>
      <c r="F183" s="1" t="str">
        <f ca="1">IFERROR('ORDER Form'!W184,"")</f>
        <v/>
      </c>
      <c r="G183" s="1" t="str">
        <f ca="1">IFERROR('ORDER Form'!X184,"")</f>
        <v/>
      </c>
      <c r="H183" s="1" t="str">
        <f>IFERROR('ORDER Form'!Y184,"")</f>
        <v/>
      </c>
    </row>
    <row r="184" spans="1:8" ht="15" customHeight="1" x14ac:dyDescent="0.25">
      <c r="A184" s="6" t="str">
        <f>IFERROR(IF('ORDER Form'!V185="","",185),"")</f>
        <v/>
      </c>
      <c r="B184" s="6" t="str">
        <f>IFERROR(IF('ORDER Form'!V185="","",IFERROR(INDEX('PRODUCT DATA'!$A$2:$A$58,MATCH('ORDER Form'!$N185,'PRODUCT DATA'!$B$2:$B$58,0)),'ORDER Form'!$M185)&amp;""),"")</f>
        <v/>
      </c>
      <c r="C184" s="6" t="str">
        <f>IFERROR(IF('ORDER Form'!V185="","",'ORDER Form'!A185&amp;""),"")</f>
        <v/>
      </c>
      <c r="D184" s="6" t="str">
        <f>IFERROR(IF('ORDER Form'!V185="","",'ORDER Form'!D185&amp;""),"")</f>
        <v/>
      </c>
      <c r="E184" s="6" t="str">
        <f>IFERROR('ORDER Form'!V185,"")</f>
        <v/>
      </c>
      <c r="F184" s="1" t="str">
        <f ca="1">IFERROR('ORDER Form'!W185,"")</f>
        <v/>
      </c>
      <c r="G184" s="1" t="str">
        <f ca="1">IFERROR('ORDER Form'!X185,"")</f>
        <v/>
      </c>
      <c r="H184" s="1" t="str">
        <f>IFERROR('ORDER Form'!Y185,"")</f>
        <v/>
      </c>
    </row>
    <row r="185" spans="1:8" ht="15" customHeight="1" x14ac:dyDescent="0.25">
      <c r="A185" s="6" t="str">
        <f>IFERROR(IF('ORDER Form'!V186="","",186),"")</f>
        <v/>
      </c>
      <c r="B185" s="6" t="str">
        <f>IFERROR(IF('ORDER Form'!V186="","",IFERROR(INDEX('PRODUCT DATA'!$A$2:$A$58,MATCH('ORDER Form'!$N186,'PRODUCT DATA'!$B$2:$B$58,0)),'ORDER Form'!$M186)&amp;""),"")</f>
        <v/>
      </c>
      <c r="C185" s="6" t="str">
        <f>IFERROR(IF('ORDER Form'!V186="","",'ORDER Form'!A186&amp;""),"")</f>
        <v/>
      </c>
      <c r="D185" s="6" t="str">
        <f>IFERROR(IF('ORDER Form'!V186="","",'ORDER Form'!D186&amp;""),"")</f>
        <v/>
      </c>
      <c r="E185" s="6" t="str">
        <f>IFERROR('ORDER Form'!V186,"")</f>
        <v/>
      </c>
      <c r="F185" s="1" t="str">
        <f ca="1">IFERROR('ORDER Form'!W186,"")</f>
        <v/>
      </c>
      <c r="G185" s="1" t="str">
        <f ca="1">IFERROR('ORDER Form'!X186,"")</f>
        <v/>
      </c>
      <c r="H185" s="1" t="str">
        <f>IFERROR('ORDER Form'!Y186,"")</f>
        <v/>
      </c>
    </row>
    <row r="186" spans="1:8" ht="15" customHeight="1" x14ac:dyDescent="0.25">
      <c r="A186" s="6" t="str">
        <f>IFERROR(IF('ORDER Form'!V187="","",187),"")</f>
        <v/>
      </c>
      <c r="B186" s="6" t="str">
        <f>IFERROR(IF('ORDER Form'!V187="","",IFERROR(INDEX('PRODUCT DATA'!$A$2:$A$58,MATCH('ORDER Form'!$N187,'PRODUCT DATA'!$B$2:$B$58,0)),'ORDER Form'!$M187)&amp;""),"")</f>
        <v/>
      </c>
      <c r="C186" s="6" t="str">
        <f>IFERROR(IF('ORDER Form'!V187="","",'ORDER Form'!A187&amp;""),"")</f>
        <v/>
      </c>
      <c r="D186" s="6" t="str">
        <f>IFERROR(IF('ORDER Form'!V187="","",'ORDER Form'!D187&amp;""),"")</f>
        <v/>
      </c>
      <c r="E186" s="6" t="str">
        <f>IFERROR('ORDER Form'!V187,"")</f>
        <v/>
      </c>
      <c r="F186" s="1" t="str">
        <f ca="1">IFERROR('ORDER Form'!W187,"")</f>
        <v/>
      </c>
      <c r="G186" s="1" t="str">
        <f ca="1">IFERROR('ORDER Form'!X187,"")</f>
        <v/>
      </c>
      <c r="H186" s="1" t="str">
        <f>IFERROR('ORDER Form'!Y187,"")</f>
        <v/>
      </c>
    </row>
    <row r="187" spans="1:8" ht="15" customHeight="1" x14ac:dyDescent="0.25">
      <c r="A187" s="6" t="str">
        <f>IFERROR(IF('ORDER Form'!V188="","",188),"")</f>
        <v/>
      </c>
      <c r="B187" s="6" t="str">
        <f>IFERROR(IF('ORDER Form'!V188="","",IFERROR(INDEX('PRODUCT DATA'!$A$2:$A$58,MATCH('ORDER Form'!$N188,'PRODUCT DATA'!$B$2:$B$58,0)),'ORDER Form'!$M188)&amp;""),"")</f>
        <v/>
      </c>
      <c r="C187" s="6" t="str">
        <f>IFERROR(IF('ORDER Form'!V188="","",'ORDER Form'!A188&amp;""),"")</f>
        <v/>
      </c>
      <c r="D187" s="6" t="str">
        <f>IFERROR(IF('ORDER Form'!V188="","",'ORDER Form'!D188&amp;""),"")</f>
        <v/>
      </c>
      <c r="E187" s="6" t="str">
        <f>IFERROR('ORDER Form'!V188,"")</f>
        <v/>
      </c>
      <c r="F187" s="1" t="str">
        <f ca="1">IFERROR('ORDER Form'!W188,"")</f>
        <v/>
      </c>
      <c r="G187" s="1" t="str">
        <f ca="1">IFERROR('ORDER Form'!X188,"")</f>
        <v/>
      </c>
      <c r="H187" s="1" t="str">
        <f>IFERROR('ORDER Form'!Y188,"")</f>
        <v/>
      </c>
    </row>
    <row r="188" spans="1:8" ht="15" customHeight="1" x14ac:dyDescent="0.25">
      <c r="A188" s="6" t="str">
        <f>IFERROR(IF('ORDER Form'!V189="","",189),"")</f>
        <v/>
      </c>
      <c r="B188" s="6" t="str">
        <f>IFERROR(IF('ORDER Form'!V189="","",IFERROR(INDEX('PRODUCT DATA'!$A$2:$A$58,MATCH('ORDER Form'!$N189,'PRODUCT DATA'!$B$2:$B$58,0)),'ORDER Form'!$M189)&amp;""),"")</f>
        <v/>
      </c>
      <c r="C188" s="6" t="str">
        <f>IFERROR(IF('ORDER Form'!V189="","",'ORDER Form'!A189&amp;""),"")</f>
        <v/>
      </c>
      <c r="D188" s="6" t="str">
        <f>IFERROR(IF('ORDER Form'!V189="","",'ORDER Form'!D189&amp;""),"")</f>
        <v/>
      </c>
      <c r="E188" s="6" t="str">
        <f>IFERROR('ORDER Form'!V189,"")</f>
        <v/>
      </c>
      <c r="F188" s="1" t="str">
        <f ca="1">IFERROR('ORDER Form'!W189,"")</f>
        <v/>
      </c>
      <c r="G188" s="1" t="str">
        <f ca="1">IFERROR('ORDER Form'!X189,"")</f>
        <v/>
      </c>
      <c r="H188" s="1" t="str">
        <f>IFERROR('ORDER Form'!Y189,"")</f>
        <v/>
      </c>
    </row>
    <row r="189" spans="1:8" ht="15" customHeight="1" x14ac:dyDescent="0.25">
      <c r="A189" s="6" t="str">
        <f>IFERROR(IF('ORDER Form'!V190="","",190),"")</f>
        <v/>
      </c>
      <c r="B189" s="6" t="str">
        <f>IFERROR(IF('ORDER Form'!V190="","",IFERROR(INDEX('PRODUCT DATA'!$A$2:$A$58,MATCH('ORDER Form'!$N190,'PRODUCT DATA'!$B$2:$B$58,0)),'ORDER Form'!$M190)&amp;""),"")</f>
        <v/>
      </c>
      <c r="C189" s="6" t="str">
        <f>IFERROR(IF('ORDER Form'!V190="","",'ORDER Form'!A190&amp;""),"")</f>
        <v/>
      </c>
      <c r="D189" s="6" t="str">
        <f>IFERROR(IF('ORDER Form'!V190="","",'ORDER Form'!D190&amp;""),"")</f>
        <v/>
      </c>
      <c r="E189" s="6" t="str">
        <f>IFERROR('ORDER Form'!V190,"")</f>
        <v/>
      </c>
      <c r="F189" s="1" t="str">
        <f ca="1">IFERROR('ORDER Form'!W190,"")</f>
        <v/>
      </c>
      <c r="G189" s="1" t="str">
        <f ca="1">IFERROR('ORDER Form'!X190,"")</f>
        <v/>
      </c>
      <c r="H189" s="1" t="str">
        <f>IFERROR('ORDER Form'!Y190,"")</f>
        <v/>
      </c>
    </row>
    <row r="190" spans="1:8" ht="15" customHeight="1" x14ac:dyDescent="0.25">
      <c r="A190" s="6" t="str">
        <f>IFERROR(IF('ORDER Form'!V191="","",191),"")</f>
        <v/>
      </c>
      <c r="B190" s="6" t="str">
        <f>IFERROR(IF('ORDER Form'!V191="","",IFERROR(INDEX('PRODUCT DATA'!$A$2:$A$58,MATCH('ORDER Form'!$N191,'PRODUCT DATA'!$B$2:$B$58,0)),'ORDER Form'!$M191)&amp;""),"")</f>
        <v/>
      </c>
      <c r="C190" s="6" t="str">
        <f>IFERROR(IF('ORDER Form'!V191="","",'ORDER Form'!A191&amp;""),"")</f>
        <v/>
      </c>
      <c r="D190" s="6" t="str">
        <f>IFERROR(IF('ORDER Form'!V191="","",'ORDER Form'!D191&amp;""),"")</f>
        <v/>
      </c>
      <c r="E190" s="6" t="str">
        <f>IFERROR('ORDER Form'!V191,"")</f>
        <v/>
      </c>
      <c r="F190" s="1" t="str">
        <f ca="1">IFERROR('ORDER Form'!W191,"")</f>
        <v/>
      </c>
      <c r="G190" s="1" t="str">
        <f ca="1">IFERROR('ORDER Form'!X191,"")</f>
        <v/>
      </c>
      <c r="H190" s="1" t="str">
        <f>IFERROR('ORDER Form'!Y191,"")</f>
        <v/>
      </c>
    </row>
    <row r="191" spans="1:8" ht="15" customHeight="1" x14ac:dyDescent="0.25">
      <c r="A191" s="6" t="str">
        <f>IFERROR(IF('ORDER Form'!V192="","",192),"")</f>
        <v/>
      </c>
      <c r="B191" s="6" t="str">
        <f>IFERROR(IF('ORDER Form'!V192="","",IFERROR(INDEX('PRODUCT DATA'!$A$2:$A$58,MATCH('ORDER Form'!$N192,'PRODUCT DATA'!$B$2:$B$58,0)),'ORDER Form'!$M192)&amp;""),"")</f>
        <v/>
      </c>
      <c r="C191" s="6" t="str">
        <f>IFERROR(IF('ORDER Form'!V192="","",'ORDER Form'!A192&amp;""),"")</f>
        <v/>
      </c>
      <c r="D191" s="6" t="str">
        <f>IFERROR(IF('ORDER Form'!V192="","",'ORDER Form'!D192&amp;""),"")</f>
        <v/>
      </c>
      <c r="E191" s="6" t="str">
        <f>IFERROR('ORDER Form'!V192,"")</f>
        <v/>
      </c>
      <c r="F191" s="1" t="str">
        <f ca="1">IFERROR('ORDER Form'!W192,"")</f>
        <v/>
      </c>
      <c r="G191" s="1" t="str">
        <f ca="1">IFERROR('ORDER Form'!X192,"")</f>
        <v/>
      </c>
      <c r="H191" s="1" t="str">
        <f>IFERROR('ORDER Form'!Y192,"")</f>
        <v/>
      </c>
    </row>
    <row r="192" spans="1:8" ht="15" customHeight="1" x14ac:dyDescent="0.25">
      <c r="A192" s="6" t="str">
        <f>IFERROR(IF('ORDER Form'!V193="","",193),"")</f>
        <v/>
      </c>
      <c r="B192" s="6" t="str">
        <f>IFERROR(IF('ORDER Form'!V193="","",IFERROR(INDEX('PRODUCT DATA'!$A$2:$A$58,MATCH('ORDER Form'!$N193,'PRODUCT DATA'!$B$2:$B$58,0)),'ORDER Form'!$M193)&amp;""),"")</f>
        <v/>
      </c>
      <c r="C192" s="6" t="str">
        <f>IFERROR(IF('ORDER Form'!V193="","",'ORDER Form'!A193&amp;""),"")</f>
        <v/>
      </c>
      <c r="D192" s="6" t="str">
        <f>IFERROR(IF('ORDER Form'!V193="","",'ORDER Form'!D193&amp;""),"")</f>
        <v/>
      </c>
      <c r="E192" s="6" t="str">
        <f>IFERROR('ORDER Form'!V193,"")</f>
        <v/>
      </c>
      <c r="F192" s="1" t="str">
        <f ca="1">IFERROR('ORDER Form'!W193,"")</f>
        <v/>
      </c>
      <c r="G192" s="1" t="str">
        <f ca="1">IFERROR('ORDER Form'!X193,"")</f>
        <v/>
      </c>
      <c r="H192" s="1" t="str">
        <f>IFERROR('ORDER Form'!Y193,"")</f>
        <v/>
      </c>
    </row>
    <row r="193" spans="1:8" ht="15" customHeight="1" x14ac:dyDescent="0.25">
      <c r="A193" s="6" t="str">
        <f>IFERROR(IF('ORDER Form'!V194="","",194),"")</f>
        <v/>
      </c>
      <c r="B193" s="6" t="str">
        <f>IFERROR(IF('ORDER Form'!V194="","",IFERROR(INDEX('PRODUCT DATA'!$A$2:$A$58,MATCH('ORDER Form'!$N194,'PRODUCT DATA'!$B$2:$B$58,0)),'ORDER Form'!$M194)&amp;""),"")</f>
        <v/>
      </c>
      <c r="C193" s="6" t="str">
        <f>IFERROR(IF('ORDER Form'!V194="","",'ORDER Form'!A194&amp;""),"")</f>
        <v/>
      </c>
      <c r="D193" s="6" t="str">
        <f>IFERROR(IF('ORDER Form'!V194="","",'ORDER Form'!D194&amp;""),"")</f>
        <v/>
      </c>
      <c r="E193" s="6" t="str">
        <f>IFERROR('ORDER Form'!V194,"")</f>
        <v/>
      </c>
      <c r="F193" s="1" t="str">
        <f ca="1">IFERROR('ORDER Form'!W194,"")</f>
        <v/>
      </c>
      <c r="G193" s="1" t="str">
        <f ca="1">IFERROR('ORDER Form'!X194,"")</f>
        <v/>
      </c>
      <c r="H193" s="1" t="str">
        <f>IFERROR('ORDER Form'!Y194,"")</f>
        <v/>
      </c>
    </row>
    <row r="194" spans="1:8" ht="15" customHeight="1" x14ac:dyDescent="0.25">
      <c r="A194" s="6" t="str">
        <f>IFERROR(IF('ORDER Form'!V195="","",195),"")</f>
        <v/>
      </c>
      <c r="B194" s="6" t="str">
        <f>IFERROR(IF('ORDER Form'!V195="","",IFERROR(INDEX('PRODUCT DATA'!$A$2:$A$58,MATCH('ORDER Form'!$N195,'PRODUCT DATA'!$B$2:$B$58,0)),'ORDER Form'!$M195)&amp;""),"")</f>
        <v/>
      </c>
      <c r="C194" s="6" t="str">
        <f>IFERROR(IF('ORDER Form'!V195="","",'ORDER Form'!A195&amp;""),"")</f>
        <v/>
      </c>
      <c r="D194" s="6" t="str">
        <f>IFERROR(IF('ORDER Form'!V195="","",'ORDER Form'!D195&amp;""),"")</f>
        <v/>
      </c>
      <c r="E194" s="6" t="str">
        <f>IFERROR('ORDER Form'!V195,"")</f>
        <v/>
      </c>
      <c r="F194" s="1" t="str">
        <f ca="1">IFERROR('ORDER Form'!W195,"")</f>
        <v/>
      </c>
      <c r="G194" s="1" t="str">
        <f ca="1">IFERROR('ORDER Form'!X195,"")</f>
        <v/>
      </c>
      <c r="H194" s="1" t="str">
        <f>IFERROR('ORDER Form'!Y195,"")</f>
        <v/>
      </c>
    </row>
    <row r="195" spans="1:8" ht="15" customHeight="1" x14ac:dyDescent="0.25">
      <c r="A195" s="6" t="str">
        <f>IFERROR(IF('ORDER Form'!V196="","",196),"")</f>
        <v/>
      </c>
      <c r="B195" s="6" t="str">
        <f>IFERROR(IF('ORDER Form'!V196="","",IFERROR(INDEX('PRODUCT DATA'!$A$2:$A$58,MATCH('ORDER Form'!$N196,'PRODUCT DATA'!$B$2:$B$58,0)),'ORDER Form'!$M196)&amp;""),"")</f>
        <v/>
      </c>
      <c r="C195" s="6" t="str">
        <f>IFERROR(IF('ORDER Form'!V196="","",'ORDER Form'!A196&amp;""),"")</f>
        <v/>
      </c>
      <c r="D195" s="6" t="str">
        <f>IFERROR(IF('ORDER Form'!V196="","",'ORDER Form'!D196&amp;""),"")</f>
        <v/>
      </c>
      <c r="E195" s="6" t="str">
        <f>IFERROR('ORDER Form'!V196,"")</f>
        <v/>
      </c>
      <c r="F195" s="1" t="str">
        <f ca="1">IFERROR('ORDER Form'!W196,"")</f>
        <v/>
      </c>
      <c r="G195" s="1" t="str">
        <f ca="1">IFERROR('ORDER Form'!X196,"")</f>
        <v/>
      </c>
      <c r="H195" s="1" t="str">
        <f>IFERROR('ORDER Form'!Y196,"")</f>
        <v/>
      </c>
    </row>
    <row r="196" spans="1:8" ht="15" customHeight="1" x14ac:dyDescent="0.25">
      <c r="A196" s="6" t="str">
        <f>IFERROR(IF('ORDER Form'!V197="","",197),"")</f>
        <v/>
      </c>
      <c r="B196" s="6" t="str">
        <f>IFERROR(IF('ORDER Form'!V197="","",IFERROR(INDEX('PRODUCT DATA'!$A$2:$A$58,MATCH('ORDER Form'!$N197,'PRODUCT DATA'!$B$2:$B$58,0)),'ORDER Form'!$M197)&amp;""),"")</f>
        <v/>
      </c>
      <c r="C196" s="6" t="str">
        <f>IFERROR(IF('ORDER Form'!V197="","",'ORDER Form'!A197&amp;""),"")</f>
        <v/>
      </c>
      <c r="D196" s="6" t="str">
        <f>IFERROR(IF('ORDER Form'!V197="","",'ORDER Form'!D197&amp;""),"")</f>
        <v/>
      </c>
      <c r="E196" s="6" t="str">
        <f>IFERROR('ORDER Form'!V197,"")</f>
        <v/>
      </c>
      <c r="F196" s="1" t="str">
        <f ca="1">IFERROR('ORDER Form'!W197,"")</f>
        <v/>
      </c>
      <c r="G196" s="1" t="str">
        <f ca="1">IFERROR('ORDER Form'!X197,"")</f>
        <v/>
      </c>
      <c r="H196" s="1" t="str">
        <f>IFERROR('ORDER Form'!Y197,"")</f>
        <v/>
      </c>
    </row>
    <row r="197" spans="1:8" ht="15" customHeight="1" x14ac:dyDescent="0.25">
      <c r="A197" s="6" t="str">
        <f>IFERROR(IF('ORDER Form'!V198="","",198),"")</f>
        <v/>
      </c>
      <c r="B197" s="6" t="str">
        <f>IFERROR(IF('ORDER Form'!V198="","",IFERROR(INDEX('PRODUCT DATA'!$A$2:$A$58,MATCH('ORDER Form'!$N198,'PRODUCT DATA'!$B$2:$B$58,0)),'ORDER Form'!$M198)&amp;""),"")</f>
        <v/>
      </c>
      <c r="C197" s="6" t="str">
        <f>IFERROR(IF('ORDER Form'!V198="","",'ORDER Form'!A198&amp;""),"")</f>
        <v/>
      </c>
      <c r="D197" s="6" t="str">
        <f>IFERROR(IF('ORDER Form'!V198="","",'ORDER Form'!D198&amp;""),"")</f>
        <v/>
      </c>
      <c r="E197" s="6" t="str">
        <f>IFERROR('ORDER Form'!V198,"")</f>
        <v/>
      </c>
      <c r="F197" s="1" t="str">
        <f ca="1">IFERROR('ORDER Form'!W198,"")</f>
        <v/>
      </c>
      <c r="G197" s="1" t="str">
        <f ca="1">IFERROR('ORDER Form'!X198,"")</f>
        <v/>
      </c>
      <c r="H197" s="1" t="str">
        <f>IFERROR('ORDER Form'!Y198,"")</f>
        <v/>
      </c>
    </row>
    <row r="198" spans="1:8" ht="15" customHeight="1" x14ac:dyDescent="0.25">
      <c r="A198" s="6" t="str">
        <f>IFERROR(IF('ORDER Form'!V199="","",199),"")</f>
        <v/>
      </c>
      <c r="B198" s="6" t="str">
        <f>IFERROR(IF('ORDER Form'!V199="","",IFERROR(INDEX('PRODUCT DATA'!$A$2:$A$58,MATCH('ORDER Form'!$N199,'PRODUCT DATA'!$B$2:$B$58,0)),'ORDER Form'!$M199)&amp;""),"")</f>
        <v/>
      </c>
      <c r="C198" s="6" t="str">
        <f>IFERROR(IF('ORDER Form'!V199="","",'ORDER Form'!A199&amp;""),"")</f>
        <v/>
      </c>
      <c r="D198" s="6" t="str">
        <f>IFERROR(IF('ORDER Form'!V199="","",'ORDER Form'!D199&amp;""),"")</f>
        <v/>
      </c>
      <c r="E198" s="6" t="str">
        <f>IFERROR('ORDER Form'!V199,"")</f>
        <v/>
      </c>
      <c r="F198" s="1" t="str">
        <f ca="1">IFERROR('ORDER Form'!W199,"")</f>
        <v/>
      </c>
      <c r="G198" s="1" t="str">
        <f ca="1">IFERROR('ORDER Form'!X199,"")</f>
        <v/>
      </c>
      <c r="H198" s="1" t="str">
        <f>IFERROR('ORDER Form'!Y199,"")</f>
        <v/>
      </c>
    </row>
    <row r="199" spans="1:8" ht="15" customHeight="1" x14ac:dyDescent="0.25">
      <c r="A199" s="6" t="str">
        <f>IFERROR(IF('ORDER Form'!V200="","",200),"")</f>
        <v/>
      </c>
      <c r="B199" s="6" t="str">
        <f>IFERROR(IF('ORDER Form'!V200="","",IFERROR(INDEX('PRODUCT DATA'!$A$2:$A$58,MATCH('ORDER Form'!$N200,'PRODUCT DATA'!$B$2:$B$58,0)),'ORDER Form'!$M200)&amp;""),"")</f>
        <v/>
      </c>
      <c r="C199" s="6" t="str">
        <f>IFERROR(IF('ORDER Form'!V200="","",'ORDER Form'!A200&amp;""),"")</f>
        <v/>
      </c>
      <c r="D199" s="6" t="str">
        <f>IFERROR(IF('ORDER Form'!V200="","",'ORDER Form'!D200&amp;""),"")</f>
        <v/>
      </c>
      <c r="E199" s="6" t="str">
        <f>IFERROR('ORDER Form'!V200,"")</f>
        <v/>
      </c>
      <c r="F199" s="1" t="str">
        <f ca="1">IFERROR('ORDER Form'!W200,"")</f>
        <v/>
      </c>
      <c r="G199" s="1" t="str">
        <f ca="1">IFERROR('ORDER Form'!X200,"")</f>
        <v/>
      </c>
      <c r="H199" s="1" t="str">
        <f>IFERROR('ORDER Form'!Y200,"")</f>
        <v/>
      </c>
    </row>
    <row r="200" spans="1:8" ht="15" customHeight="1" x14ac:dyDescent="0.25">
      <c r="A200" s="6" t="str">
        <f>IFERROR(IF('ORDER Form'!V201="","",201),"")</f>
        <v/>
      </c>
      <c r="B200" s="6" t="str">
        <f>IFERROR(IF('ORDER Form'!V201="","",IFERROR(INDEX('PRODUCT DATA'!$A$2:$A$58,MATCH('ORDER Form'!$N201,'PRODUCT DATA'!$B$2:$B$58,0)),'ORDER Form'!$M201)&amp;""),"")</f>
        <v/>
      </c>
      <c r="C200" s="6" t="str">
        <f>IFERROR(IF('ORDER Form'!V201="","",'ORDER Form'!A201&amp;""),"")</f>
        <v/>
      </c>
      <c r="D200" s="6" t="str">
        <f>IFERROR(IF('ORDER Form'!V201="","",'ORDER Form'!D201&amp;""),"")</f>
        <v/>
      </c>
      <c r="E200" s="6" t="str">
        <f>IFERROR('ORDER Form'!V201,"")</f>
        <v/>
      </c>
      <c r="F200" s="1" t="str">
        <f ca="1">IFERROR('ORDER Form'!W201,"")</f>
        <v/>
      </c>
      <c r="G200" s="1" t="str">
        <f ca="1">IFERROR('ORDER Form'!X201,"")</f>
        <v/>
      </c>
      <c r="H200" s="1" t="str">
        <f>IFERROR('ORDER Form'!Y201,"")</f>
        <v/>
      </c>
    </row>
    <row r="201" spans="1:8" ht="15" customHeight="1" x14ac:dyDescent="0.25">
      <c r="A201" s="6" t="str">
        <f>IFERROR(IF('ORDER Form'!V202="","",202),"")</f>
        <v/>
      </c>
      <c r="B201" s="6" t="str">
        <f>IFERROR(IF('ORDER Form'!V202="","",IFERROR(INDEX('PRODUCT DATA'!$A$2:$A$58,MATCH('ORDER Form'!$N202,'PRODUCT DATA'!$B$2:$B$58,0)),'ORDER Form'!$M202)&amp;""),"")</f>
        <v/>
      </c>
      <c r="C201" s="6" t="str">
        <f>IFERROR(IF('ORDER Form'!V202="","",'ORDER Form'!A202&amp;""),"")</f>
        <v/>
      </c>
      <c r="D201" s="6" t="str">
        <f>IFERROR(IF('ORDER Form'!V202="","",'ORDER Form'!D202&amp;""),"")</f>
        <v/>
      </c>
      <c r="E201" s="6" t="str">
        <f>IFERROR('ORDER Form'!V202,"")</f>
        <v/>
      </c>
      <c r="F201" s="1" t="str">
        <f ca="1">IFERROR('ORDER Form'!W202,"")</f>
        <v/>
      </c>
      <c r="G201" s="1" t="str">
        <f ca="1">IFERROR('ORDER Form'!X202,"")</f>
        <v/>
      </c>
      <c r="H201" s="1" t="str">
        <f>IFERROR('ORDER Form'!Y202,"")</f>
        <v/>
      </c>
    </row>
    <row r="202" spans="1:8" ht="15" customHeight="1" x14ac:dyDescent="0.25">
      <c r="A202" s="6" t="str">
        <f>IFERROR(IF('ORDER Form'!V203="","",203),"")</f>
        <v/>
      </c>
      <c r="B202" s="6" t="str">
        <f>IFERROR(IF('ORDER Form'!V203="","",IFERROR(INDEX('PRODUCT DATA'!$A$2:$A$58,MATCH('ORDER Form'!$N203,'PRODUCT DATA'!$B$2:$B$58,0)),'ORDER Form'!$M203)&amp;""),"")</f>
        <v/>
      </c>
      <c r="C202" s="6" t="str">
        <f>IFERROR(IF('ORDER Form'!V203="","",'ORDER Form'!A203&amp;""),"")</f>
        <v/>
      </c>
      <c r="D202" s="6" t="str">
        <f>IFERROR(IF('ORDER Form'!V203="","",'ORDER Form'!D203&amp;""),"")</f>
        <v/>
      </c>
      <c r="E202" s="6" t="str">
        <f>IFERROR('ORDER Form'!V203,"")</f>
        <v/>
      </c>
      <c r="F202" s="1" t="str">
        <f ca="1">IFERROR('ORDER Form'!W203,"")</f>
        <v/>
      </c>
      <c r="G202" s="1" t="str">
        <f ca="1">IFERROR('ORDER Form'!X203,"")</f>
        <v/>
      </c>
      <c r="H202" s="1" t="str">
        <f>IFERROR('ORDER Form'!Y203,"")</f>
        <v/>
      </c>
    </row>
    <row r="203" spans="1:8" ht="15" customHeight="1" x14ac:dyDescent="0.25">
      <c r="A203" s="6" t="str">
        <f>IFERROR(IF('ORDER Form'!V204="","",204),"")</f>
        <v/>
      </c>
      <c r="B203" s="6" t="str">
        <f>IFERROR(IF('ORDER Form'!V204="","",IFERROR(INDEX('PRODUCT DATA'!$A$2:$A$58,MATCH('ORDER Form'!$N204,'PRODUCT DATA'!$B$2:$B$58,0)),'ORDER Form'!$M204)&amp;""),"")</f>
        <v/>
      </c>
      <c r="C203" s="6" t="str">
        <f>IFERROR(IF('ORDER Form'!V204="","",'ORDER Form'!A204&amp;""),"")</f>
        <v/>
      </c>
      <c r="D203" s="6" t="str">
        <f>IFERROR(IF('ORDER Form'!V204="","",'ORDER Form'!D204&amp;""),"")</f>
        <v/>
      </c>
      <c r="E203" s="6" t="str">
        <f>IFERROR('ORDER Form'!V204,"")</f>
        <v/>
      </c>
      <c r="F203" s="1" t="str">
        <f ca="1">IFERROR('ORDER Form'!W204,"")</f>
        <v/>
      </c>
      <c r="G203" s="1" t="str">
        <f ca="1">IFERROR('ORDER Form'!X204,"")</f>
        <v/>
      </c>
      <c r="H203" s="1" t="str">
        <f>IFERROR('ORDER Form'!Y204,"")</f>
        <v/>
      </c>
    </row>
    <row r="204" spans="1:8" ht="15" customHeight="1" x14ac:dyDescent="0.25">
      <c r="A204" s="6" t="str">
        <f>IFERROR(IF('ORDER Form'!V205="","",205),"")</f>
        <v/>
      </c>
      <c r="B204" s="6" t="str">
        <f>IFERROR(IF('ORDER Form'!V205="","",IFERROR(INDEX('PRODUCT DATA'!$A$2:$A$58,MATCH('ORDER Form'!$N205,'PRODUCT DATA'!$B$2:$B$58,0)),'ORDER Form'!$M205)&amp;""),"")</f>
        <v/>
      </c>
      <c r="C204" s="6" t="str">
        <f>IFERROR(IF('ORDER Form'!V205="","",'ORDER Form'!A205&amp;""),"")</f>
        <v/>
      </c>
      <c r="D204" s="6" t="str">
        <f>IFERROR(IF('ORDER Form'!V205="","",'ORDER Form'!D205&amp;""),"")</f>
        <v/>
      </c>
      <c r="E204" s="6" t="str">
        <f>IFERROR('ORDER Form'!V205,"")</f>
        <v/>
      </c>
      <c r="F204" s="1" t="str">
        <f ca="1">IFERROR('ORDER Form'!W205,"")</f>
        <v/>
      </c>
      <c r="G204" s="1" t="str">
        <f ca="1">IFERROR('ORDER Form'!X205,"")</f>
        <v/>
      </c>
      <c r="H204" s="1" t="str">
        <f>IFERROR('ORDER Form'!Y205,"")</f>
        <v/>
      </c>
    </row>
    <row r="205" spans="1:8" ht="15" customHeight="1" x14ac:dyDescent="0.25">
      <c r="A205" s="6" t="str">
        <f>IFERROR(IF('ORDER Form'!V206="","",206),"")</f>
        <v/>
      </c>
      <c r="B205" s="6" t="str">
        <f>IFERROR(IF('ORDER Form'!V206="","",IFERROR(INDEX('PRODUCT DATA'!$A$2:$A$58,MATCH('ORDER Form'!$N206,'PRODUCT DATA'!$B$2:$B$58,0)),'ORDER Form'!$M206)&amp;""),"")</f>
        <v/>
      </c>
      <c r="C205" s="6" t="str">
        <f>IFERROR(IF('ORDER Form'!V206="","",'ORDER Form'!A206&amp;""),"")</f>
        <v/>
      </c>
      <c r="D205" s="6" t="str">
        <f>IFERROR(IF('ORDER Form'!V206="","",'ORDER Form'!D206&amp;""),"")</f>
        <v/>
      </c>
      <c r="E205" s="6" t="str">
        <f>IFERROR('ORDER Form'!V206,"")</f>
        <v/>
      </c>
      <c r="F205" s="1" t="str">
        <f ca="1">IFERROR('ORDER Form'!W206,"")</f>
        <v/>
      </c>
      <c r="G205" s="1" t="str">
        <f ca="1">IFERROR('ORDER Form'!X206,"")</f>
        <v/>
      </c>
      <c r="H205" s="1" t="str">
        <f>IFERROR('ORDER Form'!Y206,"")</f>
        <v/>
      </c>
    </row>
    <row r="206" spans="1:8" ht="15" customHeight="1" x14ac:dyDescent="0.25">
      <c r="A206" s="6" t="str">
        <f>IFERROR(IF('ORDER Form'!V207="","",207),"")</f>
        <v/>
      </c>
      <c r="B206" s="6" t="str">
        <f>IFERROR(IF('ORDER Form'!V207="","",IFERROR(INDEX('PRODUCT DATA'!$A$2:$A$58,MATCH('ORDER Form'!$N207,'PRODUCT DATA'!$B$2:$B$58,0)),'ORDER Form'!$M207)&amp;""),"")</f>
        <v/>
      </c>
      <c r="C206" s="6" t="str">
        <f>IFERROR(IF('ORDER Form'!V207="","",'ORDER Form'!A207&amp;""),"")</f>
        <v/>
      </c>
      <c r="D206" s="6" t="str">
        <f>IFERROR(IF('ORDER Form'!V207="","",'ORDER Form'!D207&amp;""),"")</f>
        <v/>
      </c>
      <c r="E206" s="6" t="str">
        <f>IFERROR('ORDER Form'!V207,"")</f>
        <v/>
      </c>
      <c r="F206" s="1" t="str">
        <f ca="1">IFERROR('ORDER Form'!W207,"")</f>
        <v/>
      </c>
      <c r="G206" s="1" t="str">
        <f ca="1">IFERROR('ORDER Form'!X207,"")</f>
        <v/>
      </c>
      <c r="H206" s="1" t="str">
        <f>IFERROR('ORDER Form'!Y207,"")</f>
        <v/>
      </c>
    </row>
    <row r="207" spans="1:8" ht="15" customHeight="1" x14ac:dyDescent="0.25">
      <c r="A207" s="6" t="str">
        <f>IFERROR(IF('ORDER Form'!V208="","",208),"")</f>
        <v/>
      </c>
      <c r="B207" s="6" t="str">
        <f>IFERROR(IF('ORDER Form'!V208="","",IFERROR(INDEX('PRODUCT DATA'!$A$2:$A$58,MATCH('ORDER Form'!$N208,'PRODUCT DATA'!$B$2:$B$58,0)),'ORDER Form'!$M208)&amp;""),"")</f>
        <v/>
      </c>
      <c r="C207" s="6" t="str">
        <f>IFERROR(IF('ORDER Form'!V208="","",'ORDER Form'!A208&amp;""),"")</f>
        <v/>
      </c>
      <c r="D207" s="6" t="str">
        <f>IFERROR(IF('ORDER Form'!V208="","",'ORDER Form'!D208&amp;""),"")</f>
        <v/>
      </c>
      <c r="E207" s="6" t="str">
        <f>IFERROR('ORDER Form'!V208,"")</f>
        <v/>
      </c>
      <c r="F207" s="1" t="str">
        <f ca="1">IFERROR('ORDER Form'!W208,"")</f>
        <v/>
      </c>
      <c r="G207" s="1" t="str">
        <f ca="1">IFERROR('ORDER Form'!X208,"")</f>
        <v/>
      </c>
      <c r="H207" s="1" t="str">
        <f>IFERROR('ORDER Form'!Y208,"")</f>
        <v/>
      </c>
    </row>
    <row r="208" spans="1:8" ht="15" customHeight="1" x14ac:dyDescent="0.25">
      <c r="A208" s="6" t="str">
        <f>IFERROR(IF('ORDER Form'!V209="","",209),"")</f>
        <v/>
      </c>
      <c r="B208" s="6" t="str">
        <f>IFERROR(IF('ORDER Form'!V209="","",IFERROR(INDEX('PRODUCT DATA'!$A$2:$A$58,MATCH('ORDER Form'!$N209,'PRODUCT DATA'!$B$2:$B$58,0)),'ORDER Form'!$M209)&amp;""),"")</f>
        <v/>
      </c>
      <c r="C208" s="6" t="str">
        <f>IFERROR(IF('ORDER Form'!V209="","",'ORDER Form'!A209&amp;""),"")</f>
        <v/>
      </c>
      <c r="D208" s="6" t="str">
        <f>IFERROR(IF('ORDER Form'!V209="","",'ORDER Form'!D209&amp;""),"")</f>
        <v/>
      </c>
      <c r="E208" s="6" t="str">
        <f>IFERROR('ORDER Form'!V209,"")</f>
        <v/>
      </c>
      <c r="F208" s="1" t="str">
        <f ca="1">IFERROR('ORDER Form'!W209,"")</f>
        <v/>
      </c>
      <c r="G208" s="1" t="str">
        <f ca="1">IFERROR('ORDER Form'!X209,"")</f>
        <v/>
      </c>
      <c r="H208" s="1" t="str">
        <f>IFERROR('ORDER Form'!Y209,"")</f>
        <v/>
      </c>
    </row>
    <row r="209" spans="1:8" ht="15" customHeight="1" x14ac:dyDescent="0.25">
      <c r="A209" s="6" t="str">
        <f>IFERROR(IF('ORDER Form'!V210="","",210),"")</f>
        <v/>
      </c>
      <c r="B209" s="6" t="str">
        <f>IFERROR(IF('ORDER Form'!V210="","",IFERROR(INDEX('PRODUCT DATA'!$A$2:$A$58,MATCH('ORDER Form'!$N210,'PRODUCT DATA'!$B$2:$B$58,0)),'ORDER Form'!$M210)&amp;""),"")</f>
        <v/>
      </c>
      <c r="C209" s="6" t="str">
        <f>IFERROR(IF('ORDER Form'!V210="","",'ORDER Form'!A210&amp;""),"")</f>
        <v/>
      </c>
      <c r="D209" s="6" t="str">
        <f>IFERROR(IF('ORDER Form'!V210="","",'ORDER Form'!D210&amp;""),"")</f>
        <v/>
      </c>
      <c r="E209" s="6" t="str">
        <f>IFERROR('ORDER Form'!V210,"")</f>
        <v/>
      </c>
      <c r="F209" s="1" t="str">
        <f ca="1">IFERROR('ORDER Form'!W210,"")</f>
        <v/>
      </c>
      <c r="G209" s="1" t="str">
        <f ca="1">IFERROR('ORDER Form'!X210,"")</f>
        <v/>
      </c>
      <c r="H209" s="1" t="str">
        <f>IFERROR('ORDER Form'!Y210,"")</f>
        <v/>
      </c>
    </row>
    <row r="210" spans="1:8" ht="15" customHeight="1" x14ac:dyDescent="0.25">
      <c r="A210" s="6" t="str">
        <f>IFERROR(IF('ORDER Form'!V211="","",211),"")</f>
        <v/>
      </c>
      <c r="B210" s="6" t="str">
        <f>IFERROR(IF('ORDER Form'!V211="","",IFERROR(INDEX('PRODUCT DATA'!$A$2:$A$58,MATCH('ORDER Form'!$N211,'PRODUCT DATA'!$B$2:$B$58,0)),'ORDER Form'!$M211)&amp;""),"")</f>
        <v/>
      </c>
      <c r="C210" s="6" t="str">
        <f>IFERROR(IF('ORDER Form'!V211="","",'ORDER Form'!A211&amp;""),"")</f>
        <v/>
      </c>
      <c r="D210" s="6" t="str">
        <f>IFERROR(IF('ORDER Form'!V211="","",'ORDER Form'!D211&amp;""),"")</f>
        <v/>
      </c>
      <c r="E210" s="6" t="str">
        <f>IFERROR('ORDER Form'!V211,"")</f>
        <v/>
      </c>
      <c r="F210" s="1" t="str">
        <f ca="1">IFERROR('ORDER Form'!W211,"")</f>
        <v/>
      </c>
      <c r="G210" s="1" t="str">
        <f ca="1">IFERROR('ORDER Form'!X211,"")</f>
        <v/>
      </c>
      <c r="H210" s="1" t="str">
        <f>IFERROR('ORDER Form'!Y211,"")</f>
        <v/>
      </c>
    </row>
    <row r="211" spans="1:8" ht="15" customHeight="1" x14ac:dyDescent="0.25">
      <c r="A211" s="6" t="str">
        <f>IFERROR(IF('ORDER Form'!V212="","",212),"")</f>
        <v/>
      </c>
      <c r="B211" s="6" t="str">
        <f>IFERROR(IF('ORDER Form'!V212="","",IFERROR(INDEX('PRODUCT DATA'!$A$2:$A$58,MATCH('ORDER Form'!$N212,'PRODUCT DATA'!$B$2:$B$58,0)),'ORDER Form'!$M212)&amp;""),"")</f>
        <v/>
      </c>
      <c r="C211" s="6" t="str">
        <f>IFERROR(IF('ORDER Form'!V212="","",'ORDER Form'!A212&amp;""),"")</f>
        <v/>
      </c>
      <c r="D211" s="6" t="str">
        <f>IFERROR(IF('ORDER Form'!V212="","",'ORDER Form'!D212&amp;""),"")</f>
        <v/>
      </c>
      <c r="E211" s="6" t="str">
        <f>IFERROR('ORDER Form'!V212,"")</f>
        <v/>
      </c>
      <c r="F211" s="1" t="str">
        <f ca="1">IFERROR('ORDER Form'!W212,"")</f>
        <v/>
      </c>
      <c r="G211" s="1" t="str">
        <f ca="1">IFERROR('ORDER Form'!X212,"")</f>
        <v/>
      </c>
      <c r="H211" s="1" t="str">
        <f>IFERROR('ORDER Form'!Y212,"")</f>
        <v/>
      </c>
    </row>
    <row r="212" spans="1:8" ht="15" customHeight="1" x14ac:dyDescent="0.25">
      <c r="A212" s="6" t="str">
        <f>IFERROR(IF('ORDER Form'!V213="","",213),"")</f>
        <v/>
      </c>
      <c r="B212" s="6" t="str">
        <f>IFERROR(IF('ORDER Form'!V213="","",IFERROR(INDEX('PRODUCT DATA'!$A$2:$A$58,MATCH('ORDER Form'!$N213,'PRODUCT DATA'!$B$2:$B$58,0)),'ORDER Form'!$M213)&amp;""),"")</f>
        <v/>
      </c>
      <c r="C212" s="6" t="str">
        <f>IFERROR(IF('ORDER Form'!V213="","",'ORDER Form'!A213&amp;""),"")</f>
        <v/>
      </c>
      <c r="D212" s="6" t="str">
        <f>IFERROR(IF('ORDER Form'!V213="","",'ORDER Form'!D213&amp;""),"")</f>
        <v/>
      </c>
      <c r="E212" s="6" t="str">
        <f>IFERROR('ORDER Form'!V213,"")</f>
        <v/>
      </c>
      <c r="F212" s="1" t="str">
        <f ca="1">IFERROR('ORDER Form'!W213,"")</f>
        <v/>
      </c>
      <c r="G212" s="1" t="str">
        <f ca="1">IFERROR('ORDER Form'!X213,"")</f>
        <v/>
      </c>
      <c r="H212" s="1" t="str">
        <f>IFERROR('ORDER Form'!Y213,"")</f>
        <v/>
      </c>
    </row>
    <row r="213" spans="1:8" ht="15" customHeight="1" x14ac:dyDescent="0.25">
      <c r="A213" s="6" t="str">
        <f>IFERROR(IF('ORDER Form'!V214="","",214),"")</f>
        <v/>
      </c>
      <c r="B213" s="6" t="str">
        <f>IFERROR(IF('ORDER Form'!V214="","",IFERROR(INDEX('PRODUCT DATA'!$A$2:$A$58,MATCH('ORDER Form'!$N214,'PRODUCT DATA'!$B$2:$B$58,0)),'ORDER Form'!$M214)&amp;""),"")</f>
        <v/>
      </c>
      <c r="C213" s="6" t="str">
        <f>IFERROR(IF('ORDER Form'!V214="","",'ORDER Form'!A214&amp;""),"")</f>
        <v/>
      </c>
      <c r="D213" s="6" t="str">
        <f>IFERROR(IF('ORDER Form'!V214="","",'ORDER Form'!D214&amp;""),"")</f>
        <v/>
      </c>
      <c r="E213" s="6" t="str">
        <f>IFERROR('ORDER Form'!V214,"")</f>
        <v/>
      </c>
      <c r="F213" s="1" t="str">
        <f ca="1">IFERROR('ORDER Form'!W214,"")</f>
        <v/>
      </c>
      <c r="G213" s="1" t="str">
        <f ca="1">IFERROR('ORDER Form'!X214,"")</f>
        <v/>
      </c>
      <c r="H213" s="1" t="str">
        <f>IFERROR('ORDER Form'!Y214,"")</f>
        <v/>
      </c>
    </row>
    <row r="214" spans="1:8" ht="15" customHeight="1" x14ac:dyDescent="0.25">
      <c r="A214" s="6" t="str">
        <f>IFERROR(IF('ORDER Form'!V215="","",215),"")</f>
        <v/>
      </c>
      <c r="B214" s="6" t="str">
        <f>IFERROR(IF('ORDER Form'!V215="","",IFERROR(INDEX('PRODUCT DATA'!$A$2:$A$58,MATCH('ORDER Form'!$N215,'PRODUCT DATA'!$B$2:$B$58,0)),'ORDER Form'!$M215)&amp;""),"")</f>
        <v/>
      </c>
      <c r="C214" s="6" t="str">
        <f>IFERROR(IF('ORDER Form'!V215="","",'ORDER Form'!A215&amp;""),"")</f>
        <v/>
      </c>
      <c r="D214" s="6" t="str">
        <f>IFERROR(IF('ORDER Form'!V215="","",'ORDER Form'!D215&amp;""),"")</f>
        <v/>
      </c>
      <c r="E214" s="6" t="str">
        <f>IFERROR('ORDER Form'!V215,"")</f>
        <v/>
      </c>
      <c r="F214" s="1" t="str">
        <f ca="1">IFERROR('ORDER Form'!W215,"")</f>
        <v/>
      </c>
      <c r="G214" s="1" t="str">
        <f ca="1">IFERROR('ORDER Form'!X215,"")</f>
        <v/>
      </c>
      <c r="H214" s="1" t="str">
        <f>IFERROR('ORDER Form'!Y215,"")</f>
        <v/>
      </c>
    </row>
    <row r="215" spans="1:8" ht="15" customHeight="1" x14ac:dyDescent="0.25">
      <c r="A215" s="6" t="str">
        <f>IFERROR(IF('ORDER Form'!V216="","",216),"")</f>
        <v/>
      </c>
      <c r="B215" s="6" t="str">
        <f>IFERROR(IF('ORDER Form'!V216="","",IFERROR(INDEX('PRODUCT DATA'!$A$2:$A$58,MATCH('ORDER Form'!$N216,'PRODUCT DATA'!$B$2:$B$58,0)),'ORDER Form'!$M216)&amp;""),"")</f>
        <v/>
      </c>
      <c r="C215" s="6" t="str">
        <f>IFERROR(IF('ORDER Form'!V216="","",'ORDER Form'!A216&amp;""),"")</f>
        <v/>
      </c>
      <c r="D215" s="6" t="str">
        <f>IFERROR(IF('ORDER Form'!V216="","",'ORDER Form'!D216&amp;""),"")</f>
        <v/>
      </c>
      <c r="E215" s="6" t="str">
        <f>IFERROR('ORDER Form'!V216,"")</f>
        <v/>
      </c>
      <c r="F215" s="1" t="str">
        <f ca="1">IFERROR('ORDER Form'!W216,"")</f>
        <v/>
      </c>
      <c r="G215" s="1" t="str">
        <f ca="1">IFERROR('ORDER Form'!X216,"")</f>
        <v/>
      </c>
      <c r="H215" s="1" t="str">
        <f>IFERROR('ORDER Form'!Y216,"")</f>
        <v/>
      </c>
    </row>
    <row r="216" spans="1:8" ht="15" customHeight="1" x14ac:dyDescent="0.25">
      <c r="A216" s="6" t="str">
        <f>IFERROR(IF('ORDER Form'!V217="","",217),"")</f>
        <v/>
      </c>
      <c r="B216" s="6" t="str">
        <f>IFERROR(IF('ORDER Form'!V217="","",IFERROR(INDEX('PRODUCT DATA'!$A$2:$A$58,MATCH('ORDER Form'!$N217,'PRODUCT DATA'!$B$2:$B$58,0)),'ORDER Form'!$M217)&amp;""),"")</f>
        <v/>
      </c>
      <c r="C216" s="6" t="str">
        <f>IFERROR(IF('ORDER Form'!V217="","",'ORDER Form'!A217&amp;""),"")</f>
        <v/>
      </c>
      <c r="D216" s="6" t="str">
        <f>IFERROR(IF('ORDER Form'!V217="","",'ORDER Form'!D217&amp;""),"")</f>
        <v/>
      </c>
      <c r="E216" s="6" t="str">
        <f>IFERROR('ORDER Form'!V217,"")</f>
        <v/>
      </c>
      <c r="F216" s="1" t="str">
        <f ca="1">IFERROR('ORDER Form'!W217,"")</f>
        <v/>
      </c>
      <c r="G216" s="1" t="str">
        <f ca="1">IFERROR('ORDER Form'!X217,"")</f>
        <v/>
      </c>
      <c r="H216" s="1" t="str">
        <f>IFERROR('ORDER Form'!Y217,"")</f>
        <v/>
      </c>
    </row>
    <row r="217" spans="1:8" ht="15" customHeight="1" x14ac:dyDescent="0.25">
      <c r="A217" s="6" t="str">
        <f>IFERROR(IF('ORDER Form'!V218="","",218),"")</f>
        <v/>
      </c>
      <c r="B217" s="6" t="str">
        <f>IFERROR(IF('ORDER Form'!V218="","",IFERROR(INDEX('PRODUCT DATA'!$A$2:$A$58,MATCH('ORDER Form'!$N218,'PRODUCT DATA'!$B$2:$B$58,0)),'ORDER Form'!$M218)&amp;""),"")</f>
        <v/>
      </c>
      <c r="C217" s="6" t="str">
        <f>IFERROR(IF('ORDER Form'!V218="","",'ORDER Form'!A218&amp;""),"")</f>
        <v/>
      </c>
      <c r="D217" s="6" t="str">
        <f>IFERROR(IF('ORDER Form'!V218="","",'ORDER Form'!D218&amp;""),"")</f>
        <v/>
      </c>
      <c r="E217" s="6" t="str">
        <f>IFERROR('ORDER Form'!V218,"")</f>
        <v/>
      </c>
      <c r="F217" s="1" t="str">
        <f ca="1">IFERROR('ORDER Form'!W218,"")</f>
        <v/>
      </c>
      <c r="G217" s="1" t="str">
        <f ca="1">IFERROR('ORDER Form'!X218,"")</f>
        <v/>
      </c>
      <c r="H217" s="1" t="str">
        <f>IFERROR('ORDER Form'!Y218,"")</f>
        <v/>
      </c>
    </row>
    <row r="218" spans="1:8" ht="15" customHeight="1" x14ac:dyDescent="0.25">
      <c r="A218" s="6" t="str">
        <f>IFERROR(IF('ORDER Form'!V219="","",219),"")</f>
        <v/>
      </c>
      <c r="B218" s="6" t="str">
        <f>IFERROR(IF('ORDER Form'!V219="","",IFERROR(INDEX('PRODUCT DATA'!$A$2:$A$58,MATCH('ORDER Form'!$N219,'PRODUCT DATA'!$B$2:$B$58,0)),'ORDER Form'!$M219)&amp;""),"")</f>
        <v/>
      </c>
      <c r="C218" s="6" t="str">
        <f>IFERROR(IF('ORDER Form'!V219="","",'ORDER Form'!A219&amp;""),"")</f>
        <v/>
      </c>
      <c r="D218" s="6" t="str">
        <f>IFERROR(IF('ORDER Form'!V219="","",'ORDER Form'!D219&amp;""),"")</f>
        <v/>
      </c>
      <c r="E218" s="6" t="str">
        <f>IFERROR('ORDER Form'!V219,"")</f>
        <v/>
      </c>
      <c r="F218" s="1" t="str">
        <f ca="1">IFERROR('ORDER Form'!W219,"")</f>
        <v/>
      </c>
      <c r="G218" s="1" t="str">
        <f ca="1">IFERROR('ORDER Form'!X219,"")</f>
        <v/>
      </c>
      <c r="H218" s="1" t="str">
        <f>IFERROR('ORDER Form'!Y219,"")</f>
        <v/>
      </c>
    </row>
    <row r="219" spans="1:8" ht="15" customHeight="1" x14ac:dyDescent="0.25">
      <c r="A219" s="6" t="str">
        <f>IFERROR(IF('ORDER Form'!V220="","",220),"")</f>
        <v/>
      </c>
      <c r="B219" s="6" t="str">
        <f>IFERROR(IF('ORDER Form'!V220="","",IFERROR(INDEX('PRODUCT DATA'!$A$2:$A$58,MATCH('ORDER Form'!$N220,'PRODUCT DATA'!$B$2:$B$58,0)),'ORDER Form'!$M220)&amp;""),"")</f>
        <v/>
      </c>
      <c r="C219" s="6" t="str">
        <f>IFERROR(IF('ORDER Form'!V220="","",'ORDER Form'!A220&amp;""),"")</f>
        <v/>
      </c>
      <c r="D219" s="6" t="str">
        <f>IFERROR(IF('ORDER Form'!V220="","",'ORDER Form'!D220&amp;""),"")</f>
        <v/>
      </c>
      <c r="E219" s="6" t="str">
        <f>IFERROR('ORDER Form'!V220,"")</f>
        <v/>
      </c>
      <c r="F219" s="1" t="str">
        <f ca="1">IFERROR('ORDER Form'!W220,"")</f>
        <v/>
      </c>
      <c r="G219" s="1" t="str">
        <f ca="1">IFERROR('ORDER Form'!X220,"")</f>
        <v/>
      </c>
      <c r="H219" s="1" t="str">
        <f>IFERROR('ORDER Form'!Y220,"")</f>
        <v/>
      </c>
    </row>
    <row r="220" spans="1:8" ht="15" customHeight="1" x14ac:dyDescent="0.25">
      <c r="A220" s="6" t="str">
        <f>IFERROR(IF('ORDER Form'!V221="","",221),"")</f>
        <v/>
      </c>
      <c r="B220" s="6" t="str">
        <f>IFERROR(IF('ORDER Form'!V221="","",IFERROR(INDEX('PRODUCT DATA'!$A$2:$A$58,MATCH('ORDER Form'!$N221,'PRODUCT DATA'!$B$2:$B$58,0)),'ORDER Form'!$M221)&amp;""),"")</f>
        <v/>
      </c>
      <c r="C220" s="6" t="str">
        <f>IFERROR(IF('ORDER Form'!V221="","",'ORDER Form'!A221&amp;""),"")</f>
        <v/>
      </c>
      <c r="D220" s="6" t="str">
        <f>IFERROR(IF('ORDER Form'!V221="","",'ORDER Form'!D221&amp;""),"")</f>
        <v/>
      </c>
      <c r="E220" s="6" t="str">
        <f>IFERROR('ORDER Form'!V221,"")</f>
        <v/>
      </c>
      <c r="F220" s="1" t="str">
        <f ca="1">IFERROR('ORDER Form'!W221,"")</f>
        <v/>
      </c>
      <c r="G220" s="1" t="str">
        <f ca="1">IFERROR('ORDER Form'!X221,"")</f>
        <v/>
      </c>
      <c r="H220" s="1" t="str">
        <f>IFERROR('ORDER Form'!Y221,"")</f>
        <v/>
      </c>
    </row>
    <row r="221" spans="1:8" ht="15" customHeight="1" x14ac:dyDescent="0.25">
      <c r="A221" s="6" t="str">
        <f>IFERROR(IF('ORDER Form'!V222="","",222),"")</f>
        <v/>
      </c>
      <c r="B221" s="6" t="str">
        <f>IFERROR(IF('ORDER Form'!V222="","",IFERROR(INDEX('PRODUCT DATA'!$A$2:$A$58,MATCH('ORDER Form'!$N222,'PRODUCT DATA'!$B$2:$B$58,0)),'ORDER Form'!$M222)&amp;""),"")</f>
        <v/>
      </c>
      <c r="C221" s="6" t="str">
        <f>IFERROR(IF('ORDER Form'!V222="","",'ORDER Form'!A222&amp;""),"")</f>
        <v/>
      </c>
      <c r="D221" s="6" t="str">
        <f>IFERROR(IF('ORDER Form'!V222="","",'ORDER Form'!D222&amp;""),"")</f>
        <v/>
      </c>
      <c r="E221" s="6" t="str">
        <f>IFERROR('ORDER Form'!V222,"")</f>
        <v/>
      </c>
      <c r="F221" s="1" t="str">
        <f ca="1">IFERROR('ORDER Form'!W222,"")</f>
        <v/>
      </c>
      <c r="G221" s="1" t="str">
        <f ca="1">IFERROR('ORDER Form'!X222,"")</f>
        <v/>
      </c>
      <c r="H221" s="1" t="str">
        <f>IFERROR('ORDER Form'!Y222,"")</f>
        <v/>
      </c>
    </row>
    <row r="222" spans="1:8" ht="15" customHeight="1" x14ac:dyDescent="0.25">
      <c r="A222" s="6" t="str">
        <f>IFERROR(IF('ORDER Form'!V223="","",223),"")</f>
        <v/>
      </c>
      <c r="B222" s="6" t="str">
        <f>IFERROR(IF('ORDER Form'!V223="","",IFERROR(INDEX('PRODUCT DATA'!$A$2:$A$58,MATCH('ORDER Form'!$N223,'PRODUCT DATA'!$B$2:$B$58,0)),'ORDER Form'!$M223)&amp;""),"")</f>
        <v/>
      </c>
      <c r="C222" s="6" t="str">
        <f>IFERROR(IF('ORDER Form'!V223="","",'ORDER Form'!A223&amp;""),"")</f>
        <v/>
      </c>
      <c r="D222" s="6" t="str">
        <f>IFERROR(IF('ORDER Form'!V223="","",'ORDER Form'!D223&amp;""),"")</f>
        <v/>
      </c>
      <c r="E222" s="6" t="str">
        <f>IFERROR('ORDER Form'!V223,"")</f>
        <v/>
      </c>
      <c r="F222" s="1" t="str">
        <f ca="1">IFERROR('ORDER Form'!W223,"")</f>
        <v/>
      </c>
      <c r="G222" s="1" t="str">
        <f ca="1">IFERROR('ORDER Form'!X223,"")</f>
        <v/>
      </c>
      <c r="H222" s="1" t="str">
        <f>IFERROR('ORDER Form'!Y223,"")</f>
        <v/>
      </c>
    </row>
    <row r="223" spans="1:8" ht="15" customHeight="1" x14ac:dyDescent="0.25">
      <c r="A223" s="6" t="str">
        <f>IFERROR(IF('ORDER Form'!V224="","",224),"")</f>
        <v/>
      </c>
      <c r="B223" s="6" t="str">
        <f>IFERROR(IF('ORDER Form'!V224="","",IFERROR(INDEX('PRODUCT DATA'!$A$2:$A$58,MATCH('ORDER Form'!$N224,'PRODUCT DATA'!$B$2:$B$58,0)),'ORDER Form'!$M224)&amp;""),"")</f>
        <v/>
      </c>
      <c r="C223" s="6" t="str">
        <f>IFERROR(IF('ORDER Form'!V224="","",'ORDER Form'!A224&amp;""),"")</f>
        <v/>
      </c>
      <c r="D223" s="6" t="str">
        <f>IFERROR(IF('ORDER Form'!V224="","",'ORDER Form'!D224&amp;""),"")</f>
        <v/>
      </c>
      <c r="E223" s="6" t="str">
        <f>IFERROR('ORDER Form'!V224,"")</f>
        <v/>
      </c>
      <c r="F223" s="1" t="str">
        <f ca="1">IFERROR('ORDER Form'!W224,"")</f>
        <v/>
      </c>
      <c r="G223" s="1" t="str">
        <f ca="1">IFERROR('ORDER Form'!X224,"")</f>
        <v/>
      </c>
      <c r="H223" s="1" t="str">
        <f>IFERROR('ORDER Form'!Y224,"")</f>
        <v/>
      </c>
    </row>
    <row r="224" spans="1:8" ht="15" customHeight="1" x14ac:dyDescent="0.25">
      <c r="A224" s="6" t="str">
        <f>IFERROR(IF('ORDER Form'!V225="","",225),"")</f>
        <v/>
      </c>
      <c r="B224" s="6" t="str">
        <f>IFERROR(IF('ORDER Form'!V225="","",IFERROR(INDEX('PRODUCT DATA'!$A$2:$A$58,MATCH('ORDER Form'!$N225,'PRODUCT DATA'!$B$2:$B$58,0)),'ORDER Form'!$M225)&amp;""),"")</f>
        <v/>
      </c>
      <c r="C224" s="6" t="str">
        <f>IFERROR(IF('ORDER Form'!V225="","",'ORDER Form'!A225&amp;""),"")</f>
        <v/>
      </c>
      <c r="D224" s="6" t="str">
        <f>IFERROR(IF('ORDER Form'!V225="","",'ORDER Form'!D225&amp;""),"")</f>
        <v/>
      </c>
      <c r="E224" s="6" t="str">
        <f>IFERROR('ORDER Form'!V225,"")</f>
        <v/>
      </c>
      <c r="F224" s="1" t="str">
        <f ca="1">IFERROR('ORDER Form'!W225,"")</f>
        <v/>
      </c>
      <c r="G224" s="1" t="str">
        <f ca="1">IFERROR('ORDER Form'!X225,"")</f>
        <v/>
      </c>
      <c r="H224" s="1" t="str">
        <f>IFERROR('ORDER Form'!Y225,"")</f>
        <v/>
      </c>
    </row>
    <row r="225" spans="1:8" ht="15" customHeight="1" x14ac:dyDescent="0.25">
      <c r="A225" s="6" t="str">
        <f>IFERROR(IF('ORDER Form'!V226="","",226),"")</f>
        <v/>
      </c>
      <c r="B225" s="6" t="str">
        <f>IFERROR(IF('ORDER Form'!V226="","",IFERROR(INDEX('PRODUCT DATA'!$A$2:$A$58,MATCH('ORDER Form'!$N226,'PRODUCT DATA'!$B$2:$B$58,0)),'ORDER Form'!$M226)&amp;""),"")</f>
        <v/>
      </c>
      <c r="C225" s="6" t="str">
        <f>IFERROR(IF('ORDER Form'!V226="","",'ORDER Form'!A226&amp;""),"")</f>
        <v/>
      </c>
      <c r="D225" s="6" t="str">
        <f>IFERROR(IF('ORDER Form'!V226="","",'ORDER Form'!D226&amp;""),"")</f>
        <v/>
      </c>
      <c r="E225" s="6" t="str">
        <f>IFERROR('ORDER Form'!V226,"")</f>
        <v/>
      </c>
      <c r="F225" s="1" t="str">
        <f ca="1">IFERROR('ORDER Form'!W226,"")</f>
        <v/>
      </c>
      <c r="G225" s="1" t="str">
        <f ca="1">IFERROR('ORDER Form'!X226,"")</f>
        <v/>
      </c>
      <c r="H225" s="1" t="str">
        <f>IFERROR('ORDER Form'!Y226,"")</f>
        <v/>
      </c>
    </row>
    <row r="226" spans="1:8" ht="15" customHeight="1" x14ac:dyDescent="0.25">
      <c r="A226" s="6" t="str">
        <f>IFERROR(IF('ORDER Form'!V227="","",227),"")</f>
        <v/>
      </c>
      <c r="B226" s="6" t="str">
        <f>IFERROR(IF('ORDER Form'!V227="","",IFERROR(INDEX('PRODUCT DATA'!$A$2:$A$58,MATCH('ORDER Form'!$N227,'PRODUCT DATA'!$B$2:$B$58,0)),'ORDER Form'!$M227)&amp;""),"")</f>
        <v/>
      </c>
      <c r="C226" s="6" t="str">
        <f>IFERROR(IF('ORDER Form'!V227="","",'ORDER Form'!A227&amp;""),"")</f>
        <v/>
      </c>
      <c r="D226" s="6" t="str">
        <f>IFERROR(IF('ORDER Form'!V227="","",'ORDER Form'!D227&amp;""),"")</f>
        <v/>
      </c>
      <c r="E226" s="6" t="str">
        <f>IFERROR('ORDER Form'!V227,"")</f>
        <v/>
      </c>
      <c r="F226" s="1" t="str">
        <f ca="1">IFERROR('ORDER Form'!W227,"")</f>
        <v/>
      </c>
      <c r="G226" s="1" t="str">
        <f ca="1">IFERROR('ORDER Form'!X227,"")</f>
        <v/>
      </c>
      <c r="H226" s="1" t="str">
        <f>IFERROR('ORDER Form'!Y227,"")</f>
        <v/>
      </c>
    </row>
    <row r="227" spans="1:8" ht="15" customHeight="1" x14ac:dyDescent="0.25">
      <c r="A227" s="6" t="str">
        <f>IFERROR(IF('ORDER Form'!V228="","",228),"")</f>
        <v/>
      </c>
      <c r="B227" s="6" t="str">
        <f>IFERROR(IF('ORDER Form'!V228="","",IFERROR(INDEX('PRODUCT DATA'!$A$2:$A$58,MATCH('ORDER Form'!$N228,'PRODUCT DATA'!$B$2:$B$58,0)),'ORDER Form'!$M228)&amp;""),"")</f>
        <v/>
      </c>
      <c r="C227" s="6" t="str">
        <f>IFERROR(IF('ORDER Form'!V228="","",'ORDER Form'!A228&amp;""),"")</f>
        <v/>
      </c>
      <c r="D227" s="6" t="str">
        <f>IFERROR(IF('ORDER Form'!V228="","",'ORDER Form'!D228&amp;""),"")</f>
        <v/>
      </c>
      <c r="E227" s="6" t="str">
        <f>IFERROR('ORDER Form'!V228,"")</f>
        <v/>
      </c>
      <c r="F227" s="1" t="str">
        <f ca="1">IFERROR('ORDER Form'!W228,"")</f>
        <v/>
      </c>
      <c r="G227" s="1" t="str">
        <f ca="1">IFERROR('ORDER Form'!X228,"")</f>
        <v/>
      </c>
      <c r="H227" s="1" t="str">
        <f>IFERROR('ORDER Form'!Y228,"")</f>
        <v/>
      </c>
    </row>
    <row r="228" spans="1:8" ht="15" customHeight="1" x14ac:dyDescent="0.25">
      <c r="A228" s="6" t="str">
        <f>IFERROR(IF('ORDER Form'!V229="","",229),"")</f>
        <v/>
      </c>
      <c r="B228" s="6" t="str">
        <f>IFERROR(IF('ORDER Form'!V229="","",IFERROR(INDEX('PRODUCT DATA'!$A$2:$A$58,MATCH('ORDER Form'!$N229,'PRODUCT DATA'!$B$2:$B$58,0)),'ORDER Form'!$M229)&amp;""),"")</f>
        <v/>
      </c>
      <c r="C228" s="6" t="str">
        <f>IFERROR(IF('ORDER Form'!V229="","",'ORDER Form'!A229&amp;""),"")</f>
        <v/>
      </c>
      <c r="D228" s="6" t="str">
        <f>IFERROR(IF('ORDER Form'!V229="","",'ORDER Form'!D229&amp;""),"")</f>
        <v/>
      </c>
      <c r="E228" s="6" t="str">
        <f>IFERROR('ORDER Form'!V229,"")</f>
        <v/>
      </c>
      <c r="F228" s="1" t="str">
        <f ca="1">IFERROR('ORDER Form'!W229,"")</f>
        <v/>
      </c>
      <c r="G228" s="1" t="str">
        <f ca="1">IFERROR('ORDER Form'!X229,"")</f>
        <v/>
      </c>
      <c r="H228" s="1" t="str">
        <f>IFERROR('ORDER Form'!Y229,"")</f>
        <v/>
      </c>
    </row>
    <row r="229" spans="1:8" ht="15" customHeight="1" x14ac:dyDescent="0.25">
      <c r="A229" s="6" t="str">
        <f>IFERROR(IF('ORDER Form'!V230="","",230),"")</f>
        <v/>
      </c>
      <c r="B229" s="6" t="str">
        <f>IFERROR(IF('ORDER Form'!V230="","",IFERROR(INDEX('PRODUCT DATA'!$A$2:$A$58,MATCH('ORDER Form'!$N230,'PRODUCT DATA'!$B$2:$B$58,0)),'ORDER Form'!$M230)&amp;""),"")</f>
        <v/>
      </c>
      <c r="C229" s="6" t="str">
        <f>IFERROR(IF('ORDER Form'!V230="","",'ORDER Form'!A230&amp;""),"")</f>
        <v/>
      </c>
      <c r="D229" s="6" t="str">
        <f>IFERROR(IF('ORDER Form'!V230="","",'ORDER Form'!D230&amp;""),"")</f>
        <v/>
      </c>
      <c r="E229" s="6" t="str">
        <f>IFERROR('ORDER Form'!V230,"")</f>
        <v/>
      </c>
      <c r="F229" s="1" t="str">
        <f ca="1">IFERROR('ORDER Form'!W230,"")</f>
        <v/>
      </c>
      <c r="G229" s="1" t="str">
        <f ca="1">IFERROR('ORDER Form'!X230,"")</f>
        <v/>
      </c>
      <c r="H229" s="1" t="str">
        <f>IFERROR('ORDER Form'!Y230,"")</f>
        <v/>
      </c>
    </row>
    <row r="230" spans="1:8" ht="15" customHeight="1" x14ac:dyDescent="0.25">
      <c r="A230" s="6" t="str">
        <f>IFERROR(IF('ORDER Form'!V231="","",231),"")</f>
        <v/>
      </c>
      <c r="B230" s="6" t="str">
        <f>IFERROR(IF('ORDER Form'!V231="","",IFERROR(INDEX('PRODUCT DATA'!$A$2:$A$58,MATCH('ORDER Form'!$N231,'PRODUCT DATA'!$B$2:$B$58,0)),'ORDER Form'!$M231)&amp;""),"")</f>
        <v/>
      </c>
      <c r="C230" s="6" t="str">
        <f>IFERROR(IF('ORDER Form'!V231="","",'ORDER Form'!A231&amp;""),"")</f>
        <v/>
      </c>
      <c r="D230" s="6" t="str">
        <f>IFERROR(IF('ORDER Form'!V231="","",'ORDER Form'!D231&amp;""),"")</f>
        <v/>
      </c>
      <c r="E230" s="6" t="str">
        <f>IFERROR('ORDER Form'!V231,"")</f>
        <v/>
      </c>
      <c r="F230" s="1" t="str">
        <f ca="1">IFERROR('ORDER Form'!W231,"")</f>
        <v/>
      </c>
      <c r="G230" s="1" t="str">
        <f ca="1">IFERROR('ORDER Form'!X231,"")</f>
        <v/>
      </c>
      <c r="H230" s="1" t="str">
        <f>IFERROR('ORDER Form'!Y231,"")</f>
        <v/>
      </c>
    </row>
    <row r="231" spans="1:8" ht="15" customHeight="1" x14ac:dyDescent="0.25">
      <c r="A231" s="6" t="str">
        <f>IFERROR(IF('ORDER Form'!V232="","",232),"")</f>
        <v/>
      </c>
      <c r="B231" s="6" t="str">
        <f>IFERROR(IF('ORDER Form'!V232="","",IFERROR(INDEX('PRODUCT DATA'!$A$2:$A$58,MATCH('ORDER Form'!$N232,'PRODUCT DATA'!$B$2:$B$58,0)),'ORDER Form'!$M232)&amp;""),"")</f>
        <v/>
      </c>
      <c r="C231" s="6" t="str">
        <f>IFERROR(IF('ORDER Form'!V232="","",'ORDER Form'!A232&amp;""),"")</f>
        <v/>
      </c>
      <c r="D231" s="6" t="str">
        <f>IFERROR(IF('ORDER Form'!V232="","",'ORDER Form'!D232&amp;""),"")</f>
        <v/>
      </c>
      <c r="E231" s="6" t="str">
        <f>IFERROR('ORDER Form'!V232,"")</f>
        <v/>
      </c>
      <c r="F231" s="1" t="str">
        <f ca="1">IFERROR('ORDER Form'!W232,"")</f>
        <v/>
      </c>
      <c r="G231" s="1" t="str">
        <f ca="1">IFERROR('ORDER Form'!X232,"")</f>
        <v/>
      </c>
      <c r="H231" s="1" t="str">
        <f>IFERROR('ORDER Form'!Y232,"")</f>
        <v/>
      </c>
    </row>
    <row r="232" spans="1:8" ht="15" customHeight="1" x14ac:dyDescent="0.25">
      <c r="A232" s="6" t="str">
        <f>IFERROR(IF('ORDER Form'!V233="","",233),"")</f>
        <v/>
      </c>
      <c r="B232" s="6" t="str">
        <f>IFERROR(IF('ORDER Form'!V233="","",IFERROR(INDEX('PRODUCT DATA'!$A$2:$A$58,MATCH('ORDER Form'!$N233,'PRODUCT DATA'!$B$2:$B$58,0)),'ORDER Form'!$M233)&amp;""),"")</f>
        <v/>
      </c>
      <c r="C232" s="6" t="str">
        <f>IFERROR(IF('ORDER Form'!V233="","",'ORDER Form'!A233&amp;""),"")</f>
        <v/>
      </c>
      <c r="D232" s="6" t="str">
        <f>IFERROR(IF('ORDER Form'!V233="","",'ORDER Form'!D233&amp;""),"")</f>
        <v/>
      </c>
      <c r="E232" s="6" t="str">
        <f>IFERROR('ORDER Form'!V233,"")</f>
        <v/>
      </c>
      <c r="F232" s="1" t="str">
        <f ca="1">IFERROR('ORDER Form'!W233,"")</f>
        <v/>
      </c>
      <c r="G232" s="1" t="str">
        <f ca="1">IFERROR('ORDER Form'!X233,"")</f>
        <v/>
      </c>
      <c r="H232" s="1" t="str">
        <f>IFERROR('ORDER Form'!Y233,"")</f>
        <v/>
      </c>
    </row>
    <row r="233" spans="1:8" ht="15" customHeight="1" x14ac:dyDescent="0.25">
      <c r="A233" s="6" t="str">
        <f>IFERROR(IF('ORDER Form'!V234="","",234),"")</f>
        <v/>
      </c>
      <c r="B233" s="6" t="str">
        <f>IFERROR(IF('ORDER Form'!V234="","",IFERROR(INDEX('PRODUCT DATA'!$A$2:$A$58,MATCH('ORDER Form'!$N234,'PRODUCT DATA'!$B$2:$B$58,0)),'ORDER Form'!$M234)&amp;""),"")</f>
        <v/>
      </c>
      <c r="C233" s="6" t="str">
        <f>IFERROR(IF('ORDER Form'!V234="","",'ORDER Form'!A234&amp;""),"")</f>
        <v/>
      </c>
      <c r="D233" s="6" t="str">
        <f>IFERROR(IF('ORDER Form'!V234="","",'ORDER Form'!D234&amp;""),"")</f>
        <v/>
      </c>
      <c r="E233" s="6" t="str">
        <f>IFERROR('ORDER Form'!V234,"")</f>
        <v/>
      </c>
      <c r="F233" s="1" t="str">
        <f ca="1">IFERROR('ORDER Form'!W234,"")</f>
        <v/>
      </c>
      <c r="G233" s="1" t="str">
        <f ca="1">IFERROR('ORDER Form'!X234,"")</f>
        <v/>
      </c>
      <c r="H233" s="1" t="str">
        <f>IFERROR('ORDER Form'!Y234,"")</f>
        <v/>
      </c>
    </row>
    <row r="234" spans="1:8" ht="15" customHeight="1" x14ac:dyDescent="0.25">
      <c r="A234" s="6" t="str">
        <f>IFERROR(IF('ORDER Form'!V235="","",235),"")</f>
        <v/>
      </c>
      <c r="B234" s="6" t="str">
        <f>IFERROR(IF('ORDER Form'!V235="","",IFERROR(INDEX('PRODUCT DATA'!$A$2:$A$58,MATCH('ORDER Form'!$N235,'PRODUCT DATA'!$B$2:$B$58,0)),'ORDER Form'!$M235)&amp;""),"")</f>
        <v/>
      </c>
      <c r="C234" s="6" t="str">
        <f>IFERROR(IF('ORDER Form'!V235="","",'ORDER Form'!A235&amp;""),"")</f>
        <v/>
      </c>
      <c r="D234" s="6" t="str">
        <f>IFERROR(IF('ORDER Form'!V235="","",'ORDER Form'!D235&amp;""),"")</f>
        <v/>
      </c>
      <c r="E234" s="6" t="str">
        <f>IFERROR('ORDER Form'!V235,"")</f>
        <v/>
      </c>
      <c r="F234" s="1" t="str">
        <f ca="1">IFERROR('ORDER Form'!W235,"")</f>
        <v/>
      </c>
      <c r="G234" s="1" t="str">
        <f ca="1">IFERROR('ORDER Form'!X235,"")</f>
        <v/>
      </c>
      <c r="H234" s="1" t="str">
        <f>IFERROR('ORDER Form'!Y235,"")</f>
        <v/>
      </c>
    </row>
    <row r="235" spans="1:8" ht="15" customHeight="1" x14ac:dyDescent="0.25">
      <c r="A235" s="6" t="str">
        <f>IFERROR(IF('ORDER Form'!V236="","",236),"")</f>
        <v/>
      </c>
      <c r="B235" s="6" t="str">
        <f>IFERROR(IF('ORDER Form'!V236="","",IFERROR(INDEX('PRODUCT DATA'!$A$2:$A$58,MATCH('ORDER Form'!$N236,'PRODUCT DATA'!$B$2:$B$58,0)),'ORDER Form'!$M236)&amp;""),"")</f>
        <v/>
      </c>
      <c r="C235" s="6" t="str">
        <f>IFERROR(IF('ORDER Form'!V236="","",'ORDER Form'!A236&amp;""),"")</f>
        <v/>
      </c>
      <c r="D235" s="6" t="str">
        <f>IFERROR(IF('ORDER Form'!V236="","",'ORDER Form'!D236&amp;""),"")</f>
        <v/>
      </c>
      <c r="E235" s="6" t="str">
        <f>IFERROR('ORDER Form'!V236,"")</f>
        <v/>
      </c>
      <c r="F235" s="1" t="str">
        <f ca="1">IFERROR('ORDER Form'!W236,"")</f>
        <v/>
      </c>
      <c r="G235" s="1" t="str">
        <f ca="1">IFERROR('ORDER Form'!X236,"")</f>
        <v/>
      </c>
      <c r="H235" s="1" t="str">
        <f>IFERROR('ORDER Form'!Y236,"")</f>
        <v/>
      </c>
    </row>
    <row r="236" spans="1:8" ht="15" customHeight="1" x14ac:dyDescent="0.25">
      <c r="A236" s="6" t="str">
        <f>IFERROR(IF('ORDER Form'!V237="","",237),"")</f>
        <v/>
      </c>
      <c r="B236" s="6" t="str">
        <f>IFERROR(IF('ORDER Form'!V237="","",IFERROR(INDEX('PRODUCT DATA'!$A$2:$A$58,MATCH('ORDER Form'!$N237,'PRODUCT DATA'!$B$2:$B$58,0)),'ORDER Form'!$M237)&amp;""),"")</f>
        <v/>
      </c>
      <c r="C236" s="6" t="str">
        <f>IFERROR(IF('ORDER Form'!V237="","",'ORDER Form'!A237&amp;""),"")</f>
        <v/>
      </c>
      <c r="D236" s="6" t="str">
        <f>IFERROR(IF('ORDER Form'!V237="","",'ORDER Form'!D237&amp;""),"")</f>
        <v/>
      </c>
      <c r="E236" s="6" t="str">
        <f>IFERROR('ORDER Form'!V237,"")</f>
        <v/>
      </c>
      <c r="F236" s="1" t="str">
        <f ca="1">IFERROR('ORDER Form'!W237,"")</f>
        <v/>
      </c>
      <c r="G236" s="1" t="str">
        <f ca="1">IFERROR('ORDER Form'!X237,"")</f>
        <v/>
      </c>
      <c r="H236" s="1" t="str">
        <f>IFERROR('ORDER Form'!Y237,"")</f>
        <v/>
      </c>
    </row>
    <row r="237" spans="1:8" ht="15" customHeight="1" x14ac:dyDescent="0.25">
      <c r="A237" s="6" t="str">
        <f>IFERROR(IF('ORDER Form'!V238="","",238),"")</f>
        <v/>
      </c>
      <c r="B237" s="6" t="str">
        <f>IFERROR(IF('ORDER Form'!V238="","",IFERROR(INDEX('PRODUCT DATA'!$A$2:$A$58,MATCH('ORDER Form'!$N238,'PRODUCT DATA'!$B$2:$B$58,0)),'ORDER Form'!$M238)&amp;""),"")</f>
        <v/>
      </c>
      <c r="C237" s="6" t="str">
        <f>IFERROR(IF('ORDER Form'!V238="","",'ORDER Form'!A238&amp;""),"")</f>
        <v/>
      </c>
      <c r="D237" s="6" t="str">
        <f>IFERROR(IF('ORDER Form'!V238="","",'ORDER Form'!D238&amp;""),"")</f>
        <v/>
      </c>
      <c r="E237" s="6" t="str">
        <f>IFERROR('ORDER Form'!V238,"")</f>
        <v/>
      </c>
      <c r="F237" s="1" t="str">
        <f ca="1">IFERROR('ORDER Form'!W238,"")</f>
        <v/>
      </c>
      <c r="G237" s="1" t="str">
        <f ca="1">IFERROR('ORDER Form'!X238,"")</f>
        <v/>
      </c>
      <c r="H237" s="1" t="str">
        <f>IFERROR('ORDER Form'!Y238,"")</f>
        <v/>
      </c>
    </row>
    <row r="238" spans="1:8" ht="15" customHeight="1" x14ac:dyDescent="0.25">
      <c r="A238" s="6" t="str">
        <f>IFERROR(IF('ORDER Form'!V239="","",239),"")</f>
        <v/>
      </c>
      <c r="B238" s="6" t="str">
        <f>IFERROR(IF('ORDER Form'!V239="","",IFERROR(INDEX('PRODUCT DATA'!$A$2:$A$58,MATCH('ORDER Form'!$N239,'PRODUCT DATA'!$B$2:$B$58,0)),'ORDER Form'!$M239)&amp;""),"")</f>
        <v/>
      </c>
      <c r="C238" s="6" t="str">
        <f>IFERROR(IF('ORDER Form'!V239="","",'ORDER Form'!A239&amp;""),"")</f>
        <v/>
      </c>
      <c r="D238" s="6" t="str">
        <f>IFERROR(IF('ORDER Form'!V239="","",'ORDER Form'!D239&amp;""),"")</f>
        <v/>
      </c>
      <c r="E238" s="6" t="str">
        <f>IFERROR('ORDER Form'!V239,"")</f>
        <v/>
      </c>
      <c r="F238" s="1" t="str">
        <f ca="1">IFERROR('ORDER Form'!W239,"")</f>
        <v/>
      </c>
      <c r="G238" s="1" t="str">
        <f ca="1">IFERROR('ORDER Form'!X239,"")</f>
        <v/>
      </c>
      <c r="H238" s="1" t="str">
        <f>IFERROR('ORDER Form'!Y239,"")</f>
        <v/>
      </c>
    </row>
    <row r="239" spans="1:8" ht="15" customHeight="1" x14ac:dyDescent="0.25">
      <c r="A239" s="6" t="str">
        <f>IFERROR(IF('ORDER Form'!V240="","",240),"")</f>
        <v/>
      </c>
      <c r="B239" s="6" t="str">
        <f>IFERROR(IF('ORDER Form'!V240="","",IFERROR(INDEX('PRODUCT DATA'!$A$2:$A$58,MATCH('ORDER Form'!$N240,'PRODUCT DATA'!$B$2:$B$58,0)),'ORDER Form'!$M240)&amp;""),"")</f>
        <v/>
      </c>
      <c r="C239" s="6" t="str">
        <f>IFERROR(IF('ORDER Form'!V240="","",'ORDER Form'!A240&amp;""),"")</f>
        <v/>
      </c>
      <c r="D239" s="6" t="str">
        <f>IFERROR(IF('ORDER Form'!V240="","",'ORDER Form'!D240&amp;""),"")</f>
        <v/>
      </c>
      <c r="E239" s="6" t="str">
        <f>IFERROR('ORDER Form'!V240,"")</f>
        <v/>
      </c>
      <c r="F239" s="1" t="str">
        <f ca="1">IFERROR('ORDER Form'!W240,"")</f>
        <v/>
      </c>
      <c r="G239" s="1" t="str">
        <f ca="1">IFERROR('ORDER Form'!X240,"")</f>
        <v/>
      </c>
      <c r="H239" s="1" t="str">
        <f>IFERROR('ORDER Form'!Y240,"")</f>
        <v/>
      </c>
    </row>
    <row r="240" spans="1:8" ht="15" customHeight="1" x14ac:dyDescent="0.25">
      <c r="A240" s="6" t="str">
        <f>IFERROR(IF('ORDER Form'!V241="","",241),"")</f>
        <v/>
      </c>
      <c r="B240" s="6" t="str">
        <f>IFERROR(IF('ORDER Form'!V241="","",IFERROR(INDEX('PRODUCT DATA'!$A$2:$A$58,MATCH('ORDER Form'!$N241,'PRODUCT DATA'!$B$2:$B$58,0)),'ORDER Form'!$M241)&amp;""),"")</f>
        <v/>
      </c>
      <c r="C240" s="6" t="str">
        <f>IFERROR(IF('ORDER Form'!V241="","",'ORDER Form'!A241&amp;""),"")</f>
        <v/>
      </c>
      <c r="D240" s="6" t="str">
        <f>IFERROR(IF('ORDER Form'!V241="","",'ORDER Form'!D241&amp;""),"")</f>
        <v/>
      </c>
      <c r="E240" s="6" t="str">
        <f>IFERROR('ORDER Form'!V241,"")</f>
        <v/>
      </c>
      <c r="F240" s="1" t="str">
        <f ca="1">IFERROR('ORDER Form'!W241,"")</f>
        <v/>
      </c>
      <c r="G240" s="1" t="str">
        <f ca="1">IFERROR('ORDER Form'!X241,"")</f>
        <v/>
      </c>
      <c r="H240" s="1" t="str">
        <f>IFERROR('ORDER Form'!Y241,"")</f>
        <v/>
      </c>
    </row>
    <row r="241" spans="1:8" ht="15" customHeight="1" x14ac:dyDescent="0.25">
      <c r="A241" s="6" t="str">
        <f>IFERROR(IF('ORDER Form'!V242="","",242),"")</f>
        <v/>
      </c>
      <c r="B241" s="6" t="str">
        <f>IFERROR(IF('ORDER Form'!V242="","",IFERROR(INDEX('PRODUCT DATA'!$A$2:$A$58,MATCH('ORDER Form'!$N242,'PRODUCT DATA'!$B$2:$B$58,0)),'ORDER Form'!$M242)&amp;""),"")</f>
        <v/>
      </c>
      <c r="C241" s="6" t="str">
        <f>IFERROR(IF('ORDER Form'!V242="","",'ORDER Form'!A242&amp;""),"")</f>
        <v/>
      </c>
      <c r="D241" s="6" t="str">
        <f>IFERROR(IF('ORDER Form'!V242="","",'ORDER Form'!D242&amp;""),"")</f>
        <v/>
      </c>
      <c r="E241" s="6" t="str">
        <f>IFERROR('ORDER Form'!V242,"")</f>
        <v/>
      </c>
      <c r="F241" s="1" t="str">
        <f ca="1">IFERROR('ORDER Form'!W242,"")</f>
        <v/>
      </c>
      <c r="G241" s="1" t="str">
        <f ca="1">IFERROR('ORDER Form'!X242,"")</f>
        <v/>
      </c>
      <c r="H241" s="1" t="str">
        <f>IFERROR('ORDER Form'!Y242,"")</f>
        <v/>
      </c>
    </row>
    <row r="242" spans="1:8" ht="15" customHeight="1" x14ac:dyDescent="0.25">
      <c r="A242" s="6" t="str">
        <f>IFERROR(IF('ORDER Form'!V243="","",243),"")</f>
        <v/>
      </c>
      <c r="B242" s="6" t="str">
        <f>IFERROR(IF('ORDER Form'!V243="","",IFERROR(INDEX('PRODUCT DATA'!$A$2:$A$58,MATCH('ORDER Form'!$N243,'PRODUCT DATA'!$B$2:$B$58,0)),'ORDER Form'!$M243)&amp;""),"")</f>
        <v/>
      </c>
      <c r="C242" s="6" t="str">
        <f>IFERROR(IF('ORDER Form'!V243="","",'ORDER Form'!A243&amp;""),"")</f>
        <v/>
      </c>
      <c r="D242" s="6" t="str">
        <f>IFERROR(IF('ORDER Form'!V243="","",'ORDER Form'!D243&amp;""),"")</f>
        <v/>
      </c>
      <c r="E242" s="6" t="str">
        <f>IFERROR('ORDER Form'!V243,"")</f>
        <v/>
      </c>
      <c r="F242" s="1" t="str">
        <f ca="1">IFERROR('ORDER Form'!W243,"")</f>
        <v/>
      </c>
      <c r="G242" s="1" t="str">
        <f ca="1">IFERROR('ORDER Form'!X243,"")</f>
        <v/>
      </c>
      <c r="H242" s="1" t="str">
        <f>IFERROR('ORDER Form'!Y243,"")</f>
        <v/>
      </c>
    </row>
    <row r="243" spans="1:8" ht="15" customHeight="1" x14ac:dyDescent="0.25">
      <c r="A243" s="6" t="str">
        <f>IFERROR(IF('ORDER Form'!V244="","",244),"")</f>
        <v/>
      </c>
      <c r="B243" s="6" t="str">
        <f>IFERROR(IF('ORDER Form'!V244="","",IFERROR(INDEX('PRODUCT DATA'!$A$2:$A$58,MATCH('ORDER Form'!$N244,'PRODUCT DATA'!$B$2:$B$58,0)),'ORDER Form'!$M244)&amp;""),"")</f>
        <v/>
      </c>
      <c r="C243" s="6" t="str">
        <f>IFERROR(IF('ORDER Form'!V244="","",'ORDER Form'!A244&amp;""),"")</f>
        <v/>
      </c>
      <c r="D243" s="6" t="str">
        <f>IFERROR(IF('ORDER Form'!V244="","",'ORDER Form'!D244&amp;""),"")</f>
        <v/>
      </c>
      <c r="E243" s="6" t="str">
        <f>IFERROR('ORDER Form'!V244,"")</f>
        <v/>
      </c>
      <c r="F243" s="1" t="str">
        <f ca="1">IFERROR('ORDER Form'!W244,"")</f>
        <v/>
      </c>
      <c r="G243" s="1" t="str">
        <f ca="1">IFERROR('ORDER Form'!X244,"")</f>
        <v/>
      </c>
      <c r="H243" s="1" t="str">
        <f>IFERROR('ORDER Form'!Y244,"")</f>
        <v/>
      </c>
    </row>
    <row r="244" spans="1:8" ht="15" customHeight="1" x14ac:dyDescent="0.25">
      <c r="A244" s="6" t="str">
        <f>IFERROR(IF('ORDER Form'!V245="","",245),"")</f>
        <v/>
      </c>
      <c r="B244" s="6" t="str">
        <f>IFERROR(IF('ORDER Form'!V245="","",IFERROR(INDEX('PRODUCT DATA'!$A$2:$A$58,MATCH('ORDER Form'!$N245,'PRODUCT DATA'!$B$2:$B$58,0)),'ORDER Form'!$M245)&amp;""),"")</f>
        <v/>
      </c>
      <c r="C244" s="6" t="str">
        <f>IFERROR(IF('ORDER Form'!V245="","",'ORDER Form'!A245&amp;""),"")</f>
        <v/>
      </c>
      <c r="D244" s="6" t="str">
        <f>IFERROR(IF('ORDER Form'!V245="","",'ORDER Form'!D245&amp;""),"")</f>
        <v/>
      </c>
      <c r="E244" s="6" t="str">
        <f>IFERROR('ORDER Form'!V245,"")</f>
        <v/>
      </c>
      <c r="F244" s="1" t="str">
        <f ca="1">IFERROR('ORDER Form'!W245,"")</f>
        <v/>
      </c>
      <c r="G244" s="1" t="str">
        <f ca="1">IFERROR('ORDER Form'!X245,"")</f>
        <v/>
      </c>
      <c r="H244" s="1" t="str">
        <f>IFERROR('ORDER Form'!Y245,"")</f>
        <v/>
      </c>
    </row>
    <row r="245" spans="1:8" ht="15" customHeight="1" x14ac:dyDescent="0.25">
      <c r="A245" s="6" t="str">
        <f>IFERROR(IF('ORDER Form'!V246="","",246),"")</f>
        <v/>
      </c>
      <c r="B245" s="6" t="str">
        <f>IFERROR(IF('ORDER Form'!V246="","",IFERROR(INDEX('PRODUCT DATA'!$A$2:$A$58,MATCH('ORDER Form'!$N246,'PRODUCT DATA'!$B$2:$B$58,0)),'ORDER Form'!$M246)&amp;""),"")</f>
        <v/>
      </c>
      <c r="C245" s="6" t="str">
        <f>IFERROR(IF('ORDER Form'!V246="","",'ORDER Form'!A246&amp;""),"")</f>
        <v/>
      </c>
      <c r="D245" s="6" t="str">
        <f>IFERROR(IF('ORDER Form'!V246="","",'ORDER Form'!D246&amp;""),"")</f>
        <v/>
      </c>
      <c r="E245" s="6" t="str">
        <f>IFERROR('ORDER Form'!V246,"")</f>
        <v/>
      </c>
      <c r="F245" s="1" t="str">
        <f ca="1">IFERROR('ORDER Form'!W246,"")</f>
        <v/>
      </c>
      <c r="G245" s="1" t="str">
        <f ca="1">IFERROR('ORDER Form'!X246,"")</f>
        <v/>
      </c>
      <c r="H245" s="1" t="str">
        <f>IFERROR('ORDER Form'!Y246,"")</f>
        <v/>
      </c>
    </row>
    <row r="246" spans="1:8" ht="15" customHeight="1" x14ac:dyDescent="0.25">
      <c r="A246" s="6" t="str">
        <f>IFERROR(IF('ORDER Form'!V247="","",247),"")</f>
        <v/>
      </c>
      <c r="B246" s="6" t="str">
        <f>IFERROR(IF('ORDER Form'!V247="","",IFERROR(INDEX('PRODUCT DATA'!$A$2:$A$58,MATCH('ORDER Form'!$N247,'PRODUCT DATA'!$B$2:$B$58,0)),'ORDER Form'!$M247)&amp;""),"")</f>
        <v/>
      </c>
      <c r="C246" s="6" t="str">
        <f>IFERROR(IF('ORDER Form'!V247="","",'ORDER Form'!A247&amp;""),"")</f>
        <v/>
      </c>
      <c r="D246" s="6" t="str">
        <f>IFERROR(IF('ORDER Form'!V247="","",'ORDER Form'!D247&amp;""),"")</f>
        <v/>
      </c>
      <c r="E246" s="6" t="str">
        <f>IFERROR('ORDER Form'!V247,"")</f>
        <v/>
      </c>
      <c r="F246" s="1" t="str">
        <f ca="1">IFERROR('ORDER Form'!W247,"")</f>
        <v/>
      </c>
      <c r="G246" s="1" t="str">
        <f ca="1">IFERROR('ORDER Form'!X247,"")</f>
        <v/>
      </c>
      <c r="H246" s="1" t="str">
        <f>IFERROR('ORDER Form'!Y247,"")</f>
        <v/>
      </c>
    </row>
    <row r="247" spans="1:8" ht="15" customHeight="1" x14ac:dyDescent="0.25">
      <c r="A247" s="6" t="str">
        <f>IFERROR(IF('ORDER Form'!V248="","",248),"")</f>
        <v/>
      </c>
      <c r="B247" s="6" t="str">
        <f>IFERROR(IF('ORDER Form'!V248="","",IFERROR(INDEX('PRODUCT DATA'!$A$2:$A$58,MATCH('ORDER Form'!$N248,'PRODUCT DATA'!$B$2:$B$58,0)),'ORDER Form'!$M248)&amp;""),"")</f>
        <v/>
      </c>
      <c r="C247" s="6" t="str">
        <f>IFERROR(IF('ORDER Form'!V248="","",'ORDER Form'!A248&amp;""),"")</f>
        <v/>
      </c>
      <c r="D247" s="6" t="str">
        <f>IFERROR(IF('ORDER Form'!V248="","",'ORDER Form'!D248&amp;""),"")</f>
        <v/>
      </c>
      <c r="E247" s="6" t="str">
        <f>IFERROR('ORDER Form'!V248,"")</f>
        <v/>
      </c>
      <c r="F247" s="1" t="str">
        <f ca="1">IFERROR('ORDER Form'!W248,"")</f>
        <v/>
      </c>
      <c r="G247" s="1" t="str">
        <f ca="1">IFERROR('ORDER Form'!X248,"")</f>
        <v/>
      </c>
      <c r="H247" s="1" t="str">
        <f>IFERROR('ORDER Form'!Y248,"")</f>
        <v/>
      </c>
    </row>
    <row r="248" spans="1:8" ht="15" customHeight="1" x14ac:dyDescent="0.25">
      <c r="A248" s="6" t="str">
        <f>IFERROR(IF('ORDER Form'!V249="","",249),"")</f>
        <v/>
      </c>
      <c r="B248" s="6" t="str">
        <f>IFERROR(IF('ORDER Form'!V249="","",IFERROR(INDEX('PRODUCT DATA'!$A$2:$A$58,MATCH('ORDER Form'!$N249,'PRODUCT DATA'!$B$2:$B$58,0)),'ORDER Form'!$M249)&amp;""),"")</f>
        <v/>
      </c>
      <c r="C248" s="6" t="str">
        <f>IFERROR(IF('ORDER Form'!V249="","",'ORDER Form'!A249&amp;""),"")</f>
        <v/>
      </c>
      <c r="D248" s="6" t="str">
        <f>IFERROR(IF('ORDER Form'!V249="","",'ORDER Form'!D249&amp;""),"")</f>
        <v/>
      </c>
      <c r="E248" s="6" t="str">
        <f>IFERROR('ORDER Form'!V249,"")</f>
        <v/>
      </c>
      <c r="F248" s="1" t="str">
        <f ca="1">IFERROR('ORDER Form'!W249,"")</f>
        <v/>
      </c>
      <c r="G248" s="1" t="str">
        <f ca="1">IFERROR('ORDER Form'!X249,"")</f>
        <v/>
      </c>
      <c r="H248" s="1" t="str">
        <f>IFERROR('ORDER Form'!Y249,"")</f>
        <v/>
      </c>
    </row>
    <row r="249" spans="1:8" ht="15" customHeight="1" x14ac:dyDescent="0.25">
      <c r="A249" s="6" t="str">
        <f>IFERROR(IF('ORDER Form'!V250="","",250),"")</f>
        <v/>
      </c>
      <c r="B249" s="6" t="str">
        <f>IFERROR(IF('ORDER Form'!V250="","",IFERROR(INDEX('PRODUCT DATA'!$A$2:$A$58,MATCH('ORDER Form'!$N250,'PRODUCT DATA'!$B$2:$B$58,0)),'ORDER Form'!$M250)&amp;""),"")</f>
        <v/>
      </c>
      <c r="C249" s="6" t="str">
        <f>IFERROR(IF('ORDER Form'!V250="","",'ORDER Form'!A250&amp;""),"")</f>
        <v/>
      </c>
      <c r="D249" s="6" t="str">
        <f>IFERROR(IF('ORDER Form'!V250="","",'ORDER Form'!D250&amp;""),"")</f>
        <v/>
      </c>
      <c r="E249" s="6" t="str">
        <f>IFERROR('ORDER Form'!V250,"")</f>
        <v/>
      </c>
      <c r="F249" s="1" t="str">
        <f ca="1">IFERROR('ORDER Form'!W250,"")</f>
        <v/>
      </c>
      <c r="G249" s="1" t="str">
        <f ca="1">IFERROR('ORDER Form'!X250,"")</f>
        <v/>
      </c>
      <c r="H249" s="1" t="str">
        <f>IFERROR('ORDER Form'!Y250,"")</f>
        <v/>
      </c>
    </row>
    <row r="250" spans="1:8" ht="15" customHeight="1" x14ac:dyDescent="0.25">
      <c r="A250" s="6" t="str">
        <f>IFERROR(IF('ORDER Form'!V251="","",251),"")</f>
        <v/>
      </c>
      <c r="B250" s="6" t="str">
        <f>IFERROR(IF('ORDER Form'!V251="","",IFERROR(INDEX('PRODUCT DATA'!$A$2:$A$58,MATCH('ORDER Form'!$N251,'PRODUCT DATA'!$B$2:$B$58,0)),'ORDER Form'!$M251)&amp;""),"")</f>
        <v/>
      </c>
      <c r="C250" s="6" t="str">
        <f>IFERROR(IF('ORDER Form'!V251="","",'ORDER Form'!A251&amp;""),"")</f>
        <v/>
      </c>
      <c r="D250" s="6" t="str">
        <f>IFERROR(IF('ORDER Form'!V251="","",'ORDER Form'!D251&amp;""),"")</f>
        <v/>
      </c>
      <c r="E250" s="6" t="str">
        <f>IFERROR('ORDER Form'!V251,"")</f>
        <v/>
      </c>
      <c r="F250" s="1" t="str">
        <f ca="1">IFERROR('ORDER Form'!W251,"")</f>
        <v/>
      </c>
      <c r="G250" s="1" t="str">
        <f ca="1">IFERROR('ORDER Form'!X251,"")</f>
        <v/>
      </c>
      <c r="H250" s="1" t="str">
        <f>IFERROR('ORDER Form'!Y251,"")</f>
        <v/>
      </c>
    </row>
    <row r="251" spans="1:8" ht="15" customHeight="1" x14ac:dyDescent="0.25">
      <c r="A251" s="6" t="str">
        <f>IFERROR(IF('ORDER Form'!V252="","",252),"")</f>
        <v/>
      </c>
      <c r="B251" s="6" t="str">
        <f>IFERROR(IF('ORDER Form'!V252="","",IFERROR(INDEX('PRODUCT DATA'!$A$2:$A$58,MATCH('ORDER Form'!$N252,'PRODUCT DATA'!$B$2:$B$58,0)),'ORDER Form'!$M252)&amp;""),"")</f>
        <v/>
      </c>
      <c r="C251" s="6" t="str">
        <f>IFERROR(IF('ORDER Form'!V252="","",'ORDER Form'!A252&amp;""),"")</f>
        <v/>
      </c>
      <c r="D251" s="6" t="str">
        <f>IFERROR(IF('ORDER Form'!V252="","",'ORDER Form'!D252&amp;""),"")</f>
        <v/>
      </c>
      <c r="E251" s="6" t="str">
        <f>IFERROR('ORDER Form'!V252,"")</f>
        <v/>
      </c>
      <c r="F251" s="1" t="str">
        <f ca="1">IFERROR('ORDER Form'!W252,"")</f>
        <v/>
      </c>
      <c r="G251" s="1" t="str">
        <f ca="1">IFERROR('ORDER Form'!X252,"")</f>
        <v/>
      </c>
      <c r="H251" s="1" t="str">
        <f>IFERROR('ORDER Form'!Y252,"")</f>
        <v/>
      </c>
    </row>
    <row r="252" spans="1:8" ht="15" customHeight="1" x14ac:dyDescent="0.25">
      <c r="A252" s="6" t="str">
        <f>IFERROR(IF('ORDER Form'!V253="","",253),"")</f>
        <v/>
      </c>
      <c r="B252" s="6" t="str">
        <f>IFERROR(IF('ORDER Form'!V253="","",IFERROR(INDEX('PRODUCT DATA'!$A$2:$A$58,MATCH('ORDER Form'!$N253,'PRODUCT DATA'!$B$2:$B$58,0)),'ORDER Form'!$M253)&amp;""),"")</f>
        <v/>
      </c>
      <c r="C252" s="6" t="str">
        <f>IFERROR(IF('ORDER Form'!V253="","",'ORDER Form'!A253&amp;""),"")</f>
        <v/>
      </c>
      <c r="D252" s="6" t="str">
        <f>IFERROR(IF('ORDER Form'!V253="","",'ORDER Form'!D253&amp;""),"")</f>
        <v/>
      </c>
      <c r="E252" s="6" t="str">
        <f>IFERROR('ORDER Form'!V253,"")</f>
        <v/>
      </c>
      <c r="F252" s="1" t="str">
        <f ca="1">IFERROR('ORDER Form'!W253,"")</f>
        <v/>
      </c>
      <c r="G252" s="1" t="str">
        <f ca="1">IFERROR('ORDER Form'!X253,"")</f>
        <v/>
      </c>
      <c r="H252" s="1" t="str">
        <f>IFERROR('ORDER Form'!Y253,"")</f>
        <v/>
      </c>
    </row>
    <row r="253" spans="1:8" ht="15" customHeight="1" x14ac:dyDescent="0.25">
      <c r="A253" s="6" t="str">
        <f>IFERROR(IF('ORDER Form'!V254="","",254),"")</f>
        <v/>
      </c>
      <c r="B253" s="6" t="str">
        <f>IFERROR(IF('ORDER Form'!V254="","",IFERROR(INDEX('PRODUCT DATA'!$A$2:$A$58,MATCH('ORDER Form'!$N254,'PRODUCT DATA'!$B$2:$B$58,0)),'ORDER Form'!$M254)&amp;""),"")</f>
        <v/>
      </c>
      <c r="C253" s="6" t="str">
        <f>IFERROR(IF('ORDER Form'!V254="","",'ORDER Form'!A254&amp;""),"")</f>
        <v/>
      </c>
      <c r="D253" s="6" t="str">
        <f>IFERROR(IF('ORDER Form'!V254="","",'ORDER Form'!D254&amp;""),"")</f>
        <v/>
      </c>
      <c r="E253" s="6" t="str">
        <f>IFERROR('ORDER Form'!V254,"")</f>
        <v/>
      </c>
      <c r="F253" s="1" t="str">
        <f ca="1">IFERROR('ORDER Form'!W254,"")</f>
        <v/>
      </c>
      <c r="G253" s="1" t="str">
        <f ca="1">IFERROR('ORDER Form'!X254,"")</f>
        <v/>
      </c>
      <c r="H253" s="1" t="str">
        <f>IFERROR('ORDER Form'!Y254,"")</f>
        <v/>
      </c>
    </row>
    <row r="254" spans="1:8" ht="15" customHeight="1" x14ac:dyDescent="0.25">
      <c r="A254" s="6" t="str">
        <f>IFERROR(IF('ORDER Form'!V255="","",255),"")</f>
        <v/>
      </c>
      <c r="B254" s="6" t="str">
        <f>IFERROR(IF('ORDER Form'!V255="","",IFERROR(INDEX('PRODUCT DATA'!$A$2:$A$58,MATCH('ORDER Form'!$N255,'PRODUCT DATA'!$B$2:$B$58,0)),'ORDER Form'!$M255)&amp;""),"")</f>
        <v/>
      </c>
      <c r="C254" s="6" t="str">
        <f>IFERROR(IF('ORDER Form'!V255="","",'ORDER Form'!A255&amp;""),"")</f>
        <v/>
      </c>
      <c r="D254" s="6" t="str">
        <f>IFERROR(IF('ORDER Form'!V255="","",'ORDER Form'!D255&amp;""),"")</f>
        <v/>
      </c>
      <c r="E254" s="6" t="str">
        <f>IFERROR('ORDER Form'!V255,"")</f>
        <v/>
      </c>
      <c r="F254" s="1" t="str">
        <f ca="1">IFERROR('ORDER Form'!W255,"")</f>
        <v/>
      </c>
      <c r="G254" s="1" t="str">
        <f ca="1">IFERROR('ORDER Form'!X255,"")</f>
        <v/>
      </c>
      <c r="H254" s="1" t="str">
        <f>IFERROR('ORDER Form'!Y255,"")</f>
        <v/>
      </c>
    </row>
    <row r="255" spans="1:8" ht="15" customHeight="1" x14ac:dyDescent="0.25">
      <c r="A255" s="6" t="str">
        <f>IFERROR(IF('ORDER Form'!V256="","",256),"")</f>
        <v/>
      </c>
      <c r="B255" s="6" t="str">
        <f>IFERROR(IF('ORDER Form'!V256="","",IFERROR(INDEX('PRODUCT DATA'!$A$2:$A$58,MATCH('ORDER Form'!$N256,'PRODUCT DATA'!$B$2:$B$58,0)),'ORDER Form'!$M256)&amp;""),"")</f>
        <v/>
      </c>
      <c r="C255" s="6" t="str">
        <f>IFERROR(IF('ORDER Form'!V256="","",'ORDER Form'!A256&amp;""),"")</f>
        <v/>
      </c>
      <c r="D255" s="6" t="str">
        <f>IFERROR(IF('ORDER Form'!V256="","",'ORDER Form'!D256&amp;""),"")</f>
        <v/>
      </c>
      <c r="E255" s="6" t="str">
        <f>IFERROR('ORDER Form'!V256,"")</f>
        <v/>
      </c>
      <c r="F255" s="1" t="str">
        <f ca="1">IFERROR('ORDER Form'!W256,"")</f>
        <v/>
      </c>
      <c r="G255" s="1" t="str">
        <f ca="1">IFERROR('ORDER Form'!X256,"")</f>
        <v/>
      </c>
      <c r="H255" s="1" t="str">
        <f>IFERROR('ORDER Form'!Y256,"")</f>
        <v/>
      </c>
    </row>
    <row r="256" spans="1:8" ht="15" customHeight="1" x14ac:dyDescent="0.25">
      <c r="A256" s="6" t="str">
        <f>IFERROR(IF('ORDER Form'!V257="","",257),"")</f>
        <v/>
      </c>
      <c r="B256" s="6" t="str">
        <f>IFERROR(IF('ORDER Form'!V257="","",IFERROR(INDEX('PRODUCT DATA'!$A$2:$A$58,MATCH('ORDER Form'!$N257,'PRODUCT DATA'!$B$2:$B$58,0)),'ORDER Form'!$M257)&amp;""),"")</f>
        <v/>
      </c>
      <c r="C256" s="6" t="str">
        <f>IFERROR(IF('ORDER Form'!V257="","",'ORDER Form'!A257&amp;""),"")</f>
        <v/>
      </c>
      <c r="D256" s="6" t="str">
        <f>IFERROR(IF('ORDER Form'!V257="","",'ORDER Form'!D257&amp;""),"")</f>
        <v/>
      </c>
      <c r="E256" s="6" t="str">
        <f>IFERROR('ORDER Form'!V257,"")</f>
        <v/>
      </c>
      <c r="F256" s="1" t="str">
        <f ca="1">IFERROR('ORDER Form'!W257,"")</f>
        <v/>
      </c>
      <c r="G256" s="1" t="str">
        <f ca="1">IFERROR('ORDER Form'!X257,"")</f>
        <v/>
      </c>
      <c r="H256" s="1" t="str">
        <f>IFERROR('ORDER Form'!Y257,"")</f>
        <v/>
      </c>
    </row>
    <row r="257" spans="1:8" ht="15" customHeight="1" x14ac:dyDescent="0.25">
      <c r="A257" s="6" t="str">
        <f>IFERROR(IF('ORDER Form'!V258="","",258),"")</f>
        <v/>
      </c>
      <c r="B257" s="6" t="str">
        <f>IFERROR(IF('ORDER Form'!V258="","",IFERROR(INDEX('PRODUCT DATA'!$A$2:$A$58,MATCH('ORDER Form'!$N258,'PRODUCT DATA'!$B$2:$B$58,0)),'ORDER Form'!$M258)&amp;""),"")</f>
        <v/>
      </c>
      <c r="C257" s="6" t="str">
        <f>IFERROR(IF('ORDER Form'!V258="","",'ORDER Form'!A258&amp;""),"")</f>
        <v/>
      </c>
      <c r="D257" s="6" t="str">
        <f>IFERROR(IF('ORDER Form'!V258="","",'ORDER Form'!D258&amp;""),"")</f>
        <v/>
      </c>
      <c r="E257" s="6" t="str">
        <f>IFERROR('ORDER Form'!V258,"")</f>
        <v/>
      </c>
      <c r="F257" s="1" t="str">
        <f ca="1">IFERROR('ORDER Form'!W258,"")</f>
        <v/>
      </c>
      <c r="G257" s="1" t="str">
        <f ca="1">IFERROR('ORDER Form'!X258,"")</f>
        <v/>
      </c>
      <c r="H257" s="1" t="str">
        <f>IFERROR('ORDER Form'!Y258,"")</f>
        <v/>
      </c>
    </row>
    <row r="258" spans="1:8" ht="15" customHeight="1" x14ac:dyDescent="0.25">
      <c r="A258" s="6" t="str">
        <f>IFERROR(IF('ORDER Form'!V259="","",259),"")</f>
        <v/>
      </c>
      <c r="B258" s="6" t="str">
        <f>IFERROR(IF('ORDER Form'!V259="","",IFERROR(INDEX('PRODUCT DATA'!$A$2:$A$58,MATCH('ORDER Form'!$N259,'PRODUCT DATA'!$B$2:$B$58,0)),'ORDER Form'!$M259)&amp;""),"")</f>
        <v/>
      </c>
      <c r="C258" s="6" t="str">
        <f>IFERROR(IF('ORDER Form'!V259="","",'ORDER Form'!A259&amp;""),"")</f>
        <v/>
      </c>
      <c r="D258" s="6" t="str">
        <f>IFERROR(IF('ORDER Form'!V259="","",'ORDER Form'!D259&amp;""),"")</f>
        <v/>
      </c>
      <c r="E258" s="6" t="str">
        <f>IFERROR('ORDER Form'!V259,"")</f>
        <v/>
      </c>
      <c r="F258" s="1" t="str">
        <f ca="1">IFERROR('ORDER Form'!W259,"")</f>
        <v/>
      </c>
      <c r="G258" s="1" t="str">
        <f ca="1">IFERROR('ORDER Form'!X259,"")</f>
        <v/>
      </c>
      <c r="H258" s="1" t="str">
        <f>IFERROR('ORDER Form'!Y259,"")</f>
        <v/>
      </c>
    </row>
    <row r="259" spans="1:8" ht="15" customHeight="1" x14ac:dyDescent="0.25">
      <c r="A259" s="6" t="str">
        <f>IFERROR(IF('ORDER Form'!V260="","",260),"")</f>
        <v/>
      </c>
      <c r="B259" s="6" t="str">
        <f>IFERROR(IF('ORDER Form'!V260="","",IFERROR(INDEX('PRODUCT DATA'!$A$2:$A$58,MATCH('ORDER Form'!$N260,'PRODUCT DATA'!$B$2:$B$58,0)),'ORDER Form'!$M260)&amp;""),"")</f>
        <v/>
      </c>
      <c r="C259" s="6" t="str">
        <f>IFERROR(IF('ORDER Form'!V260="","",'ORDER Form'!A260&amp;""),"")</f>
        <v/>
      </c>
      <c r="D259" s="6" t="str">
        <f>IFERROR(IF('ORDER Form'!V260="","",'ORDER Form'!D260&amp;""),"")</f>
        <v/>
      </c>
      <c r="E259" s="6" t="str">
        <f>IFERROR('ORDER Form'!V260,"")</f>
        <v/>
      </c>
      <c r="F259" s="1" t="str">
        <f ca="1">IFERROR('ORDER Form'!W260,"")</f>
        <v/>
      </c>
      <c r="G259" s="1" t="str">
        <f ca="1">IFERROR('ORDER Form'!X260,"")</f>
        <v/>
      </c>
      <c r="H259" s="1" t="str">
        <f>IFERROR('ORDER Form'!Y260,"")</f>
        <v/>
      </c>
    </row>
    <row r="260" spans="1:8" ht="15" customHeight="1" x14ac:dyDescent="0.25">
      <c r="A260" s="6" t="str">
        <f>IFERROR(IF('ORDER Form'!V261="","",261),"")</f>
        <v/>
      </c>
      <c r="B260" s="6" t="str">
        <f>IFERROR(IF('ORDER Form'!V261="","",IFERROR(INDEX('PRODUCT DATA'!$A$2:$A$58,MATCH('ORDER Form'!$N261,'PRODUCT DATA'!$B$2:$B$58,0)),'ORDER Form'!$M261)&amp;""),"")</f>
        <v/>
      </c>
      <c r="C260" s="6" t="str">
        <f>IFERROR(IF('ORDER Form'!V261="","",'ORDER Form'!A261&amp;""),"")</f>
        <v/>
      </c>
      <c r="D260" s="6" t="str">
        <f>IFERROR(IF('ORDER Form'!V261="","",'ORDER Form'!D261&amp;""),"")</f>
        <v/>
      </c>
      <c r="E260" s="6" t="str">
        <f>IFERROR('ORDER Form'!V261,"")</f>
        <v/>
      </c>
      <c r="F260" s="1" t="str">
        <f ca="1">IFERROR('ORDER Form'!W261,"")</f>
        <v/>
      </c>
      <c r="G260" s="1" t="str">
        <f ca="1">IFERROR('ORDER Form'!X261,"")</f>
        <v/>
      </c>
      <c r="H260" s="1" t="str">
        <f>IFERROR('ORDER Form'!Y261,"")</f>
        <v/>
      </c>
    </row>
    <row r="261" spans="1:8" ht="15" customHeight="1" x14ac:dyDescent="0.25">
      <c r="A261" s="6" t="str">
        <f>IFERROR(IF('ORDER Form'!V262="","",262),"")</f>
        <v/>
      </c>
      <c r="B261" s="6" t="str">
        <f>IFERROR(IF('ORDER Form'!V262="","",IFERROR(INDEX('PRODUCT DATA'!$A$2:$A$58,MATCH('ORDER Form'!$N262,'PRODUCT DATA'!$B$2:$B$58,0)),'ORDER Form'!$M262)&amp;""),"")</f>
        <v/>
      </c>
      <c r="C261" s="6" t="str">
        <f>IFERROR(IF('ORDER Form'!V262="","",'ORDER Form'!A262&amp;""),"")</f>
        <v/>
      </c>
      <c r="D261" s="6" t="str">
        <f>IFERROR(IF('ORDER Form'!V262="","",'ORDER Form'!D262&amp;""),"")</f>
        <v/>
      </c>
      <c r="E261" s="6" t="str">
        <f>IFERROR('ORDER Form'!V262,"")</f>
        <v/>
      </c>
      <c r="F261" s="1" t="str">
        <f ca="1">IFERROR('ORDER Form'!W262,"")</f>
        <v/>
      </c>
      <c r="G261" s="1" t="str">
        <f ca="1">IFERROR('ORDER Form'!X262,"")</f>
        <v/>
      </c>
      <c r="H261" s="1" t="str">
        <f>IFERROR('ORDER Form'!Y262,"")</f>
        <v/>
      </c>
    </row>
    <row r="262" spans="1:8" ht="15" customHeight="1" x14ac:dyDescent="0.25">
      <c r="A262" s="6" t="str">
        <f>IFERROR(IF('ORDER Form'!V263="","",263),"")</f>
        <v/>
      </c>
      <c r="B262" s="6" t="str">
        <f>IFERROR(IF('ORDER Form'!V263="","",IFERROR(INDEX('PRODUCT DATA'!$A$2:$A$58,MATCH('ORDER Form'!$N263,'PRODUCT DATA'!$B$2:$B$58,0)),'ORDER Form'!$M263)&amp;""),"")</f>
        <v/>
      </c>
      <c r="C262" s="6" t="str">
        <f>IFERROR(IF('ORDER Form'!V263="","",'ORDER Form'!A263&amp;""),"")</f>
        <v/>
      </c>
      <c r="D262" s="6" t="str">
        <f>IFERROR(IF('ORDER Form'!V263="","",'ORDER Form'!D263&amp;""),"")</f>
        <v/>
      </c>
      <c r="E262" s="6" t="str">
        <f>IFERROR('ORDER Form'!V263,"")</f>
        <v/>
      </c>
      <c r="F262" s="1" t="str">
        <f ca="1">IFERROR('ORDER Form'!W263,"")</f>
        <v/>
      </c>
      <c r="G262" s="1" t="str">
        <f ca="1">IFERROR('ORDER Form'!X263,"")</f>
        <v/>
      </c>
      <c r="H262" s="1" t="str">
        <f>IFERROR('ORDER Form'!Y263,"")</f>
        <v/>
      </c>
    </row>
    <row r="263" spans="1:8" ht="15" customHeight="1" x14ac:dyDescent="0.25">
      <c r="A263" s="6" t="str">
        <f>IFERROR(IF('ORDER Form'!V264="","",264),"")</f>
        <v/>
      </c>
      <c r="B263" s="6" t="str">
        <f>IFERROR(IF('ORDER Form'!V264="","",IFERROR(INDEX('PRODUCT DATA'!$A$2:$A$58,MATCH('ORDER Form'!$N264,'PRODUCT DATA'!$B$2:$B$58,0)),'ORDER Form'!$M264)&amp;""),"")</f>
        <v/>
      </c>
      <c r="C263" s="6" t="str">
        <f>IFERROR(IF('ORDER Form'!V264="","",'ORDER Form'!A264&amp;""),"")</f>
        <v/>
      </c>
      <c r="D263" s="6" t="str">
        <f>IFERROR(IF('ORDER Form'!V264="","",'ORDER Form'!D264&amp;""),"")</f>
        <v/>
      </c>
      <c r="E263" s="6" t="str">
        <f>IFERROR('ORDER Form'!V264,"")</f>
        <v/>
      </c>
      <c r="F263" s="1" t="str">
        <f ca="1">IFERROR('ORDER Form'!W264,"")</f>
        <v/>
      </c>
      <c r="G263" s="1" t="str">
        <f ca="1">IFERROR('ORDER Form'!X264,"")</f>
        <v/>
      </c>
      <c r="H263" s="1" t="str">
        <f>IFERROR('ORDER Form'!Y264,"")</f>
        <v/>
      </c>
    </row>
    <row r="264" spans="1:8" ht="15" customHeight="1" x14ac:dyDescent="0.25">
      <c r="A264" s="6" t="str">
        <f>IFERROR(IF('ORDER Form'!V265="","",265),"")</f>
        <v/>
      </c>
      <c r="B264" s="6" t="str">
        <f>IFERROR(IF('ORDER Form'!V265="","",IFERROR(INDEX('PRODUCT DATA'!$A$2:$A$58,MATCH('ORDER Form'!$N265,'PRODUCT DATA'!$B$2:$B$58,0)),'ORDER Form'!$M265)&amp;""),"")</f>
        <v/>
      </c>
      <c r="C264" s="6" t="str">
        <f>IFERROR(IF('ORDER Form'!V265="","",'ORDER Form'!A265&amp;""),"")</f>
        <v/>
      </c>
      <c r="D264" s="6" t="str">
        <f>IFERROR(IF('ORDER Form'!V265="","",'ORDER Form'!D265&amp;""),"")</f>
        <v/>
      </c>
      <c r="E264" s="6" t="str">
        <f>IFERROR('ORDER Form'!V265,"")</f>
        <v/>
      </c>
      <c r="F264" s="1" t="str">
        <f ca="1">IFERROR('ORDER Form'!W265,"")</f>
        <v/>
      </c>
      <c r="G264" s="1" t="str">
        <f ca="1">IFERROR('ORDER Form'!X265,"")</f>
        <v/>
      </c>
      <c r="H264" s="1" t="str">
        <f>IFERROR('ORDER Form'!Y265,"")</f>
        <v/>
      </c>
    </row>
    <row r="265" spans="1:8" ht="15" customHeight="1" x14ac:dyDescent="0.25">
      <c r="A265" s="6" t="str">
        <f>IFERROR(IF('ORDER Form'!V266="","",266),"")</f>
        <v/>
      </c>
      <c r="B265" s="6" t="str">
        <f>IFERROR(IF('ORDER Form'!V266="","",IFERROR(INDEX('PRODUCT DATA'!$A$2:$A$58,MATCH('ORDER Form'!$N266,'PRODUCT DATA'!$B$2:$B$58,0)),'ORDER Form'!$M266)&amp;""),"")</f>
        <v/>
      </c>
      <c r="C265" s="6" t="str">
        <f>IFERROR(IF('ORDER Form'!V266="","",'ORDER Form'!A266&amp;""),"")</f>
        <v/>
      </c>
      <c r="D265" s="6" t="str">
        <f>IFERROR(IF('ORDER Form'!V266="","",'ORDER Form'!D266&amp;""),"")</f>
        <v/>
      </c>
      <c r="E265" s="6" t="str">
        <f>IFERROR('ORDER Form'!V266,"")</f>
        <v/>
      </c>
      <c r="F265" s="1" t="str">
        <f ca="1">IFERROR('ORDER Form'!W266,"")</f>
        <v/>
      </c>
      <c r="G265" s="1" t="str">
        <f ca="1">IFERROR('ORDER Form'!X266,"")</f>
        <v/>
      </c>
      <c r="H265" s="1" t="str">
        <f>IFERROR('ORDER Form'!Y266,"")</f>
        <v/>
      </c>
    </row>
    <row r="266" spans="1:8" ht="15" customHeight="1" x14ac:dyDescent="0.25">
      <c r="A266" s="6" t="str">
        <f>IFERROR(IF('ORDER Form'!V267="","",267),"")</f>
        <v/>
      </c>
      <c r="B266" s="6" t="str">
        <f>IFERROR(IF('ORDER Form'!V267="","",IFERROR(INDEX('PRODUCT DATA'!$A$2:$A$58,MATCH('ORDER Form'!$N267,'PRODUCT DATA'!$B$2:$B$58,0)),'ORDER Form'!$M267)&amp;""),"")</f>
        <v/>
      </c>
      <c r="C266" s="6" t="str">
        <f>IFERROR(IF('ORDER Form'!V267="","",'ORDER Form'!A267&amp;""),"")</f>
        <v/>
      </c>
      <c r="D266" s="6" t="str">
        <f>IFERROR(IF('ORDER Form'!V267="","",'ORDER Form'!D267&amp;""),"")</f>
        <v/>
      </c>
      <c r="E266" s="6" t="str">
        <f>IFERROR('ORDER Form'!V267,"")</f>
        <v/>
      </c>
      <c r="F266" s="1" t="str">
        <f ca="1">IFERROR('ORDER Form'!W267,"")</f>
        <v/>
      </c>
      <c r="G266" s="1" t="str">
        <f ca="1">IFERROR('ORDER Form'!X267,"")</f>
        <v/>
      </c>
      <c r="H266" s="1" t="str">
        <f>IFERROR('ORDER Form'!Y267,"")</f>
        <v/>
      </c>
    </row>
    <row r="267" spans="1:8" ht="15" customHeight="1" x14ac:dyDescent="0.25">
      <c r="A267" s="6" t="str">
        <f>IFERROR(IF('ORDER Form'!V268="","",268),"")</f>
        <v/>
      </c>
      <c r="B267" s="6" t="str">
        <f>IFERROR(IF('ORDER Form'!V268="","",IFERROR(INDEX('PRODUCT DATA'!$A$2:$A$58,MATCH('ORDER Form'!$N268,'PRODUCT DATA'!$B$2:$B$58,0)),'ORDER Form'!$M268)&amp;""),"")</f>
        <v/>
      </c>
      <c r="C267" s="6" t="str">
        <f>IFERROR(IF('ORDER Form'!V268="","",'ORDER Form'!A268&amp;""),"")</f>
        <v/>
      </c>
      <c r="D267" s="6" t="str">
        <f>IFERROR(IF('ORDER Form'!V268="","",'ORDER Form'!D268&amp;""),"")</f>
        <v/>
      </c>
      <c r="E267" s="6" t="str">
        <f>IFERROR('ORDER Form'!V268,"")</f>
        <v/>
      </c>
      <c r="F267" s="1" t="str">
        <f ca="1">IFERROR('ORDER Form'!W268,"")</f>
        <v/>
      </c>
      <c r="G267" s="1" t="str">
        <f ca="1">IFERROR('ORDER Form'!X268,"")</f>
        <v/>
      </c>
      <c r="H267" s="1" t="str">
        <f>IFERROR('ORDER Form'!Y268,"")</f>
        <v/>
      </c>
    </row>
    <row r="268" spans="1:8" ht="15" customHeight="1" x14ac:dyDescent="0.25">
      <c r="A268" s="6" t="str">
        <f>IFERROR(IF('ORDER Form'!V269="","",269),"")</f>
        <v/>
      </c>
      <c r="B268" s="6" t="str">
        <f>IFERROR(IF('ORDER Form'!V269="","",IFERROR(INDEX('PRODUCT DATA'!$A$2:$A$58,MATCH('ORDER Form'!$N269,'PRODUCT DATA'!$B$2:$B$58,0)),'ORDER Form'!$M269)&amp;""),"")</f>
        <v/>
      </c>
      <c r="C268" s="6" t="str">
        <f>IFERROR(IF('ORDER Form'!V269="","",'ORDER Form'!A269&amp;""),"")</f>
        <v/>
      </c>
      <c r="D268" s="6" t="str">
        <f>IFERROR(IF('ORDER Form'!V269="","",'ORDER Form'!D269&amp;""),"")</f>
        <v/>
      </c>
      <c r="E268" s="6" t="str">
        <f>IFERROR('ORDER Form'!V269,"")</f>
        <v/>
      </c>
      <c r="F268" s="1" t="str">
        <f ca="1">IFERROR('ORDER Form'!W269,"")</f>
        <v/>
      </c>
      <c r="G268" s="1" t="str">
        <f ca="1">IFERROR('ORDER Form'!X269,"")</f>
        <v/>
      </c>
      <c r="H268" s="1" t="str">
        <f>IFERROR('ORDER Form'!Y269,"")</f>
        <v/>
      </c>
    </row>
    <row r="269" spans="1:8" ht="15" customHeight="1" x14ac:dyDescent="0.25">
      <c r="A269" s="6" t="str">
        <f>IFERROR(IF('ORDER Form'!V270="","",270),"")</f>
        <v/>
      </c>
      <c r="B269" s="6" t="str">
        <f>IFERROR(IF('ORDER Form'!V270="","",IFERROR(INDEX('PRODUCT DATA'!$A$2:$A$58,MATCH('ORDER Form'!$N270,'PRODUCT DATA'!$B$2:$B$58,0)),'ORDER Form'!$M270)&amp;""),"")</f>
        <v/>
      </c>
      <c r="C269" s="6" t="str">
        <f>IFERROR(IF('ORDER Form'!V270="","",'ORDER Form'!A270&amp;""),"")</f>
        <v/>
      </c>
      <c r="D269" s="6" t="str">
        <f>IFERROR(IF('ORDER Form'!V270="","",'ORDER Form'!D270&amp;""),"")</f>
        <v/>
      </c>
      <c r="E269" s="6" t="str">
        <f>IFERROR('ORDER Form'!V270,"")</f>
        <v/>
      </c>
      <c r="F269" s="1" t="str">
        <f ca="1">IFERROR('ORDER Form'!W270,"")</f>
        <v/>
      </c>
      <c r="G269" s="1" t="str">
        <f ca="1">IFERROR('ORDER Form'!X270,"")</f>
        <v/>
      </c>
      <c r="H269" s="1" t="str">
        <f>IFERROR('ORDER Form'!Y270,"")</f>
        <v/>
      </c>
    </row>
    <row r="270" spans="1:8" ht="15" customHeight="1" x14ac:dyDescent="0.25">
      <c r="A270" s="6" t="str">
        <f>IFERROR(IF('ORDER Form'!V271="","",271),"")</f>
        <v/>
      </c>
      <c r="B270" s="6" t="str">
        <f>IFERROR(IF('ORDER Form'!V271="","",IFERROR(INDEX('PRODUCT DATA'!$A$2:$A$58,MATCH('ORDER Form'!$N271,'PRODUCT DATA'!$B$2:$B$58,0)),'ORDER Form'!$M271)&amp;""),"")</f>
        <v/>
      </c>
      <c r="C270" s="6" t="str">
        <f>IFERROR(IF('ORDER Form'!V271="","",'ORDER Form'!A271&amp;""),"")</f>
        <v/>
      </c>
      <c r="D270" s="6" t="str">
        <f>IFERROR(IF('ORDER Form'!V271="","",'ORDER Form'!D271&amp;""),"")</f>
        <v/>
      </c>
      <c r="E270" s="6" t="str">
        <f>IFERROR('ORDER Form'!V271,"")</f>
        <v/>
      </c>
      <c r="F270" s="1" t="str">
        <f ca="1">IFERROR('ORDER Form'!W271,"")</f>
        <v/>
      </c>
      <c r="G270" s="1" t="str">
        <f ca="1">IFERROR('ORDER Form'!X271,"")</f>
        <v/>
      </c>
      <c r="H270" s="1" t="str">
        <f>IFERROR('ORDER Form'!Y271,"")</f>
        <v/>
      </c>
    </row>
    <row r="271" spans="1:8" ht="15" customHeight="1" x14ac:dyDescent="0.25">
      <c r="A271" s="6" t="str">
        <f>IFERROR(IF('ORDER Form'!V272="","",272),"")</f>
        <v/>
      </c>
      <c r="B271" s="6" t="str">
        <f>IFERROR(IF('ORDER Form'!V272="","",IFERROR(INDEX('PRODUCT DATA'!$A$2:$A$58,MATCH('ORDER Form'!$N272,'PRODUCT DATA'!$B$2:$B$58,0)),'ORDER Form'!$M272)&amp;""),"")</f>
        <v/>
      </c>
      <c r="C271" s="6" t="str">
        <f>IFERROR(IF('ORDER Form'!V272="","",'ORDER Form'!A272&amp;""),"")</f>
        <v/>
      </c>
      <c r="D271" s="6" t="str">
        <f>IFERROR(IF('ORDER Form'!V272="","",'ORDER Form'!D272&amp;""),"")</f>
        <v/>
      </c>
      <c r="E271" s="6" t="str">
        <f>IFERROR('ORDER Form'!V272,"")</f>
        <v/>
      </c>
      <c r="F271" s="1" t="str">
        <f ca="1">IFERROR('ORDER Form'!W272,"")</f>
        <v/>
      </c>
      <c r="G271" s="1" t="str">
        <f ca="1">IFERROR('ORDER Form'!X272,"")</f>
        <v/>
      </c>
      <c r="H271" s="1" t="str">
        <f>IFERROR('ORDER Form'!Y272,"")</f>
        <v/>
      </c>
    </row>
    <row r="272" spans="1:8" ht="15" customHeight="1" x14ac:dyDescent="0.25">
      <c r="A272" s="6" t="str">
        <f>IFERROR(IF('ORDER Form'!V273="","",273),"")</f>
        <v/>
      </c>
      <c r="B272" s="6" t="str">
        <f>IFERROR(IF('ORDER Form'!V273="","",IFERROR(INDEX('PRODUCT DATA'!$A$2:$A$58,MATCH('ORDER Form'!$N273,'PRODUCT DATA'!$B$2:$B$58,0)),'ORDER Form'!$M273)&amp;""),"")</f>
        <v/>
      </c>
      <c r="C272" s="6" t="str">
        <f>IFERROR(IF('ORDER Form'!V273="","",'ORDER Form'!A273&amp;""),"")</f>
        <v/>
      </c>
      <c r="D272" s="6" t="str">
        <f>IFERROR(IF('ORDER Form'!V273="","",'ORDER Form'!D273&amp;""),"")</f>
        <v/>
      </c>
      <c r="E272" s="6" t="str">
        <f>IFERROR('ORDER Form'!V273,"")</f>
        <v/>
      </c>
      <c r="F272" s="1" t="str">
        <f ca="1">IFERROR('ORDER Form'!W273,"")</f>
        <v/>
      </c>
      <c r="G272" s="1" t="str">
        <f ca="1">IFERROR('ORDER Form'!X273,"")</f>
        <v/>
      </c>
      <c r="H272" s="1" t="str">
        <f>IFERROR('ORDER Form'!Y273,"")</f>
        <v/>
      </c>
    </row>
    <row r="273" spans="1:8" ht="15" customHeight="1" x14ac:dyDescent="0.25">
      <c r="A273" s="6" t="str">
        <f>IFERROR(IF('ORDER Form'!V274="","",274),"")</f>
        <v/>
      </c>
      <c r="B273" s="6" t="str">
        <f>IFERROR(IF('ORDER Form'!V274="","",IFERROR(INDEX('PRODUCT DATA'!$A$2:$A$58,MATCH('ORDER Form'!$N274,'PRODUCT DATA'!$B$2:$B$58,0)),'ORDER Form'!$M274)&amp;""),"")</f>
        <v/>
      </c>
      <c r="C273" s="6" t="str">
        <f>IFERROR(IF('ORDER Form'!V274="","",'ORDER Form'!A274&amp;""),"")</f>
        <v/>
      </c>
      <c r="D273" s="6" t="str">
        <f>IFERROR(IF('ORDER Form'!V274="","",'ORDER Form'!D274&amp;""),"")</f>
        <v/>
      </c>
      <c r="E273" s="6" t="str">
        <f>IFERROR('ORDER Form'!V274,"")</f>
        <v/>
      </c>
      <c r="F273" s="1" t="str">
        <f ca="1">IFERROR('ORDER Form'!W274,"")</f>
        <v/>
      </c>
      <c r="G273" s="1" t="str">
        <f ca="1">IFERROR('ORDER Form'!X274,"")</f>
        <v/>
      </c>
      <c r="H273" s="1" t="str">
        <f>IFERROR('ORDER Form'!Y274,"")</f>
        <v/>
      </c>
    </row>
    <row r="274" spans="1:8" ht="15" customHeight="1" x14ac:dyDescent="0.25">
      <c r="A274" s="6" t="str">
        <f>IFERROR(IF('ORDER Form'!V275="","",275),"")</f>
        <v/>
      </c>
      <c r="B274" s="6" t="str">
        <f>IFERROR(IF('ORDER Form'!V275="","",IFERROR(INDEX('PRODUCT DATA'!$A$2:$A$58,MATCH('ORDER Form'!$N275,'PRODUCT DATA'!$B$2:$B$58,0)),'ORDER Form'!$M275)&amp;""),"")</f>
        <v/>
      </c>
      <c r="C274" s="6" t="str">
        <f>IFERROR(IF('ORDER Form'!V275="","",'ORDER Form'!A275&amp;""),"")</f>
        <v/>
      </c>
      <c r="D274" s="6" t="str">
        <f>IFERROR(IF('ORDER Form'!V275="","",'ORDER Form'!D275&amp;""),"")</f>
        <v/>
      </c>
      <c r="E274" s="6" t="str">
        <f>IFERROR('ORDER Form'!V275,"")</f>
        <v/>
      </c>
      <c r="F274" s="1" t="str">
        <f ca="1">IFERROR('ORDER Form'!W275,"")</f>
        <v/>
      </c>
      <c r="G274" s="1" t="str">
        <f ca="1">IFERROR('ORDER Form'!X275,"")</f>
        <v/>
      </c>
      <c r="H274" s="1" t="str">
        <f>IFERROR('ORDER Form'!Y275,"")</f>
        <v/>
      </c>
    </row>
    <row r="275" spans="1:8" ht="15" customHeight="1" x14ac:dyDescent="0.25">
      <c r="A275" s="6" t="str">
        <f>IFERROR(IF('ORDER Form'!V276="","",276),"")</f>
        <v/>
      </c>
      <c r="B275" s="6" t="str">
        <f>IFERROR(IF('ORDER Form'!V276="","",IFERROR(INDEX('PRODUCT DATA'!$A$2:$A$58,MATCH('ORDER Form'!$N276,'PRODUCT DATA'!$B$2:$B$58,0)),'ORDER Form'!$M276)&amp;""),"")</f>
        <v/>
      </c>
      <c r="C275" s="6" t="str">
        <f>IFERROR(IF('ORDER Form'!V276="","",'ORDER Form'!A276&amp;""),"")</f>
        <v/>
      </c>
      <c r="D275" s="6" t="str">
        <f>IFERROR(IF('ORDER Form'!V276="","",'ORDER Form'!D276&amp;""),"")</f>
        <v/>
      </c>
      <c r="E275" s="6" t="str">
        <f>IFERROR('ORDER Form'!V276,"")</f>
        <v/>
      </c>
      <c r="F275" s="1" t="str">
        <f ca="1">IFERROR('ORDER Form'!W276,"")</f>
        <v/>
      </c>
      <c r="G275" s="1" t="str">
        <f ca="1">IFERROR('ORDER Form'!X276,"")</f>
        <v/>
      </c>
      <c r="H275" s="1" t="str">
        <f>IFERROR('ORDER Form'!Y276,"")</f>
        <v/>
      </c>
    </row>
    <row r="276" spans="1:8" ht="15" customHeight="1" x14ac:dyDescent="0.25">
      <c r="A276" s="6" t="str">
        <f>IFERROR(IF('ORDER Form'!V277="","",277),"")</f>
        <v/>
      </c>
      <c r="B276" s="6" t="str">
        <f>IFERROR(IF('ORDER Form'!V277="","",IFERROR(INDEX('PRODUCT DATA'!$A$2:$A$58,MATCH('ORDER Form'!$N277,'PRODUCT DATA'!$B$2:$B$58,0)),'ORDER Form'!$M277)&amp;""),"")</f>
        <v/>
      </c>
      <c r="C276" s="6" t="str">
        <f>IFERROR(IF('ORDER Form'!V277="","",'ORDER Form'!A277&amp;""),"")</f>
        <v/>
      </c>
      <c r="D276" s="6" t="str">
        <f>IFERROR(IF('ORDER Form'!V277="","",'ORDER Form'!D277&amp;""),"")</f>
        <v/>
      </c>
      <c r="E276" s="6" t="str">
        <f>IFERROR('ORDER Form'!V277,"")</f>
        <v/>
      </c>
      <c r="F276" s="1" t="str">
        <f ca="1">IFERROR('ORDER Form'!W277,"")</f>
        <v/>
      </c>
      <c r="G276" s="1" t="str">
        <f ca="1">IFERROR('ORDER Form'!X277,"")</f>
        <v/>
      </c>
      <c r="H276" s="1" t="str">
        <f>IFERROR('ORDER Form'!Y277,"")</f>
        <v/>
      </c>
    </row>
    <row r="277" spans="1:8" ht="15" customHeight="1" x14ac:dyDescent="0.25">
      <c r="A277" s="6" t="str">
        <f>IFERROR(IF('ORDER Form'!V278="","",278),"")</f>
        <v/>
      </c>
      <c r="B277" s="6" t="str">
        <f>IFERROR(IF('ORDER Form'!V278="","",IFERROR(INDEX('PRODUCT DATA'!$A$2:$A$58,MATCH('ORDER Form'!$N278,'PRODUCT DATA'!$B$2:$B$58,0)),'ORDER Form'!$M278)&amp;""),"")</f>
        <v/>
      </c>
      <c r="C277" s="6" t="str">
        <f>IFERROR(IF('ORDER Form'!V278="","",'ORDER Form'!A278&amp;""),"")</f>
        <v/>
      </c>
      <c r="D277" s="6" t="str">
        <f>IFERROR(IF('ORDER Form'!V278="","",'ORDER Form'!D278&amp;""),"")</f>
        <v/>
      </c>
      <c r="E277" s="6" t="str">
        <f>IFERROR('ORDER Form'!V278,"")</f>
        <v/>
      </c>
      <c r="F277" s="1" t="str">
        <f ca="1">IFERROR('ORDER Form'!W278,"")</f>
        <v/>
      </c>
      <c r="G277" s="1" t="str">
        <f ca="1">IFERROR('ORDER Form'!X278,"")</f>
        <v/>
      </c>
      <c r="H277" s="1" t="str">
        <f>IFERROR('ORDER Form'!Y278,"")</f>
        <v/>
      </c>
    </row>
    <row r="278" spans="1:8" ht="15" customHeight="1" x14ac:dyDescent="0.25">
      <c r="A278" s="6" t="str">
        <f>IFERROR(IF('ORDER Form'!V279="","",279),"")</f>
        <v/>
      </c>
      <c r="B278" s="6" t="str">
        <f>IFERROR(IF('ORDER Form'!V279="","",IFERROR(INDEX('PRODUCT DATA'!$A$2:$A$58,MATCH('ORDER Form'!$N279,'PRODUCT DATA'!$B$2:$B$58,0)),'ORDER Form'!$M279)&amp;""),"")</f>
        <v/>
      </c>
      <c r="C278" s="6" t="str">
        <f>IFERROR(IF('ORDER Form'!V279="","",'ORDER Form'!A279&amp;""),"")</f>
        <v/>
      </c>
      <c r="D278" s="6" t="str">
        <f>IFERROR(IF('ORDER Form'!V279="","",'ORDER Form'!D279&amp;""),"")</f>
        <v/>
      </c>
      <c r="E278" s="6" t="str">
        <f>IFERROR('ORDER Form'!V279,"")</f>
        <v/>
      </c>
      <c r="F278" s="1" t="str">
        <f ca="1">IFERROR('ORDER Form'!W279,"")</f>
        <v/>
      </c>
      <c r="G278" s="1" t="str">
        <f ca="1">IFERROR('ORDER Form'!X279,"")</f>
        <v/>
      </c>
      <c r="H278" s="1" t="str">
        <f>IFERROR('ORDER Form'!Y279,"")</f>
        <v/>
      </c>
    </row>
    <row r="279" spans="1:8" ht="15" customHeight="1" x14ac:dyDescent="0.25">
      <c r="A279" s="6" t="str">
        <f>IFERROR(IF('ORDER Form'!V280="","",280),"")</f>
        <v/>
      </c>
      <c r="B279" s="6" t="str">
        <f>IFERROR(IF('ORDER Form'!V280="","",IFERROR(INDEX('PRODUCT DATA'!$A$2:$A$58,MATCH('ORDER Form'!$N280,'PRODUCT DATA'!$B$2:$B$58,0)),'ORDER Form'!$M280)&amp;""),"")</f>
        <v/>
      </c>
      <c r="C279" s="6" t="str">
        <f>IFERROR(IF('ORDER Form'!V280="","",'ORDER Form'!A280&amp;""),"")</f>
        <v/>
      </c>
      <c r="D279" s="6" t="str">
        <f>IFERROR(IF('ORDER Form'!V280="","",'ORDER Form'!D280&amp;""),"")</f>
        <v/>
      </c>
      <c r="E279" s="6" t="str">
        <f>IFERROR('ORDER Form'!V280,"")</f>
        <v/>
      </c>
      <c r="F279" s="1" t="str">
        <f ca="1">IFERROR('ORDER Form'!W280,"")</f>
        <v/>
      </c>
      <c r="G279" s="1" t="str">
        <f ca="1">IFERROR('ORDER Form'!X280,"")</f>
        <v/>
      </c>
      <c r="H279" s="1" t="str">
        <f>IFERROR('ORDER Form'!Y280,"")</f>
        <v/>
      </c>
    </row>
    <row r="280" spans="1:8" ht="15" customHeight="1" x14ac:dyDescent="0.25">
      <c r="A280" s="6" t="str">
        <f>IFERROR(IF('ORDER Form'!V281="","",281),"")</f>
        <v/>
      </c>
      <c r="B280" s="6" t="str">
        <f>IFERROR(IF('ORDER Form'!V281="","",IFERROR(INDEX('PRODUCT DATA'!$A$2:$A$58,MATCH('ORDER Form'!$N281,'PRODUCT DATA'!$B$2:$B$58,0)),'ORDER Form'!$M281)&amp;""),"")</f>
        <v/>
      </c>
      <c r="C280" s="6" t="str">
        <f>IFERROR(IF('ORDER Form'!V281="","",'ORDER Form'!A281&amp;""),"")</f>
        <v/>
      </c>
      <c r="D280" s="6" t="str">
        <f>IFERROR(IF('ORDER Form'!V281="","",'ORDER Form'!D281&amp;""),"")</f>
        <v/>
      </c>
      <c r="E280" s="6" t="str">
        <f>IFERROR('ORDER Form'!V281,"")</f>
        <v/>
      </c>
      <c r="F280" s="1" t="str">
        <f ca="1">IFERROR('ORDER Form'!W281,"")</f>
        <v/>
      </c>
      <c r="G280" s="1" t="str">
        <f ca="1">IFERROR('ORDER Form'!X281,"")</f>
        <v/>
      </c>
      <c r="H280" s="1" t="str">
        <f>IFERROR('ORDER Form'!Y281,"")</f>
        <v/>
      </c>
    </row>
    <row r="281" spans="1:8" ht="15" customHeight="1" x14ac:dyDescent="0.25">
      <c r="A281" s="6" t="str">
        <f>IFERROR(IF('ORDER Form'!V282="","",282),"")</f>
        <v/>
      </c>
      <c r="B281" s="6" t="str">
        <f>IFERROR(IF('ORDER Form'!V282="","",IFERROR(INDEX('PRODUCT DATA'!$A$2:$A$58,MATCH('ORDER Form'!$N282,'PRODUCT DATA'!$B$2:$B$58,0)),'ORDER Form'!$M282)&amp;""),"")</f>
        <v/>
      </c>
      <c r="C281" s="6" t="str">
        <f>IFERROR(IF('ORDER Form'!V282="","",'ORDER Form'!A282&amp;""),"")</f>
        <v/>
      </c>
      <c r="D281" s="6" t="str">
        <f>IFERROR(IF('ORDER Form'!V282="","",'ORDER Form'!D282&amp;""),"")</f>
        <v/>
      </c>
      <c r="E281" s="6" t="str">
        <f>IFERROR('ORDER Form'!V282,"")</f>
        <v/>
      </c>
      <c r="F281" s="1" t="str">
        <f ca="1">IFERROR('ORDER Form'!W282,"")</f>
        <v/>
      </c>
      <c r="G281" s="1" t="str">
        <f ca="1">IFERROR('ORDER Form'!X282,"")</f>
        <v/>
      </c>
      <c r="H281" s="1" t="str">
        <f>IFERROR('ORDER Form'!Y282,"")</f>
        <v/>
      </c>
    </row>
    <row r="282" spans="1:8" ht="15" customHeight="1" x14ac:dyDescent="0.25">
      <c r="A282" s="6" t="str">
        <f>IFERROR(IF('ORDER Form'!V283="","",283),"")</f>
        <v/>
      </c>
      <c r="B282" s="6" t="str">
        <f>IFERROR(IF('ORDER Form'!V283="","",IFERROR(INDEX('PRODUCT DATA'!$A$2:$A$58,MATCH('ORDER Form'!$N283,'PRODUCT DATA'!$B$2:$B$58,0)),'ORDER Form'!$M283)&amp;""),"")</f>
        <v/>
      </c>
      <c r="C282" s="6" t="str">
        <f>IFERROR(IF('ORDER Form'!V283="","",'ORDER Form'!A283&amp;""),"")</f>
        <v/>
      </c>
      <c r="D282" s="6" t="str">
        <f>IFERROR(IF('ORDER Form'!V283="","",'ORDER Form'!D283&amp;""),"")</f>
        <v/>
      </c>
      <c r="E282" s="6" t="str">
        <f>IFERROR('ORDER Form'!V283,"")</f>
        <v/>
      </c>
      <c r="F282" s="1" t="str">
        <f ca="1">IFERROR('ORDER Form'!W283,"")</f>
        <v/>
      </c>
      <c r="G282" s="1" t="str">
        <f ca="1">IFERROR('ORDER Form'!X283,"")</f>
        <v/>
      </c>
      <c r="H282" s="1" t="str">
        <f>IFERROR('ORDER Form'!Y283,"")</f>
        <v/>
      </c>
    </row>
    <row r="283" spans="1:8" ht="15" customHeight="1" x14ac:dyDescent="0.25">
      <c r="A283" s="6" t="str">
        <f>IFERROR(IF('ORDER Form'!V284="","",284),"")</f>
        <v/>
      </c>
      <c r="B283" s="6" t="str">
        <f>IFERROR(IF('ORDER Form'!V284="","",IFERROR(INDEX('PRODUCT DATA'!$A$2:$A$58,MATCH('ORDER Form'!$N284,'PRODUCT DATA'!$B$2:$B$58,0)),'ORDER Form'!$M284)&amp;""),"")</f>
        <v/>
      </c>
      <c r="C283" s="6" t="str">
        <f>IFERROR(IF('ORDER Form'!V284="","",'ORDER Form'!A284&amp;""),"")</f>
        <v/>
      </c>
      <c r="D283" s="6" t="str">
        <f>IFERROR(IF('ORDER Form'!V284="","",'ORDER Form'!D284&amp;""),"")</f>
        <v/>
      </c>
      <c r="E283" s="6" t="str">
        <f>IFERROR('ORDER Form'!V284,"")</f>
        <v/>
      </c>
      <c r="F283" s="1" t="str">
        <f ca="1">IFERROR('ORDER Form'!W284,"")</f>
        <v/>
      </c>
      <c r="G283" s="1" t="str">
        <f ca="1">IFERROR('ORDER Form'!X284,"")</f>
        <v/>
      </c>
      <c r="H283" s="1" t="str">
        <f>IFERROR('ORDER Form'!Y284,"")</f>
        <v/>
      </c>
    </row>
    <row r="284" spans="1:8" ht="15" customHeight="1" x14ac:dyDescent="0.25">
      <c r="A284" s="6" t="str">
        <f>IFERROR(IF('ORDER Form'!V285="","",285),"")</f>
        <v/>
      </c>
      <c r="B284" s="6" t="str">
        <f>IFERROR(IF('ORDER Form'!V285="","",IFERROR(INDEX('PRODUCT DATA'!$A$2:$A$58,MATCH('ORDER Form'!$N285,'PRODUCT DATA'!$B$2:$B$58,0)),'ORDER Form'!$M285)&amp;""),"")</f>
        <v/>
      </c>
      <c r="C284" s="6" t="str">
        <f>IFERROR(IF('ORDER Form'!V285="","",'ORDER Form'!A285&amp;""),"")</f>
        <v/>
      </c>
      <c r="D284" s="6" t="str">
        <f>IFERROR(IF('ORDER Form'!V285="","",'ORDER Form'!D285&amp;""),"")</f>
        <v/>
      </c>
      <c r="E284" s="6" t="str">
        <f>IFERROR('ORDER Form'!V285,"")</f>
        <v/>
      </c>
      <c r="F284" s="1" t="str">
        <f ca="1">IFERROR('ORDER Form'!W285,"")</f>
        <v/>
      </c>
      <c r="G284" s="1" t="str">
        <f ca="1">IFERROR('ORDER Form'!X285,"")</f>
        <v/>
      </c>
      <c r="H284" s="1" t="str">
        <f>IFERROR('ORDER Form'!Y285,"")</f>
        <v/>
      </c>
    </row>
    <row r="285" spans="1:8" ht="15" customHeight="1" x14ac:dyDescent="0.25">
      <c r="A285" s="6" t="str">
        <f>IFERROR(IF('ORDER Form'!V286="","",286),"")</f>
        <v/>
      </c>
      <c r="B285" s="6" t="str">
        <f>IFERROR(IF('ORDER Form'!V286="","",IFERROR(INDEX('PRODUCT DATA'!$A$2:$A$58,MATCH('ORDER Form'!$N286,'PRODUCT DATA'!$B$2:$B$58,0)),'ORDER Form'!$M286)&amp;""),"")</f>
        <v/>
      </c>
      <c r="C285" s="6" t="str">
        <f>IFERROR(IF('ORDER Form'!V286="","",'ORDER Form'!A286&amp;""),"")</f>
        <v/>
      </c>
      <c r="D285" s="6" t="str">
        <f>IFERROR(IF('ORDER Form'!V286="","",'ORDER Form'!D286&amp;""),"")</f>
        <v/>
      </c>
      <c r="E285" s="6" t="str">
        <f>IFERROR('ORDER Form'!V286,"")</f>
        <v/>
      </c>
      <c r="F285" s="1" t="str">
        <f ca="1">IFERROR('ORDER Form'!W286,"")</f>
        <v/>
      </c>
      <c r="G285" s="1" t="str">
        <f ca="1">IFERROR('ORDER Form'!X286,"")</f>
        <v/>
      </c>
      <c r="H285" s="1" t="str">
        <f>IFERROR('ORDER Form'!Y286,"")</f>
        <v/>
      </c>
    </row>
    <row r="286" spans="1:8" ht="15" customHeight="1" x14ac:dyDescent="0.25">
      <c r="A286" s="6" t="str">
        <f>IFERROR(IF('ORDER Form'!V287="","",287),"")</f>
        <v/>
      </c>
      <c r="B286" s="6" t="str">
        <f>IFERROR(IF('ORDER Form'!V287="","",IFERROR(INDEX('PRODUCT DATA'!$A$2:$A$58,MATCH('ORDER Form'!$N287,'PRODUCT DATA'!$B$2:$B$58,0)),'ORDER Form'!$M287)&amp;""),"")</f>
        <v/>
      </c>
      <c r="C286" s="6" t="str">
        <f>IFERROR(IF('ORDER Form'!V287="","",'ORDER Form'!A287&amp;""),"")</f>
        <v/>
      </c>
      <c r="D286" s="6" t="str">
        <f>IFERROR(IF('ORDER Form'!V287="","",'ORDER Form'!D287&amp;""),"")</f>
        <v/>
      </c>
      <c r="E286" s="6" t="str">
        <f>IFERROR('ORDER Form'!V287,"")</f>
        <v/>
      </c>
      <c r="F286" s="1" t="str">
        <f ca="1">IFERROR('ORDER Form'!W287,"")</f>
        <v/>
      </c>
      <c r="G286" s="1" t="str">
        <f ca="1">IFERROR('ORDER Form'!X287,"")</f>
        <v/>
      </c>
      <c r="H286" s="1" t="str">
        <f>IFERROR('ORDER Form'!Y287,"")</f>
        <v/>
      </c>
    </row>
    <row r="287" spans="1:8" ht="15" customHeight="1" x14ac:dyDescent="0.25">
      <c r="A287" s="6" t="str">
        <f>IFERROR(IF('ORDER Form'!V288="","",288),"")</f>
        <v/>
      </c>
      <c r="B287" s="6" t="str">
        <f>IFERROR(IF('ORDER Form'!V288="","",IFERROR(INDEX('PRODUCT DATA'!$A$2:$A$58,MATCH('ORDER Form'!$N288,'PRODUCT DATA'!$B$2:$B$58,0)),'ORDER Form'!$M288)&amp;""),"")</f>
        <v/>
      </c>
      <c r="C287" s="6" t="str">
        <f>IFERROR(IF('ORDER Form'!V288="","",'ORDER Form'!A288&amp;""),"")</f>
        <v/>
      </c>
      <c r="D287" s="6" t="str">
        <f>IFERROR(IF('ORDER Form'!V288="","",'ORDER Form'!D288&amp;""),"")</f>
        <v/>
      </c>
      <c r="E287" s="6" t="str">
        <f>IFERROR('ORDER Form'!V288,"")</f>
        <v/>
      </c>
      <c r="F287" s="1" t="str">
        <f ca="1">IFERROR('ORDER Form'!W288,"")</f>
        <v/>
      </c>
      <c r="G287" s="1" t="str">
        <f ca="1">IFERROR('ORDER Form'!X288,"")</f>
        <v/>
      </c>
      <c r="H287" s="1" t="str">
        <f>IFERROR('ORDER Form'!Y288,"")</f>
        <v/>
      </c>
    </row>
    <row r="288" spans="1:8" ht="15" customHeight="1" x14ac:dyDescent="0.25">
      <c r="A288" s="6" t="str">
        <f>IFERROR(IF('ORDER Form'!V289="","",289),"")</f>
        <v/>
      </c>
      <c r="B288" s="6" t="str">
        <f>IFERROR(IF('ORDER Form'!V289="","",IFERROR(INDEX('PRODUCT DATA'!$A$2:$A$58,MATCH('ORDER Form'!$N289,'PRODUCT DATA'!$B$2:$B$58,0)),'ORDER Form'!$M289)&amp;""),"")</f>
        <v/>
      </c>
      <c r="C288" s="6" t="str">
        <f>IFERROR(IF('ORDER Form'!V289="","",'ORDER Form'!A289&amp;""),"")</f>
        <v/>
      </c>
      <c r="D288" s="6" t="str">
        <f>IFERROR(IF('ORDER Form'!V289="","",'ORDER Form'!D289&amp;""),"")</f>
        <v/>
      </c>
      <c r="E288" s="6" t="str">
        <f>IFERROR('ORDER Form'!V289,"")</f>
        <v/>
      </c>
      <c r="F288" s="1" t="str">
        <f ca="1">IFERROR('ORDER Form'!W289,"")</f>
        <v/>
      </c>
      <c r="G288" s="1" t="str">
        <f ca="1">IFERROR('ORDER Form'!X289,"")</f>
        <v/>
      </c>
      <c r="H288" s="1" t="str">
        <f>IFERROR('ORDER Form'!Y289,"")</f>
        <v/>
      </c>
    </row>
    <row r="289" spans="1:8" ht="15" customHeight="1" x14ac:dyDescent="0.25">
      <c r="A289" s="6" t="str">
        <f>IFERROR(IF('ORDER Form'!V290="","",290),"")</f>
        <v/>
      </c>
      <c r="B289" s="6" t="str">
        <f>IFERROR(IF('ORDER Form'!V290="","",IFERROR(INDEX('PRODUCT DATA'!$A$2:$A$58,MATCH('ORDER Form'!$N290,'PRODUCT DATA'!$B$2:$B$58,0)),'ORDER Form'!$M290)&amp;""),"")</f>
        <v/>
      </c>
      <c r="C289" s="6" t="str">
        <f>IFERROR(IF('ORDER Form'!V290="","",'ORDER Form'!A290&amp;""),"")</f>
        <v/>
      </c>
      <c r="D289" s="6" t="str">
        <f>IFERROR(IF('ORDER Form'!V290="","",'ORDER Form'!D290&amp;""),"")</f>
        <v/>
      </c>
      <c r="E289" s="6" t="str">
        <f>IFERROR('ORDER Form'!V290,"")</f>
        <v/>
      </c>
      <c r="F289" s="1" t="str">
        <f ca="1">IFERROR('ORDER Form'!W290,"")</f>
        <v/>
      </c>
      <c r="G289" s="1" t="str">
        <f ca="1">IFERROR('ORDER Form'!X290,"")</f>
        <v/>
      </c>
      <c r="H289" s="1" t="str">
        <f>IFERROR('ORDER Form'!Y290,"")</f>
        <v/>
      </c>
    </row>
    <row r="290" spans="1:8" ht="15" customHeight="1" x14ac:dyDescent="0.25">
      <c r="A290" s="6" t="str">
        <f>IFERROR(IF('ORDER Form'!V291="","",291),"")</f>
        <v/>
      </c>
      <c r="B290" s="6" t="str">
        <f>IFERROR(IF('ORDER Form'!V291="","",IFERROR(INDEX('PRODUCT DATA'!$A$2:$A$58,MATCH('ORDER Form'!$N291,'PRODUCT DATA'!$B$2:$B$58,0)),'ORDER Form'!$M291)&amp;""),"")</f>
        <v/>
      </c>
      <c r="C290" s="6" t="str">
        <f>IFERROR(IF('ORDER Form'!V291="","",'ORDER Form'!A291&amp;""),"")</f>
        <v/>
      </c>
      <c r="D290" s="6" t="str">
        <f>IFERROR(IF('ORDER Form'!V291="","",'ORDER Form'!D291&amp;""),"")</f>
        <v/>
      </c>
      <c r="E290" s="6" t="str">
        <f>IFERROR('ORDER Form'!V291,"")</f>
        <v/>
      </c>
      <c r="F290" s="1" t="str">
        <f ca="1">IFERROR('ORDER Form'!W291,"")</f>
        <v/>
      </c>
      <c r="G290" s="1" t="str">
        <f ca="1">IFERROR('ORDER Form'!X291,"")</f>
        <v/>
      </c>
      <c r="H290" s="1" t="str">
        <f>IFERROR('ORDER Form'!Y291,"")</f>
        <v/>
      </c>
    </row>
    <row r="291" spans="1:8" ht="15" customHeight="1" x14ac:dyDescent="0.25">
      <c r="A291" s="6" t="str">
        <f>IFERROR(IF('ORDER Form'!V292="","",292),"")</f>
        <v/>
      </c>
      <c r="B291" s="6" t="str">
        <f>IFERROR(IF('ORDER Form'!V292="","",IFERROR(INDEX('PRODUCT DATA'!$A$2:$A$58,MATCH('ORDER Form'!$N292,'PRODUCT DATA'!$B$2:$B$58,0)),'ORDER Form'!$M292)&amp;""),"")</f>
        <v/>
      </c>
      <c r="C291" s="6" t="str">
        <f>IFERROR(IF('ORDER Form'!V292="","",'ORDER Form'!A292&amp;""),"")</f>
        <v/>
      </c>
      <c r="D291" s="6" t="str">
        <f>IFERROR(IF('ORDER Form'!V292="","",'ORDER Form'!D292&amp;""),"")</f>
        <v/>
      </c>
      <c r="E291" s="6" t="str">
        <f>IFERROR('ORDER Form'!V292,"")</f>
        <v/>
      </c>
      <c r="F291" s="1" t="str">
        <f ca="1">IFERROR('ORDER Form'!W292,"")</f>
        <v/>
      </c>
      <c r="G291" s="1" t="str">
        <f ca="1">IFERROR('ORDER Form'!X292,"")</f>
        <v/>
      </c>
      <c r="H291" s="1" t="str">
        <f>IFERROR('ORDER Form'!Y292,"")</f>
        <v/>
      </c>
    </row>
    <row r="292" spans="1:8" ht="15" customHeight="1" x14ac:dyDescent="0.25">
      <c r="A292" s="6" t="str">
        <f>IFERROR(IF('ORDER Form'!V293="","",293),"")</f>
        <v/>
      </c>
      <c r="B292" s="6" t="str">
        <f>IFERROR(IF('ORDER Form'!V293="","",IFERROR(INDEX('PRODUCT DATA'!$A$2:$A$58,MATCH('ORDER Form'!$N293,'PRODUCT DATA'!$B$2:$B$58,0)),'ORDER Form'!$M293)&amp;""),"")</f>
        <v/>
      </c>
      <c r="C292" s="6" t="str">
        <f>IFERROR(IF('ORDER Form'!V293="","",'ORDER Form'!A293&amp;""),"")</f>
        <v/>
      </c>
      <c r="D292" s="6" t="str">
        <f>IFERROR(IF('ORDER Form'!V293="","",'ORDER Form'!D293&amp;""),"")</f>
        <v/>
      </c>
      <c r="E292" s="6" t="str">
        <f>IFERROR('ORDER Form'!V293,"")</f>
        <v/>
      </c>
      <c r="F292" s="1" t="str">
        <f ca="1">IFERROR('ORDER Form'!W293,"")</f>
        <v/>
      </c>
      <c r="G292" s="1" t="str">
        <f ca="1">IFERROR('ORDER Form'!X293,"")</f>
        <v/>
      </c>
      <c r="H292" s="1" t="str">
        <f>IFERROR('ORDER Form'!Y293,"")</f>
        <v/>
      </c>
    </row>
    <row r="293" spans="1:8" ht="15" customHeight="1" x14ac:dyDescent="0.25">
      <c r="A293" s="6" t="str">
        <f>IFERROR(IF('ORDER Form'!V294="","",294),"")</f>
        <v/>
      </c>
      <c r="B293" s="6" t="str">
        <f>IFERROR(IF('ORDER Form'!V294="","",IFERROR(INDEX('PRODUCT DATA'!$A$2:$A$58,MATCH('ORDER Form'!$N294,'PRODUCT DATA'!$B$2:$B$58,0)),'ORDER Form'!$M294)&amp;""),"")</f>
        <v/>
      </c>
      <c r="C293" s="6" t="str">
        <f>IFERROR(IF('ORDER Form'!V294="","",'ORDER Form'!A294&amp;""),"")</f>
        <v/>
      </c>
      <c r="D293" s="6" t="str">
        <f>IFERROR(IF('ORDER Form'!V294="","",'ORDER Form'!D294&amp;""),"")</f>
        <v/>
      </c>
      <c r="E293" s="6" t="str">
        <f>IFERROR('ORDER Form'!V294,"")</f>
        <v/>
      </c>
      <c r="F293" s="1" t="str">
        <f ca="1">IFERROR('ORDER Form'!W294,"")</f>
        <v/>
      </c>
      <c r="G293" s="1" t="str">
        <f ca="1">IFERROR('ORDER Form'!X294,"")</f>
        <v/>
      </c>
      <c r="H293" s="1" t="str">
        <f>IFERROR('ORDER Form'!Y294,"")</f>
        <v/>
      </c>
    </row>
    <row r="294" spans="1:8" ht="15" customHeight="1" x14ac:dyDescent="0.25">
      <c r="A294" s="6" t="str">
        <f>IFERROR(IF('ORDER Form'!V295="","",295),"")</f>
        <v/>
      </c>
      <c r="B294" s="6" t="str">
        <f>IFERROR(IF('ORDER Form'!V295="","",IFERROR(INDEX('PRODUCT DATA'!$A$2:$A$58,MATCH('ORDER Form'!$N295,'PRODUCT DATA'!$B$2:$B$58,0)),'ORDER Form'!$M295)&amp;""),"")</f>
        <v/>
      </c>
      <c r="C294" s="6" t="str">
        <f>IFERROR(IF('ORDER Form'!V295="","",'ORDER Form'!A295&amp;""),"")</f>
        <v/>
      </c>
      <c r="D294" s="6" t="str">
        <f>IFERROR(IF('ORDER Form'!V295="","",'ORDER Form'!D295&amp;""),"")</f>
        <v/>
      </c>
      <c r="E294" s="6" t="str">
        <f>IFERROR('ORDER Form'!V295,"")</f>
        <v/>
      </c>
      <c r="F294" s="1" t="str">
        <f ca="1">IFERROR('ORDER Form'!W295,"")</f>
        <v/>
      </c>
      <c r="G294" s="1" t="str">
        <f ca="1">IFERROR('ORDER Form'!X295,"")</f>
        <v/>
      </c>
      <c r="H294" s="1" t="str">
        <f>IFERROR('ORDER Form'!Y295,"")</f>
        <v/>
      </c>
    </row>
    <row r="295" spans="1:8" ht="15" customHeight="1" x14ac:dyDescent="0.25">
      <c r="A295" s="6" t="str">
        <f>IFERROR(IF('ORDER Form'!V296="","",296),"")</f>
        <v/>
      </c>
      <c r="B295" s="6" t="str">
        <f>IFERROR(IF('ORDER Form'!V296="","",IFERROR(INDEX('PRODUCT DATA'!$A$2:$A$58,MATCH('ORDER Form'!$N296,'PRODUCT DATA'!$B$2:$B$58,0)),'ORDER Form'!$M296)&amp;""),"")</f>
        <v/>
      </c>
      <c r="C295" s="6" t="str">
        <f>IFERROR(IF('ORDER Form'!V296="","",'ORDER Form'!A296&amp;""),"")</f>
        <v/>
      </c>
      <c r="D295" s="6" t="str">
        <f>IFERROR(IF('ORDER Form'!V296="","",'ORDER Form'!D296&amp;""),"")</f>
        <v/>
      </c>
      <c r="E295" s="6" t="str">
        <f>IFERROR('ORDER Form'!V296,"")</f>
        <v/>
      </c>
      <c r="F295" s="1" t="str">
        <f ca="1">IFERROR('ORDER Form'!W296,"")</f>
        <v/>
      </c>
      <c r="G295" s="1" t="str">
        <f ca="1">IFERROR('ORDER Form'!X296,"")</f>
        <v/>
      </c>
      <c r="H295" s="1" t="str">
        <f>IFERROR('ORDER Form'!Y296,"")</f>
        <v/>
      </c>
    </row>
    <row r="296" spans="1:8" ht="15" customHeight="1" x14ac:dyDescent="0.25">
      <c r="A296" s="6" t="str">
        <f>IFERROR(IF('ORDER Form'!V297="","",297),"")</f>
        <v/>
      </c>
      <c r="B296" s="6" t="str">
        <f>IFERROR(IF('ORDER Form'!V297="","",IFERROR(INDEX('PRODUCT DATA'!$A$2:$A$58,MATCH('ORDER Form'!$N297,'PRODUCT DATA'!$B$2:$B$58,0)),'ORDER Form'!$M297)&amp;""),"")</f>
        <v/>
      </c>
      <c r="C296" s="6" t="str">
        <f>IFERROR(IF('ORDER Form'!V297="","",'ORDER Form'!A297&amp;""),"")</f>
        <v/>
      </c>
      <c r="D296" s="6" t="str">
        <f>IFERROR(IF('ORDER Form'!V297="","",'ORDER Form'!D297&amp;""),"")</f>
        <v/>
      </c>
      <c r="E296" s="6" t="str">
        <f>IFERROR('ORDER Form'!V297,"")</f>
        <v/>
      </c>
      <c r="F296" s="1" t="str">
        <f ca="1">IFERROR('ORDER Form'!W297,"")</f>
        <v/>
      </c>
      <c r="G296" s="1" t="str">
        <f ca="1">IFERROR('ORDER Form'!X297,"")</f>
        <v/>
      </c>
      <c r="H296" s="1" t="str">
        <f>IFERROR('ORDER Form'!Y297,"")</f>
        <v/>
      </c>
    </row>
    <row r="297" spans="1:8" ht="15" customHeight="1" x14ac:dyDescent="0.25">
      <c r="A297" s="6" t="str">
        <f>IFERROR(IF('ORDER Form'!V298="","",298),"")</f>
        <v/>
      </c>
      <c r="B297" s="6" t="str">
        <f>IFERROR(IF('ORDER Form'!V298="","",IFERROR(INDEX('PRODUCT DATA'!$A$2:$A$58,MATCH('ORDER Form'!$N298,'PRODUCT DATA'!$B$2:$B$58,0)),'ORDER Form'!$M298)&amp;""),"")</f>
        <v/>
      </c>
      <c r="C297" s="6" t="str">
        <f>IFERROR(IF('ORDER Form'!V298="","",'ORDER Form'!A298&amp;""),"")</f>
        <v/>
      </c>
      <c r="D297" s="6" t="str">
        <f>IFERROR(IF('ORDER Form'!V298="","",'ORDER Form'!D298&amp;""),"")</f>
        <v/>
      </c>
      <c r="E297" s="6" t="str">
        <f>IFERROR('ORDER Form'!V298,"")</f>
        <v/>
      </c>
      <c r="F297" s="1" t="str">
        <f ca="1">IFERROR('ORDER Form'!W298,"")</f>
        <v/>
      </c>
      <c r="G297" s="1" t="str">
        <f ca="1">IFERROR('ORDER Form'!X298,"")</f>
        <v/>
      </c>
      <c r="H297" s="1" t="str">
        <f>IFERROR('ORDER Form'!Y298,"")</f>
        <v/>
      </c>
    </row>
    <row r="298" spans="1:8" ht="15" customHeight="1" x14ac:dyDescent="0.25">
      <c r="A298" s="6" t="str">
        <f>IFERROR(IF('ORDER Form'!V299="","",299),"")</f>
        <v/>
      </c>
      <c r="B298" s="6" t="str">
        <f>IFERROR(IF('ORDER Form'!V299="","",IFERROR(INDEX('PRODUCT DATA'!$A$2:$A$58,MATCH('ORDER Form'!$N299,'PRODUCT DATA'!$B$2:$B$58,0)),'ORDER Form'!$M299)&amp;""),"")</f>
        <v/>
      </c>
      <c r="C298" s="6" t="str">
        <f>IFERROR(IF('ORDER Form'!V299="","",'ORDER Form'!A299&amp;""),"")</f>
        <v/>
      </c>
      <c r="D298" s="6" t="str">
        <f>IFERROR(IF('ORDER Form'!V299="","",'ORDER Form'!D299&amp;""),"")</f>
        <v/>
      </c>
      <c r="E298" s="6" t="str">
        <f>IFERROR('ORDER Form'!V299,"")</f>
        <v/>
      </c>
      <c r="F298" s="1" t="str">
        <f ca="1">IFERROR('ORDER Form'!W299,"")</f>
        <v/>
      </c>
      <c r="G298" s="1" t="str">
        <f ca="1">IFERROR('ORDER Form'!X299,"")</f>
        <v/>
      </c>
      <c r="H298" s="1" t="str">
        <f>IFERROR('ORDER Form'!Y299,"")</f>
        <v/>
      </c>
    </row>
    <row r="299" spans="1:8" ht="15" customHeight="1" x14ac:dyDescent="0.25">
      <c r="A299" s="6" t="str">
        <f>IFERROR(IF('ORDER Form'!V300="","",300),"")</f>
        <v/>
      </c>
      <c r="B299" s="6" t="str">
        <f>IFERROR(IF('ORDER Form'!V300="","",IFERROR(INDEX('PRODUCT DATA'!$A$2:$A$58,MATCH('ORDER Form'!$N300,'PRODUCT DATA'!$B$2:$B$58,0)),'ORDER Form'!$M300)&amp;""),"")</f>
        <v/>
      </c>
      <c r="C299" s="6" t="str">
        <f>IFERROR(IF('ORDER Form'!V300="","",'ORDER Form'!A300&amp;""),"")</f>
        <v/>
      </c>
      <c r="D299" s="6" t="str">
        <f>IFERROR(IF('ORDER Form'!V300="","",'ORDER Form'!D300&amp;""),"")</f>
        <v/>
      </c>
      <c r="E299" s="6" t="str">
        <f>IFERROR('ORDER Form'!V300,"")</f>
        <v/>
      </c>
      <c r="F299" s="1" t="str">
        <f ca="1">IFERROR('ORDER Form'!W300,"")</f>
        <v/>
      </c>
      <c r="G299" s="1" t="str">
        <f ca="1">IFERROR('ORDER Form'!X300,"")</f>
        <v/>
      </c>
      <c r="H299" s="1" t="str">
        <f>IFERROR('ORDER Form'!Y300,"")</f>
        <v/>
      </c>
    </row>
    <row r="300" spans="1:8" ht="15" customHeight="1" x14ac:dyDescent="0.25">
      <c r="A300" s="6" t="str">
        <f>IFERROR(IF('ORDER Form'!V301="","",301),"")</f>
        <v/>
      </c>
      <c r="B300" s="6" t="str">
        <f>IFERROR(IF('ORDER Form'!V301="","",IFERROR(INDEX('PRODUCT DATA'!$A$2:$A$58,MATCH('ORDER Form'!$N301,'PRODUCT DATA'!$B$2:$B$58,0)),'ORDER Form'!$M301)&amp;""),"")</f>
        <v/>
      </c>
      <c r="C300" s="6" t="str">
        <f>IFERROR(IF('ORDER Form'!V301="","",'ORDER Form'!A301&amp;""),"")</f>
        <v/>
      </c>
      <c r="D300" s="6" t="str">
        <f>IFERROR(IF('ORDER Form'!V301="","",'ORDER Form'!D301&amp;""),"")</f>
        <v/>
      </c>
      <c r="E300" s="6" t="str">
        <f>IFERROR('ORDER Form'!V301,"")</f>
        <v/>
      </c>
      <c r="F300" s="1" t="str">
        <f ca="1">IFERROR('ORDER Form'!W301,"")</f>
        <v/>
      </c>
      <c r="G300" s="1" t="str">
        <f ca="1">IFERROR('ORDER Form'!X301,"")</f>
        <v/>
      </c>
      <c r="H300" s="1" t="str">
        <f>IFERROR('ORDER Form'!Y301,"")</f>
        <v/>
      </c>
    </row>
    <row r="301" spans="1:8" ht="15" customHeight="1" x14ac:dyDescent="0.25">
      <c r="A301" s="6" t="str">
        <f>IFERROR(IF('ORDER Form'!V302="","",302),"")</f>
        <v/>
      </c>
      <c r="B301" s="6" t="str">
        <f>IFERROR(IF('ORDER Form'!V302="","",IFERROR(INDEX('PRODUCT DATA'!$A$2:$A$58,MATCH('ORDER Form'!$N302,'PRODUCT DATA'!$B$2:$B$58,0)),'ORDER Form'!$M302)&amp;""),"")</f>
        <v/>
      </c>
      <c r="C301" s="6" t="str">
        <f>IFERROR(IF('ORDER Form'!V302="","",'ORDER Form'!A302&amp;""),"")</f>
        <v/>
      </c>
      <c r="D301" s="6" t="str">
        <f>IFERROR(IF('ORDER Form'!V302="","",'ORDER Form'!D302&amp;""),"")</f>
        <v/>
      </c>
      <c r="E301" s="6" t="str">
        <f>IFERROR('ORDER Form'!V302,"")</f>
        <v/>
      </c>
      <c r="F301" s="1" t="str">
        <f ca="1">IFERROR('ORDER Form'!W302,"")</f>
        <v/>
      </c>
      <c r="G301" s="1" t="str">
        <f ca="1">IFERROR('ORDER Form'!X302,"")</f>
        <v/>
      </c>
      <c r="H301" s="1" t="str">
        <f>IFERROR('ORDER Form'!Y302,"")</f>
        <v/>
      </c>
    </row>
    <row r="302" spans="1:8" ht="15" customHeight="1" x14ac:dyDescent="0.25">
      <c r="A302" s="6" t="str">
        <f>IFERROR(IF('ORDER Form'!V303="","",303),"")</f>
        <v/>
      </c>
      <c r="B302" s="6" t="str">
        <f>IFERROR(IF('ORDER Form'!V303="","",IFERROR(INDEX('PRODUCT DATA'!$A$2:$A$58,MATCH('ORDER Form'!$N303,'PRODUCT DATA'!$B$2:$B$58,0)),'ORDER Form'!$M303)&amp;""),"")</f>
        <v/>
      </c>
      <c r="C302" s="6" t="str">
        <f>IFERROR(IF('ORDER Form'!V303="","",'ORDER Form'!A303&amp;""),"")</f>
        <v/>
      </c>
      <c r="D302" s="6" t="str">
        <f>IFERROR(IF('ORDER Form'!V303="","",'ORDER Form'!D303&amp;""),"")</f>
        <v/>
      </c>
      <c r="E302" s="6" t="str">
        <f>IFERROR('ORDER Form'!V303,"")</f>
        <v/>
      </c>
      <c r="F302" s="1" t="str">
        <f ca="1">IFERROR('ORDER Form'!W303,"")</f>
        <v/>
      </c>
      <c r="G302" s="1" t="str">
        <f ca="1">IFERROR('ORDER Form'!X303,"")</f>
        <v/>
      </c>
      <c r="H302" s="1" t="str">
        <f>IFERROR('ORDER Form'!Y303,"")</f>
        <v/>
      </c>
    </row>
    <row r="303" spans="1:8" ht="15" customHeight="1" x14ac:dyDescent="0.25">
      <c r="A303" s="6" t="str">
        <f>IFERROR(IF('ORDER Form'!V304="","",304),"")</f>
        <v/>
      </c>
      <c r="B303" s="6" t="str">
        <f>IFERROR(IF('ORDER Form'!V304="","",IFERROR(INDEX('PRODUCT DATA'!$A$2:$A$58,MATCH('ORDER Form'!$N304,'PRODUCT DATA'!$B$2:$B$58,0)),'ORDER Form'!$M304)&amp;""),"")</f>
        <v/>
      </c>
      <c r="C303" s="6" t="str">
        <f>IFERROR(IF('ORDER Form'!V304="","",'ORDER Form'!A304&amp;""),"")</f>
        <v/>
      </c>
      <c r="D303" s="6" t="str">
        <f>IFERROR(IF('ORDER Form'!V304="","",'ORDER Form'!D304&amp;""),"")</f>
        <v/>
      </c>
      <c r="E303" s="6" t="str">
        <f>IFERROR('ORDER Form'!V304,"")</f>
        <v/>
      </c>
      <c r="F303" s="1" t="str">
        <f ca="1">IFERROR('ORDER Form'!W304,"")</f>
        <v/>
      </c>
      <c r="G303" s="1" t="str">
        <f ca="1">IFERROR('ORDER Form'!X304,"")</f>
        <v/>
      </c>
      <c r="H303" s="1" t="str">
        <f>IFERROR('ORDER Form'!Y304,"")</f>
        <v/>
      </c>
    </row>
    <row r="304" spans="1:8" ht="15" customHeight="1" x14ac:dyDescent="0.25">
      <c r="A304" s="6" t="str">
        <f>IFERROR(IF('ORDER Form'!V305="","",305),"")</f>
        <v/>
      </c>
      <c r="B304" s="6" t="str">
        <f>IFERROR(IF('ORDER Form'!V305="","",IFERROR(INDEX('PRODUCT DATA'!$A$2:$A$58,MATCH('ORDER Form'!$N305,'PRODUCT DATA'!$B$2:$B$58,0)),'ORDER Form'!$M305)&amp;""),"")</f>
        <v/>
      </c>
      <c r="C304" s="6" t="str">
        <f>IFERROR(IF('ORDER Form'!V305="","",'ORDER Form'!A305&amp;""),"")</f>
        <v/>
      </c>
      <c r="D304" s="6" t="str">
        <f>IFERROR(IF('ORDER Form'!V305="","",'ORDER Form'!D305&amp;""),"")</f>
        <v/>
      </c>
      <c r="E304" s="6" t="str">
        <f>IFERROR('ORDER Form'!V305,"")</f>
        <v/>
      </c>
      <c r="F304" s="1" t="str">
        <f ca="1">IFERROR('ORDER Form'!W305,"")</f>
        <v/>
      </c>
      <c r="G304" s="1" t="str">
        <f ca="1">IFERROR('ORDER Form'!X305,"")</f>
        <v/>
      </c>
      <c r="H304" s="1" t="str">
        <f>IFERROR('ORDER Form'!Y305,"")</f>
        <v/>
      </c>
    </row>
    <row r="305" spans="1:8" ht="15" customHeight="1" x14ac:dyDescent="0.25">
      <c r="A305" s="6" t="str">
        <f>IFERROR(IF('ORDER Form'!V306="","",306),"")</f>
        <v/>
      </c>
      <c r="B305" s="6" t="str">
        <f>IFERROR(IF('ORDER Form'!V306="","",IFERROR(INDEX('PRODUCT DATA'!$A$2:$A$58,MATCH('ORDER Form'!$N306,'PRODUCT DATA'!$B$2:$B$58,0)),'ORDER Form'!$M306)&amp;""),"")</f>
        <v/>
      </c>
      <c r="C305" s="6" t="str">
        <f>IFERROR(IF('ORDER Form'!V306="","",'ORDER Form'!A306&amp;""),"")</f>
        <v/>
      </c>
      <c r="D305" s="6" t="str">
        <f>IFERROR(IF('ORDER Form'!V306="","",'ORDER Form'!D306&amp;""),"")</f>
        <v/>
      </c>
      <c r="E305" s="6" t="str">
        <f>IFERROR('ORDER Form'!V306,"")</f>
        <v/>
      </c>
      <c r="F305" s="1" t="str">
        <f ca="1">IFERROR('ORDER Form'!W306,"")</f>
        <v/>
      </c>
      <c r="G305" s="1" t="str">
        <f ca="1">IFERROR('ORDER Form'!X306,"")</f>
        <v/>
      </c>
      <c r="H305" s="1" t="str">
        <f>IFERROR('ORDER Form'!Y306,"")</f>
        <v/>
      </c>
    </row>
    <row r="306" spans="1:8" ht="15" customHeight="1" x14ac:dyDescent="0.25">
      <c r="A306" s="6" t="str">
        <f>IFERROR(IF('ORDER Form'!V307="","",307),"")</f>
        <v/>
      </c>
      <c r="B306" s="6" t="str">
        <f>IFERROR(IF('ORDER Form'!V307="","",IFERROR(INDEX('PRODUCT DATA'!$A$2:$A$58,MATCH('ORDER Form'!$N307,'PRODUCT DATA'!$B$2:$B$58,0)),'ORDER Form'!$M307)&amp;""),"")</f>
        <v/>
      </c>
      <c r="C306" s="6" t="str">
        <f>IFERROR(IF('ORDER Form'!V307="","",'ORDER Form'!A307&amp;""),"")</f>
        <v/>
      </c>
      <c r="D306" s="6" t="str">
        <f>IFERROR(IF('ORDER Form'!V307="","",'ORDER Form'!D307&amp;""),"")</f>
        <v/>
      </c>
      <c r="E306" s="6" t="str">
        <f>IFERROR('ORDER Form'!V307,"")</f>
        <v/>
      </c>
      <c r="F306" s="1" t="str">
        <f ca="1">IFERROR('ORDER Form'!W307,"")</f>
        <v/>
      </c>
      <c r="G306" s="1" t="str">
        <f ca="1">IFERROR('ORDER Form'!X307,"")</f>
        <v/>
      </c>
      <c r="H306" s="1" t="str">
        <f>IFERROR('ORDER Form'!Y307,"")</f>
        <v/>
      </c>
    </row>
    <row r="307" spans="1:8" ht="15" customHeight="1" x14ac:dyDescent="0.25">
      <c r="A307" s="6" t="str">
        <f>IFERROR(IF('ORDER Form'!V308="","",308),"")</f>
        <v/>
      </c>
      <c r="B307" s="6" t="str">
        <f>IFERROR(IF('ORDER Form'!V308="","",IFERROR(INDEX('PRODUCT DATA'!$A$2:$A$58,MATCH('ORDER Form'!$N308,'PRODUCT DATA'!$B$2:$B$58,0)),'ORDER Form'!$M308)&amp;""),"")</f>
        <v/>
      </c>
      <c r="C307" s="6" t="str">
        <f>IFERROR(IF('ORDER Form'!V308="","",'ORDER Form'!A308&amp;""),"")</f>
        <v/>
      </c>
      <c r="D307" s="6" t="str">
        <f>IFERROR(IF('ORDER Form'!V308="","",'ORDER Form'!D308&amp;""),"")</f>
        <v/>
      </c>
      <c r="E307" s="6" t="str">
        <f>IFERROR('ORDER Form'!V308,"")</f>
        <v/>
      </c>
      <c r="F307" s="1" t="str">
        <f ca="1">IFERROR('ORDER Form'!W308,"")</f>
        <v/>
      </c>
      <c r="G307" s="1" t="str">
        <f ca="1">IFERROR('ORDER Form'!X308,"")</f>
        <v/>
      </c>
      <c r="H307" s="1" t="str">
        <f>IFERROR('ORDER Form'!Y308,"")</f>
        <v/>
      </c>
    </row>
    <row r="308" spans="1:8" ht="15" customHeight="1" x14ac:dyDescent="0.25">
      <c r="A308" s="6" t="str">
        <f>IFERROR(IF('ORDER Form'!V309="","",309),"")</f>
        <v/>
      </c>
      <c r="B308" s="6" t="str">
        <f>IFERROR(IF('ORDER Form'!V309="","",IFERROR(INDEX('PRODUCT DATA'!$A$2:$A$58,MATCH('ORDER Form'!$N309,'PRODUCT DATA'!$B$2:$B$58,0)),'ORDER Form'!$M309)&amp;""),"")</f>
        <v/>
      </c>
      <c r="C308" s="6" t="str">
        <f>IFERROR(IF('ORDER Form'!V309="","",'ORDER Form'!A309&amp;""),"")</f>
        <v/>
      </c>
      <c r="D308" s="6" t="str">
        <f>IFERROR(IF('ORDER Form'!V309="","",'ORDER Form'!D309&amp;""),"")</f>
        <v/>
      </c>
      <c r="E308" s="6" t="str">
        <f>IFERROR('ORDER Form'!V309,"")</f>
        <v/>
      </c>
      <c r="F308" s="1" t="str">
        <f ca="1">IFERROR('ORDER Form'!W309,"")</f>
        <v/>
      </c>
      <c r="G308" s="1" t="str">
        <f ca="1">IFERROR('ORDER Form'!X309,"")</f>
        <v/>
      </c>
      <c r="H308" s="1" t="str">
        <f>IFERROR('ORDER Form'!Y309,"")</f>
        <v/>
      </c>
    </row>
    <row r="309" spans="1:8" ht="15" customHeight="1" x14ac:dyDescent="0.25">
      <c r="A309" s="6" t="str">
        <f>IFERROR(IF('ORDER Form'!V310="","",310),"")</f>
        <v/>
      </c>
      <c r="B309" s="6" t="str">
        <f>IFERROR(IF('ORDER Form'!V310="","",IFERROR(INDEX('PRODUCT DATA'!$A$2:$A$58,MATCH('ORDER Form'!$N310,'PRODUCT DATA'!$B$2:$B$58,0)),'ORDER Form'!$M310)&amp;""),"")</f>
        <v/>
      </c>
      <c r="C309" s="6" t="str">
        <f>IFERROR(IF('ORDER Form'!V310="","",'ORDER Form'!A310&amp;""),"")</f>
        <v/>
      </c>
      <c r="D309" s="6" t="str">
        <f>IFERROR(IF('ORDER Form'!V310="","",'ORDER Form'!D310&amp;""),"")</f>
        <v/>
      </c>
      <c r="E309" s="6" t="str">
        <f>IFERROR('ORDER Form'!V310,"")</f>
        <v/>
      </c>
      <c r="F309" s="1" t="str">
        <f ca="1">IFERROR('ORDER Form'!W310,"")</f>
        <v/>
      </c>
      <c r="G309" s="1" t="str">
        <f ca="1">IFERROR('ORDER Form'!X310,"")</f>
        <v/>
      </c>
      <c r="H309" s="1" t="str">
        <f>IFERROR('ORDER Form'!Y310,"")</f>
        <v/>
      </c>
    </row>
    <row r="310" spans="1:8" ht="15" customHeight="1" x14ac:dyDescent="0.25">
      <c r="A310" s="6" t="str">
        <f>IFERROR(IF('ORDER Form'!V311="","",311),"")</f>
        <v/>
      </c>
      <c r="B310" s="6" t="str">
        <f>IFERROR(IF('ORDER Form'!V311="","",IFERROR(INDEX('PRODUCT DATA'!$A$2:$A$58,MATCH('ORDER Form'!$N311,'PRODUCT DATA'!$B$2:$B$58,0)),'ORDER Form'!$M311)&amp;""),"")</f>
        <v/>
      </c>
      <c r="C310" s="6" t="str">
        <f>IFERROR(IF('ORDER Form'!V311="","",'ORDER Form'!A311&amp;""),"")</f>
        <v/>
      </c>
      <c r="D310" s="6" t="str">
        <f>IFERROR(IF('ORDER Form'!V311="","",'ORDER Form'!D311&amp;""),"")</f>
        <v/>
      </c>
      <c r="E310" s="6" t="str">
        <f>IFERROR('ORDER Form'!V311,"")</f>
        <v/>
      </c>
      <c r="F310" s="1" t="str">
        <f ca="1">IFERROR('ORDER Form'!W311,"")</f>
        <v/>
      </c>
      <c r="G310" s="1" t="str">
        <f ca="1">IFERROR('ORDER Form'!X311,"")</f>
        <v/>
      </c>
      <c r="H310" s="1" t="str">
        <f>IFERROR('ORDER Form'!Y311,"")</f>
        <v/>
      </c>
    </row>
    <row r="311" spans="1:8" ht="15" customHeight="1" x14ac:dyDescent="0.25">
      <c r="A311" s="6" t="str">
        <f>IFERROR(IF('ORDER Form'!V312="","",312),"")</f>
        <v/>
      </c>
      <c r="B311" s="6" t="str">
        <f>IFERROR(IF('ORDER Form'!V312="","",IFERROR(INDEX('PRODUCT DATA'!$A$2:$A$58,MATCH('ORDER Form'!$N312,'PRODUCT DATA'!$B$2:$B$58,0)),'ORDER Form'!$M312)&amp;""),"")</f>
        <v/>
      </c>
      <c r="C311" s="6" t="str">
        <f>IFERROR(IF('ORDER Form'!V312="","",'ORDER Form'!A312&amp;""),"")</f>
        <v/>
      </c>
      <c r="D311" s="6" t="str">
        <f>IFERROR(IF('ORDER Form'!V312="","",'ORDER Form'!D312&amp;""),"")</f>
        <v/>
      </c>
      <c r="E311" s="6" t="str">
        <f>IFERROR('ORDER Form'!V312,"")</f>
        <v/>
      </c>
      <c r="F311" s="1" t="str">
        <f ca="1">IFERROR('ORDER Form'!W312,"")</f>
        <v/>
      </c>
      <c r="G311" s="1" t="str">
        <f ca="1">IFERROR('ORDER Form'!X312,"")</f>
        <v/>
      </c>
      <c r="H311" s="1" t="str">
        <f>IFERROR('ORDER Form'!Y312,"")</f>
        <v/>
      </c>
    </row>
    <row r="312" spans="1:8" ht="15" customHeight="1" x14ac:dyDescent="0.25">
      <c r="A312" s="6" t="str">
        <f>IFERROR(IF('ORDER Form'!V313="","",313),"")</f>
        <v/>
      </c>
      <c r="B312" s="6" t="str">
        <f>IFERROR(IF('ORDER Form'!V313="","",IFERROR(INDEX('PRODUCT DATA'!$A$2:$A$58,MATCH('ORDER Form'!$N313,'PRODUCT DATA'!$B$2:$B$58,0)),'ORDER Form'!$M313)&amp;""),"")</f>
        <v/>
      </c>
      <c r="C312" s="6" t="str">
        <f>IFERROR(IF('ORDER Form'!V313="","",'ORDER Form'!A313&amp;""),"")</f>
        <v/>
      </c>
      <c r="D312" s="6" t="str">
        <f>IFERROR(IF('ORDER Form'!V313="","",'ORDER Form'!D313&amp;""),"")</f>
        <v/>
      </c>
      <c r="E312" s="6" t="str">
        <f>IFERROR('ORDER Form'!V313,"")</f>
        <v/>
      </c>
      <c r="F312" s="1" t="str">
        <f ca="1">IFERROR('ORDER Form'!W313,"")</f>
        <v/>
      </c>
      <c r="G312" s="1" t="str">
        <f ca="1">IFERROR('ORDER Form'!X313,"")</f>
        <v/>
      </c>
      <c r="H312" s="1" t="str">
        <f>IFERROR('ORDER Form'!Y313,"")</f>
        <v/>
      </c>
    </row>
    <row r="313" spans="1:8" ht="15" customHeight="1" x14ac:dyDescent="0.25">
      <c r="A313" s="6" t="str">
        <f>IFERROR(IF('ORDER Form'!V314="","",314),"")</f>
        <v/>
      </c>
      <c r="B313" s="6" t="str">
        <f>IFERROR(IF('ORDER Form'!V314="","",IFERROR(INDEX('PRODUCT DATA'!$A$2:$A$58,MATCH('ORDER Form'!$N314,'PRODUCT DATA'!$B$2:$B$58,0)),'ORDER Form'!$M314)&amp;""),"")</f>
        <v/>
      </c>
      <c r="C313" s="6" t="str">
        <f>IFERROR(IF('ORDER Form'!V314="","",'ORDER Form'!A314&amp;""),"")</f>
        <v/>
      </c>
      <c r="D313" s="6" t="str">
        <f>IFERROR(IF('ORDER Form'!V314="","",'ORDER Form'!D314&amp;""),"")</f>
        <v/>
      </c>
      <c r="E313" s="6" t="str">
        <f>IFERROR('ORDER Form'!V314,"")</f>
        <v/>
      </c>
      <c r="F313" s="1" t="str">
        <f ca="1">IFERROR('ORDER Form'!W314,"")</f>
        <v/>
      </c>
      <c r="G313" s="1" t="str">
        <f ca="1">IFERROR('ORDER Form'!X314,"")</f>
        <v/>
      </c>
      <c r="H313" s="1" t="str">
        <f>IFERROR('ORDER Form'!Y314,"")</f>
        <v/>
      </c>
    </row>
    <row r="314" spans="1:8" ht="15" customHeight="1" x14ac:dyDescent="0.25">
      <c r="A314" s="6" t="str">
        <f>IFERROR(IF('ORDER Form'!V315="","",315),"")</f>
        <v/>
      </c>
      <c r="B314" s="6" t="str">
        <f>IFERROR(IF('ORDER Form'!V315="","",IFERROR(INDEX('PRODUCT DATA'!$A$2:$A$58,MATCH('ORDER Form'!$N315,'PRODUCT DATA'!$B$2:$B$58,0)),'ORDER Form'!$M315)&amp;""),"")</f>
        <v/>
      </c>
      <c r="C314" s="6" t="str">
        <f>IFERROR(IF('ORDER Form'!V315="","",'ORDER Form'!A315&amp;""),"")</f>
        <v/>
      </c>
      <c r="D314" s="6" t="str">
        <f>IFERROR(IF('ORDER Form'!V315="","",'ORDER Form'!D315&amp;""),"")</f>
        <v/>
      </c>
      <c r="E314" s="6" t="str">
        <f>IFERROR('ORDER Form'!V315,"")</f>
        <v/>
      </c>
      <c r="F314" s="1" t="str">
        <f ca="1">IFERROR('ORDER Form'!W315,"")</f>
        <v/>
      </c>
      <c r="G314" s="1" t="str">
        <f ca="1">IFERROR('ORDER Form'!X315,"")</f>
        <v/>
      </c>
      <c r="H314" s="1" t="str">
        <f>IFERROR('ORDER Form'!Y315,"")</f>
        <v/>
      </c>
    </row>
    <row r="315" spans="1:8" ht="15" customHeight="1" x14ac:dyDescent="0.25">
      <c r="A315" s="6" t="str">
        <f>IFERROR(IF('ORDER Form'!V316="","",316),"")</f>
        <v/>
      </c>
      <c r="B315" s="6" t="str">
        <f>IFERROR(IF('ORDER Form'!V316="","",IFERROR(INDEX('PRODUCT DATA'!$A$2:$A$58,MATCH('ORDER Form'!$N316,'PRODUCT DATA'!$B$2:$B$58,0)),'ORDER Form'!$M316)&amp;""),"")</f>
        <v/>
      </c>
      <c r="C315" s="6" t="str">
        <f>IFERROR(IF('ORDER Form'!V316="","",'ORDER Form'!A316&amp;""),"")</f>
        <v/>
      </c>
      <c r="D315" s="6" t="str">
        <f>IFERROR(IF('ORDER Form'!V316="","",'ORDER Form'!D316&amp;""),"")</f>
        <v/>
      </c>
      <c r="E315" s="6" t="str">
        <f>IFERROR('ORDER Form'!V316,"")</f>
        <v/>
      </c>
      <c r="F315" s="1" t="str">
        <f ca="1">IFERROR('ORDER Form'!W316,"")</f>
        <v/>
      </c>
      <c r="G315" s="1" t="str">
        <f ca="1">IFERROR('ORDER Form'!X316,"")</f>
        <v/>
      </c>
      <c r="H315" s="1" t="str">
        <f>IFERROR('ORDER Form'!Y316,"")</f>
        <v/>
      </c>
    </row>
    <row r="316" spans="1:8" ht="15" customHeight="1" x14ac:dyDescent="0.25">
      <c r="A316" s="6" t="str">
        <f>IFERROR(IF('ORDER Form'!V317="","",317),"")</f>
        <v/>
      </c>
      <c r="B316" s="6" t="str">
        <f>IFERROR(IF('ORDER Form'!V317="","",IFERROR(INDEX('PRODUCT DATA'!$A$2:$A$58,MATCH('ORDER Form'!$N317,'PRODUCT DATA'!$B$2:$B$58,0)),'ORDER Form'!$M317)&amp;""),"")</f>
        <v/>
      </c>
      <c r="C316" s="6" t="str">
        <f>IFERROR(IF('ORDER Form'!V317="","",'ORDER Form'!A317&amp;""),"")</f>
        <v/>
      </c>
      <c r="D316" s="6" t="str">
        <f>IFERROR(IF('ORDER Form'!V317="","",'ORDER Form'!D317&amp;""),"")</f>
        <v/>
      </c>
      <c r="E316" s="6" t="str">
        <f>IFERROR('ORDER Form'!V317,"")</f>
        <v/>
      </c>
      <c r="F316" s="1" t="str">
        <f ca="1">IFERROR('ORDER Form'!W317,"")</f>
        <v/>
      </c>
      <c r="G316" s="1" t="str">
        <f ca="1">IFERROR('ORDER Form'!X317,"")</f>
        <v/>
      </c>
      <c r="H316" s="1" t="str">
        <f>IFERROR('ORDER Form'!Y317,"")</f>
        <v/>
      </c>
    </row>
    <row r="317" spans="1:8" ht="15" customHeight="1" x14ac:dyDescent="0.25">
      <c r="A317" s="6" t="str">
        <f>IFERROR(IF('ORDER Form'!V318="","",318),"")</f>
        <v/>
      </c>
      <c r="B317" s="6" t="str">
        <f>IFERROR(IF('ORDER Form'!V318="","",IFERROR(INDEX('PRODUCT DATA'!$A$2:$A$58,MATCH('ORDER Form'!$N318,'PRODUCT DATA'!$B$2:$B$58,0)),'ORDER Form'!$M318)&amp;""),"")</f>
        <v/>
      </c>
      <c r="C317" s="6" t="str">
        <f>IFERROR(IF('ORDER Form'!V318="","",'ORDER Form'!A318&amp;""),"")</f>
        <v/>
      </c>
      <c r="D317" s="6" t="str">
        <f>IFERROR(IF('ORDER Form'!V318="","",'ORDER Form'!D318&amp;""),"")</f>
        <v/>
      </c>
      <c r="E317" s="6" t="str">
        <f>IFERROR('ORDER Form'!V318,"")</f>
        <v/>
      </c>
      <c r="F317" s="1" t="str">
        <f ca="1">IFERROR('ORDER Form'!W318,"")</f>
        <v/>
      </c>
      <c r="G317" s="1" t="str">
        <f ca="1">IFERROR('ORDER Form'!X318,"")</f>
        <v/>
      </c>
      <c r="H317" s="1" t="str">
        <f>IFERROR('ORDER Form'!Y318,"")</f>
        <v/>
      </c>
    </row>
    <row r="318" spans="1:8" ht="15" customHeight="1" x14ac:dyDescent="0.25">
      <c r="A318" s="6" t="str">
        <f>IFERROR(IF('ORDER Form'!V319="","",319),"")</f>
        <v/>
      </c>
      <c r="B318" s="6" t="str">
        <f>IFERROR(IF('ORDER Form'!V319="","",IFERROR(INDEX('PRODUCT DATA'!$A$2:$A$58,MATCH('ORDER Form'!$N319,'PRODUCT DATA'!$B$2:$B$58,0)),'ORDER Form'!$M319)&amp;""),"")</f>
        <v/>
      </c>
      <c r="C318" s="6" t="str">
        <f>IFERROR(IF('ORDER Form'!V319="","",'ORDER Form'!A319&amp;""),"")</f>
        <v/>
      </c>
      <c r="D318" s="6" t="str">
        <f>IFERROR(IF('ORDER Form'!V319="","",'ORDER Form'!D319&amp;""),"")</f>
        <v/>
      </c>
      <c r="E318" s="6" t="str">
        <f>IFERROR('ORDER Form'!V319,"")</f>
        <v/>
      </c>
      <c r="F318" s="1" t="str">
        <f ca="1">IFERROR('ORDER Form'!W319,"")</f>
        <v/>
      </c>
      <c r="G318" s="1" t="str">
        <f ca="1">IFERROR('ORDER Form'!X319,"")</f>
        <v/>
      </c>
      <c r="H318" s="1" t="str">
        <f>IFERROR('ORDER Form'!Y319,"")</f>
        <v/>
      </c>
    </row>
    <row r="319" spans="1:8" ht="15" customHeight="1" x14ac:dyDescent="0.25">
      <c r="A319" s="6" t="str">
        <f>IFERROR(IF('ORDER Form'!V320="","",320),"")</f>
        <v/>
      </c>
      <c r="B319" s="6" t="str">
        <f>IFERROR(IF('ORDER Form'!V320="","",IFERROR(INDEX('PRODUCT DATA'!$A$2:$A$58,MATCH('ORDER Form'!$N320,'PRODUCT DATA'!$B$2:$B$58,0)),'ORDER Form'!$M320)&amp;""),"")</f>
        <v/>
      </c>
      <c r="C319" s="6" t="str">
        <f>IFERROR(IF('ORDER Form'!V320="","",'ORDER Form'!A320&amp;""),"")</f>
        <v/>
      </c>
      <c r="D319" s="6" t="str">
        <f>IFERROR(IF('ORDER Form'!V320="","",'ORDER Form'!D320&amp;""),"")</f>
        <v/>
      </c>
      <c r="E319" s="6" t="str">
        <f>IFERROR('ORDER Form'!V320,"")</f>
        <v/>
      </c>
      <c r="F319" s="1" t="str">
        <f ca="1">IFERROR('ORDER Form'!W320,"")</f>
        <v/>
      </c>
      <c r="G319" s="1" t="str">
        <f ca="1">IFERROR('ORDER Form'!X320,"")</f>
        <v/>
      </c>
      <c r="H319" s="1" t="str">
        <f>IFERROR('ORDER Form'!Y320,"")</f>
        <v/>
      </c>
    </row>
    <row r="320" spans="1:8" ht="15" customHeight="1" x14ac:dyDescent="0.25">
      <c r="A320" s="6" t="str">
        <f>IFERROR(IF('ORDER Form'!V321="","",321),"")</f>
        <v/>
      </c>
      <c r="B320" s="6" t="str">
        <f>IFERROR(IF('ORDER Form'!V321="","",IFERROR(INDEX('PRODUCT DATA'!$A$2:$A$58,MATCH('ORDER Form'!$N321,'PRODUCT DATA'!$B$2:$B$58,0)),'ORDER Form'!$M321)&amp;""),"")</f>
        <v/>
      </c>
      <c r="C320" s="6" t="str">
        <f>IFERROR(IF('ORDER Form'!V321="","",'ORDER Form'!A321&amp;""),"")</f>
        <v/>
      </c>
      <c r="D320" s="6" t="str">
        <f>IFERROR(IF('ORDER Form'!V321="","",'ORDER Form'!D321&amp;""),"")</f>
        <v/>
      </c>
      <c r="E320" s="6" t="str">
        <f>IFERROR('ORDER Form'!V321,"")</f>
        <v/>
      </c>
      <c r="F320" s="1" t="str">
        <f ca="1">IFERROR('ORDER Form'!W321,"")</f>
        <v/>
      </c>
      <c r="G320" s="1" t="str">
        <f ca="1">IFERROR('ORDER Form'!X321,"")</f>
        <v/>
      </c>
      <c r="H320" s="1" t="str">
        <f>IFERROR('ORDER Form'!Y321,"")</f>
        <v/>
      </c>
    </row>
    <row r="321" spans="1:8" ht="15" customHeight="1" x14ac:dyDescent="0.25">
      <c r="A321" s="6" t="str">
        <f>IFERROR(IF('ORDER Form'!V322="","",322),"")</f>
        <v/>
      </c>
      <c r="B321" s="6" t="str">
        <f>IFERROR(IF('ORDER Form'!V322="","",IFERROR(INDEX('PRODUCT DATA'!$A$2:$A$58,MATCH('ORDER Form'!$N322,'PRODUCT DATA'!$B$2:$B$58,0)),'ORDER Form'!$M322)&amp;""),"")</f>
        <v/>
      </c>
      <c r="C321" s="6" t="str">
        <f>IFERROR(IF('ORDER Form'!V322="","",'ORDER Form'!A322&amp;""),"")</f>
        <v/>
      </c>
      <c r="D321" s="6" t="str">
        <f>IFERROR(IF('ORDER Form'!V322="","",'ORDER Form'!D322&amp;""),"")</f>
        <v/>
      </c>
      <c r="E321" s="6" t="str">
        <f>IFERROR('ORDER Form'!V322,"")</f>
        <v/>
      </c>
      <c r="F321" s="1" t="str">
        <f ca="1">IFERROR('ORDER Form'!W322,"")</f>
        <v/>
      </c>
      <c r="G321" s="1" t="str">
        <f ca="1">IFERROR('ORDER Form'!X322,"")</f>
        <v/>
      </c>
      <c r="H321" s="1" t="str">
        <f>IFERROR('ORDER Form'!Y322,"")</f>
        <v/>
      </c>
    </row>
    <row r="322" spans="1:8" ht="15" customHeight="1" x14ac:dyDescent="0.25">
      <c r="A322" s="6" t="str">
        <f>IFERROR(IF('ORDER Form'!V323="","",323),"")</f>
        <v/>
      </c>
      <c r="B322" s="6" t="str">
        <f>IFERROR(IF('ORDER Form'!V323="","",IFERROR(INDEX('PRODUCT DATA'!$A$2:$A$58,MATCH('ORDER Form'!$N323,'PRODUCT DATA'!$B$2:$B$58,0)),'ORDER Form'!$M323)&amp;""),"")</f>
        <v/>
      </c>
      <c r="C322" s="6" t="str">
        <f>IFERROR(IF('ORDER Form'!V323="","",'ORDER Form'!A323&amp;""),"")</f>
        <v/>
      </c>
      <c r="D322" s="6" t="str">
        <f>IFERROR(IF('ORDER Form'!V323="","",'ORDER Form'!D323&amp;""),"")</f>
        <v/>
      </c>
      <c r="E322" s="6" t="str">
        <f>IFERROR('ORDER Form'!V323,"")</f>
        <v/>
      </c>
      <c r="F322" s="1" t="str">
        <f ca="1">IFERROR('ORDER Form'!W323,"")</f>
        <v/>
      </c>
      <c r="G322" s="1" t="str">
        <f ca="1">IFERROR('ORDER Form'!X323,"")</f>
        <v/>
      </c>
      <c r="H322" s="1" t="str">
        <f>IFERROR('ORDER Form'!Y323,"")</f>
        <v/>
      </c>
    </row>
    <row r="323" spans="1:8" ht="15" customHeight="1" x14ac:dyDescent="0.25">
      <c r="A323" s="6" t="str">
        <f>IFERROR(IF('ORDER Form'!V324="","",324),"")</f>
        <v/>
      </c>
      <c r="B323" s="6" t="str">
        <f>IFERROR(IF('ORDER Form'!V324="","",IFERROR(INDEX('PRODUCT DATA'!$A$2:$A$58,MATCH('ORDER Form'!$N324,'PRODUCT DATA'!$B$2:$B$58,0)),'ORDER Form'!$M324)&amp;""),"")</f>
        <v/>
      </c>
      <c r="C323" s="6" t="str">
        <f>IFERROR(IF('ORDER Form'!V324="","",'ORDER Form'!A324&amp;""),"")</f>
        <v/>
      </c>
      <c r="D323" s="6" t="str">
        <f>IFERROR(IF('ORDER Form'!V324="","",'ORDER Form'!D324&amp;""),"")</f>
        <v/>
      </c>
      <c r="E323" s="6" t="str">
        <f>IFERROR('ORDER Form'!V324,"")</f>
        <v/>
      </c>
      <c r="F323" s="1" t="str">
        <f ca="1">IFERROR('ORDER Form'!W324,"")</f>
        <v/>
      </c>
      <c r="G323" s="1" t="str">
        <f ca="1">IFERROR('ORDER Form'!X324,"")</f>
        <v/>
      </c>
      <c r="H323" s="1" t="str">
        <f>IFERROR('ORDER Form'!Y324,"")</f>
        <v/>
      </c>
    </row>
    <row r="324" spans="1:8" ht="15" customHeight="1" x14ac:dyDescent="0.25">
      <c r="A324" s="6" t="str">
        <f>IFERROR(IF('ORDER Form'!V325="","",325),"")</f>
        <v/>
      </c>
      <c r="B324" s="6" t="str">
        <f>IFERROR(IF('ORDER Form'!V325="","",IFERROR(INDEX('PRODUCT DATA'!$A$2:$A$58,MATCH('ORDER Form'!$N325,'PRODUCT DATA'!$B$2:$B$58,0)),'ORDER Form'!$M325)&amp;""),"")</f>
        <v/>
      </c>
      <c r="C324" s="6" t="str">
        <f>IFERROR(IF('ORDER Form'!V325="","",'ORDER Form'!A325&amp;""),"")</f>
        <v/>
      </c>
      <c r="D324" s="6" t="str">
        <f>IFERROR(IF('ORDER Form'!V325="","",'ORDER Form'!D325&amp;""),"")</f>
        <v/>
      </c>
      <c r="E324" s="6" t="str">
        <f>IFERROR('ORDER Form'!V325,"")</f>
        <v/>
      </c>
      <c r="F324" s="1" t="str">
        <f ca="1">IFERROR('ORDER Form'!W325,"")</f>
        <v/>
      </c>
      <c r="G324" s="1" t="str">
        <f ca="1">IFERROR('ORDER Form'!X325,"")</f>
        <v/>
      </c>
      <c r="H324" s="1" t="str">
        <f>IFERROR('ORDER Form'!Y325,"")</f>
        <v/>
      </c>
    </row>
    <row r="325" spans="1:8" ht="15" customHeight="1" x14ac:dyDescent="0.25">
      <c r="A325" s="6" t="str">
        <f>IFERROR(IF('ORDER Form'!V326="","",326),"")</f>
        <v/>
      </c>
      <c r="B325" s="6" t="str">
        <f>IFERROR(IF('ORDER Form'!V326="","",IFERROR(INDEX('PRODUCT DATA'!$A$2:$A$58,MATCH('ORDER Form'!$N326,'PRODUCT DATA'!$B$2:$B$58,0)),'ORDER Form'!$M326)&amp;""),"")</f>
        <v/>
      </c>
      <c r="C325" s="6" t="str">
        <f>IFERROR(IF('ORDER Form'!V326="","",'ORDER Form'!A326&amp;""),"")</f>
        <v/>
      </c>
      <c r="D325" s="6" t="str">
        <f>IFERROR(IF('ORDER Form'!V326="","",'ORDER Form'!D326&amp;""),"")</f>
        <v/>
      </c>
      <c r="E325" s="6" t="str">
        <f>IFERROR('ORDER Form'!V326,"")</f>
        <v/>
      </c>
      <c r="F325" s="1" t="str">
        <f ca="1">IFERROR('ORDER Form'!W326,"")</f>
        <v/>
      </c>
      <c r="G325" s="1" t="str">
        <f ca="1">IFERROR('ORDER Form'!X326,"")</f>
        <v/>
      </c>
      <c r="H325" s="1" t="str">
        <f>IFERROR('ORDER Form'!Y326,"")</f>
        <v/>
      </c>
    </row>
    <row r="326" spans="1:8" ht="15" customHeight="1" x14ac:dyDescent="0.25">
      <c r="A326" s="6" t="str">
        <f>IFERROR(IF('ORDER Form'!V327="","",327),"")</f>
        <v/>
      </c>
      <c r="B326" s="6" t="str">
        <f>IFERROR(IF('ORDER Form'!V327="","",IFERROR(INDEX('PRODUCT DATA'!$A$2:$A$58,MATCH('ORDER Form'!$N327,'PRODUCT DATA'!$B$2:$B$58,0)),'ORDER Form'!$M327)&amp;""),"")</f>
        <v/>
      </c>
      <c r="C326" s="6" t="str">
        <f>IFERROR(IF('ORDER Form'!V327="","",'ORDER Form'!A327&amp;""),"")</f>
        <v/>
      </c>
      <c r="D326" s="6" t="str">
        <f>IFERROR(IF('ORDER Form'!V327="","",'ORDER Form'!D327&amp;""),"")</f>
        <v/>
      </c>
      <c r="E326" s="6" t="str">
        <f>IFERROR('ORDER Form'!V327,"")</f>
        <v/>
      </c>
      <c r="F326" s="1" t="str">
        <f ca="1">IFERROR('ORDER Form'!W327,"")</f>
        <v/>
      </c>
      <c r="G326" s="1" t="str">
        <f ca="1">IFERROR('ORDER Form'!X327,"")</f>
        <v/>
      </c>
      <c r="H326" s="1" t="str">
        <f>IFERROR('ORDER Form'!Y327,"")</f>
        <v/>
      </c>
    </row>
    <row r="327" spans="1:8" ht="15" customHeight="1" x14ac:dyDescent="0.25">
      <c r="A327" s="6" t="str">
        <f>IFERROR(IF('ORDER Form'!V328="","",328),"")</f>
        <v/>
      </c>
      <c r="B327" s="6" t="str">
        <f>IFERROR(IF('ORDER Form'!V328="","",IFERROR(INDEX('PRODUCT DATA'!$A$2:$A$58,MATCH('ORDER Form'!$N328,'PRODUCT DATA'!$B$2:$B$58,0)),'ORDER Form'!$M328)&amp;""),"")</f>
        <v/>
      </c>
      <c r="C327" s="6" t="str">
        <f>IFERROR(IF('ORDER Form'!V328="","",'ORDER Form'!A328&amp;""),"")</f>
        <v/>
      </c>
      <c r="D327" s="6" t="str">
        <f>IFERROR(IF('ORDER Form'!V328="","",'ORDER Form'!D328&amp;""),"")</f>
        <v/>
      </c>
      <c r="E327" s="6" t="str">
        <f>IFERROR('ORDER Form'!V328,"")</f>
        <v/>
      </c>
      <c r="F327" s="1" t="str">
        <f ca="1">IFERROR('ORDER Form'!W328,"")</f>
        <v/>
      </c>
      <c r="G327" s="1" t="str">
        <f ca="1">IFERROR('ORDER Form'!X328,"")</f>
        <v/>
      </c>
      <c r="H327" s="1" t="str">
        <f>IFERROR('ORDER Form'!Y328,"")</f>
        <v/>
      </c>
    </row>
    <row r="328" spans="1:8" ht="15" customHeight="1" x14ac:dyDescent="0.25">
      <c r="A328" s="6" t="str">
        <f>IFERROR(IF('ORDER Form'!V329="","",329),"")</f>
        <v/>
      </c>
      <c r="B328" s="6" t="str">
        <f>IFERROR(IF('ORDER Form'!V329="","",IFERROR(INDEX('PRODUCT DATA'!$A$2:$A$58,MATCH('ORDER Form'!$N329,'PRODUCT DATA'!$B$2:$B$58,0)),'ORDER Form'!$M329)&amp;""),"")</f>
        <v/>
      </c>
      <c r="C328" s="6" t="str">
        <f>IFERROR(IF('ORDER Form'!V329="","",'ORDER Form'!A329&amp;""),"")</f>
        <v/>
      </c>
      <c r="D328" s="6" t="str">
        <f>IFERROR(IF('ORDER Form'!V329="","",'ORDER Form'!D329&amp;""),"")</f>
        <v/>
      </c>
      <c r="E328" s="6" t="str">
        <f>IFERROR('ORDER Form'!V329,"")</f>
        <v/>
      </c>
      <c r="F328" s="1" t="str">
        <f ca="1">IFERROR('ORDER Form'!W329,"")</f>
        <v/>
      </c>
      <c r="G328" s="1" t="str">
        <f ca="1">IFERROR('ORDER Form'!X329,"")</f>
        <v/>
      </c>
      <c r="H328" s="1" t="str">
        <f>IFERROR('ORDER Form'!Y329,"")</f>
        <v/>
      </c>
    </row>
    <row r="329" spans="1:8" ht="15" customHeight="1" x14ac:dyDescent="0.25">
      <c r="A329" s="6" t="str">
        <f>IFERROR(IF('ORDER Form'!V330="","",330),"")</f>
        <v/>
      </c>
      <c r="B329" s="6" t="str">
        <f>IFERROR(IF('ORDER Form'!V330="","",IFERROR(INDEX('PRODUCT DATA'!$A$2:$A$58,MATCH('ORDER Form'!$N330,'PRODUCT DATA'!$B$2:$B$58,0)),'ORDER Form'!$M330)&amp;""),"")</f>
        <v/>
      </c>
      <c r="C329" s="6" t="str">
        <f>IFERROR(IF('ORDER Form'!V330="","",'ORDER Form'!A330&amp;""),"")</f>
        <v/>
      </c>
      <c r="D329" s="6" t="str">
        <f>IFERROR(IF('ORDER Form'!V330="","",'ORDER Form'!D330&amp;""),"")</f>
        <v/>
      </c>
      <c r="E329" s="6" t="str">
        <f>IFERROR('ORDER Form'!V330,"")</f>
        <v/>
      </c>
      <c r="F329" s="1" t="str">
        <f ca="1">IFERROR('ORDER Form'!W330,"")</f>
        <v/>
      </c>
      <c r="G329" s="1" t="str">
        <f ca="1">IFERROR('ORDER Form'!X330,"")</f>
        <v/>
      </c>
      <c r="H329" s="1" t="str">
        <f>IFERROR('ORDER Form'!Y330,"")</f>
        <v/>
      </c>
    </row>
    <row r="330" spans="1:8" ht="15" customHeight="1" x14ac:dyDescent="0.25">
      <c r="A330" s="6" t="str">
        <f>IFERROR(IF('ORDER Form'!V331="","",331),"")</f>
        <v/>
      </c>
      <c r="B330" s="6" t="str">
        <f>IFERROR(IF('ORDER Form'!V331="","",IFERROR(INDEX('PRODUCT DATA'!$A$2:$A$58,MATCH('ORDER Form'!$N331,'PRODUCT DATA'!$B$2:$B$58,0)),'ORDER Form'!$M331)&amp;""),"")</f>
        <v/>
      </c>
      <c r="C330" s="6" t="str">
        <f>IFERROR(IF('ORDER Form'!V331="","",'ORDER Form'!A331&amp;""),"")</f>
        <v/>
      </c>
      <c r="D330" s="6" t="str">
        <f>IFERROR(IF('ORDER Form'!V331="","",'ORDER Form'!D331&amp;""),"")</f>
        <v/>
      </c>
      <c r="E330" s="6" t="str">
        <f>IFERROR('ORDER Form'!V331,"")</f>
        <v/>
      </c>
      <c r="F330" s="1" t="str">
        <f ca="1">IFERROR('ORDER Form'!W331,"")</f>
        <v/>
      </c>
      <c r="G330" s="1" t="str">
        <f ca="1">IFERROR('ORDER Form'!X331,"")</f>
        <v/>
      </c>
      <c r="H330" s="1" t="str">
        <f>IFERROR('ORDER Form'!Y331,"")</f>
        <v/>
      </c>
    </row>
    <row r="331" spans="1:8" ht="15" customHeight="1" x14ac:dyDescent="0.25">
      <c r="A331" s="6" t="str">
        <f>IFERROR(IF('ORDER Form'!V332="","",332),"")</f>
        <v/>
      </c>
      <c r="B331" s="6" t="str">
        <f>IFERROR(IF('ORDER Form'!V332="","",IFERROR(INDEX('PRODUCT DATA'!$A$2:$A$58,MATCH('ORDER Form'!$N332,'PRODUCT DATA'!$B$2:$B$58,0)),'ORDER Form'!$M332)&amp;""),"")</f>
        <v/>
      </c>
      <c r="C331" s="6" t="str">
        <f>IFERROR(IF('ORDER Form'!V332="","",'ORDER Form'!A332&amp;""),"")</f>
        <v/>
      </c>
      <c r="D331" s="6" t="str">
        <f>IFERROR(IF('ORDER Form'!V332="","",'ORDER Form'!D332&amp;""),"")</f>
        <v/>
      </c>
      <c r="E331" s="6" t="str">
        <f>IFERROR('ORDER Form'!V332,"")</f>
        <v/>
      </c>
      <c r="F331" s="1" t="str">
        <f ca="1">IFERROR('ORDER Form'!W332,"")</f>
        <v/>
      </c>
      <c r="G331" s="1" t="str">
        <f ca="1">IFERROR('ORDER Form'!X332,"")</f>
        <v/>
      </c>
      <c r="H331" s="1" t="str">
        <f>IFERROR('ORDER Form'!Y332,"")</f>
        <v/>
      </c>
    </row>
    <row r="332" spans="1:8" ht="15" customHeight="1" x14ac:dyDescent="0.25">
      <c r="A332" s="6" t="str">
        <f>IFERROR(IF('ORDER Form'!V333="","",333),"")</f>
        <v/>
      </c>
      <c r="B332" s="6" t="str">
        <f>IFERROR(IF('ORDER Form'!V333="","",IFERROR(INDEX('PRODUCT DATA'!$A$2:$A$58,MATCH('ORDER Form'!$N333,'PRODUCT DATA'!$B$2:$B$58,0)),'ORDER Form'!$M333)&amp;""),"")</f>
        <v/>
      </c>
      <c r="C332" s="6" t="str">
        <f>IFERROR(IF('ORDER Form'!V333="","",'ORDER Form'!A333&amp;""),"")</f>
        <v/>
      </c>
      <c r="D332" s="6" t="str">
        <f>IFERROR(IF('ORDER Form'!V333="","",'ORDER Form'!D333&amp;""),"")</f>
        <v/>
      </c>
      <c r="E332" s="6" t="str">
        <f>IFERROR('ORDER Form'!V333,"")</f>
        <v/>
      </c>
      <c r="F332" s="1" t="str">
        <f ca="1">IFERROR('ORDER Form'!W333,"")</f>
        <v/>
      </c>
      <c r="G332" s="1" t="str">
        <f ca="1">IFERROR('ORDER Form'!X333,"")</f>
        <v/>
      </c>
      <c r="H332" s="1" t="str">
        <f>IFERROR('ORDER Form'!Y333,"")</f>
        <v/>
      </c>
    </row>
    <row r="333" spans="1:8" ht="15" customHeight="1" x14ac:dyDescent="0.25">
      <c r="A333" s="6" t="str">
        <f>IFERROR(IF('ORDER Form'!V334="","",334),"")</f>
        <v/>
      </c>
      <c r="B333" s="6" t="str">
        <f>IFERROR(IF('ORDER Form'!V334="","",IFERROR(INDEX('PRODUCT DATA'!$A$2:$A$58,MATCH('ORDER Form'!$N334,'PRODUCT DATA'!$B$2:$B$58,0)),'ORDER Form'!$M334)&amp;""),"")</f>
        <v/>
      </c>
      <c r="C333" s="6" t="str">
        <f>IFERROR(IF('ORDER Form'!V334="","",'ORDER Form'!A334&amp;""),"")</f>
        <v/>
      </c>
      <c r="D333" s="6" t="str">
        <f>IFERROR(IF('ORDER Form'!V334="","",'ORDER Form'!D334&amp;""),"")</f>
        <v/>
      </c>
      <c r="E333" s="6" t="str">
        <f>IFERROR('ORDER Form'!V334,"")</f>
        <v/>
      </c>
      <c r="F333" s="1" t="str">
        <f ca="1">IFERROR('ORDER Form'!W334,"")</f>
        <v/>
      </c>
      <c r="G333" s="1" t="str">
        <f ca="1">IFERROR('ORDER Form'!X334,"")</f>
        <v/>
      </c>
      <c r="H333" s="1" t="str">
        <f>IFERROR('ORDER Form'!Y334,"")</f>
        <v/>
      </c>
    </row>
    <row r="334" spans="1:8" ht="15" customHeight="1" x14ac:dyDescent="0.25">
      <c r="A334" s="6" t="str">
        <f>IFERROR(IF('ORDER Form'!V335="","",335),"")</f>
        <v/>
      </c>
      <c r="B334" s="6" t="str">
        <f>IFERROR(IF('ORDER Form'!V335="","",IFERROR(INDEX('PRODUCT DATA'!$A$2:$A$58,MATCH('ORDER Form'!$N335,'PRODUCT DATA'!$B$2:$B$58,0)),'ORDER Form'!$M335)&amp;""),"")</f>
        <v/>
      </c>
      <c r="C334" s="6" t="str">
        <f>IFERROR(IF('ORDER Form'!V335="","",'ORDER Form'!A335&amp;""),"")</f>
        <v/>
      </c>
      <c r="D334" s="6" t="str">
        <f>IFERROR(IF('ORDER Form'!V335="","",'ORDER Form'!D335&amp;""),"")</f>
        <v/>
      </c>
      <c r="E334" s="6" t="str">
        <f>IFERROR('ORDER Form'!V335,"")</f>
        <v/>
      </c>
      <c r="F334" s="1" t="str">
        <f ca="1">IFERROR('ORDER Form'!W335,"")</f>
        <v/>
      </c>
      <c r="G334" s="1" t="str">
        <f ca="1">IFERROR('ORDER Form'!X335,"")</f>
        <v/>
      </c>
      <c r="H334" s="1" t="str">
        <f>IFERROR('ORDER Form'!Y335,"")</f>
        <v/>
      </c>
    </row>
    <row r="335" spans="1:8" ht="15" customHeight="1" x14ac:dyDescent="0.25">
      <c r="A335" s="6" t="str">
        <f>IFERROR(IF('ORDER Form'!V336="","",336),"")</f>
        <v/>
      </c>
      <c r="B335" s="6" t="str">
        <f>IFERROR(IF('ORDER Form'!V336="","",IFERROR(INDEX('PRODUCT DATA'!$A$2:$A$58,MATCH('ORDER Form'!$N336,'PRODUCT DATA'!$B$2:$B$58,0)),'ORDER Form'!$M336)&amp;""),"")</f>
        <v/>
      </c>
      <c r="C335" s="6" t="str">
        <f>IFERROR(IF('ORDER Form'!V336="","",'ORDER Form'!A336&amp;""),"")</f>
        <v/>
      </c>
      <c r="D335" s="6" t="str">
        <f>IFERROR(IF('ORDER Form'!V336="","",'ORDER Form'!D336&amp;""),"")</f>
        <v/>
      </c>
      <c r="E335" s="6" t="str">
        <f>IFERROR('ORDER Form'!V336,"")</f>
        <v/>
      </c>
      <c r="F335" s="1" t="str">
        <f ca="1">IFERROR('ORDER Form'!W336,"")</f>
        <v/>
      </c>
      <c r="G335" s="1" t="str">
        <f ca="1">IFERROR('ORDER Form'!X336,"")</f>
        <v/>
      </c>
      <c r="H335" s="1" t="str">
        <f>IFERROR('ORDER Form'!Y336,"")</f>
        <v/>
      </c>
    </row>
    <row r="336" spans="1:8" ht="15" customHeight="1" x14ac:dyDescent="0.25">
      <c r="A336" s="6" t="str">
        <f>IFERROR(IF('ORDER Form'!V337="","",337),"")</f>
        <v/>
      </c>
      <c r="B336" s="6" t="str">
        <f>IFERROR(IF('ORDER Form'!V337="","",IFERROR(INDEX('PRODUCT DATA'!$A$2:$A$58,MATCH('ORDER Form'!$N337,'PRODUCT DATA'!$B$2:$B$58,0)),'ORDER Form'!$M337)&amp;""),"")</f>
        <v/>
      </c>
      <c r="C336" s="6" t="str">
        <f>IFERROR(IF('ORDER Form'!V337="","",'ORDER Form'!A337&amp;""),"")</f>
        <v/>
      </c>
      <c r="D336" s="6" t="str">
        <f>IFERROR(IF('ORDER Form'!V337="","",'ORDER Form'!D337&amp;""),"")</f>
        <v/>
      </c>
      <c r="E336" s="6" t="str">
        <f>IFERROR('ORDER Form'!V337,"")</f>
        <v/>
      </c>
      <c r="F336" s="1" t="str">
        <f ca="1">IFERROR('ORDER Form'!W337,"")</f>
        <v/>
      </c>
      <c r="G336" s="1" t="str">
        <f ca="1">IFERROR('ORDER Form'!X337,"")</f>
        <v/>
      </c>
      <c r="H336" s="1" t="str">
        <f>IFERROR('ORDER Form'!Y337,"")</f>
        <v/>
      </c>
    </row>
    <row r="337" spans="1:8" ht="15" customHeight="1" x14ac:dyDescent="0.25">
      <c r="A337" s="6" t="str">
        <f>IFERROR(IF('ORDER Form'!V338="","",338),"")</f>
        <v/>
      </c>
      <c r="B337" s="6" t="str">
        <f>IFERROR(IF('ORDER Form'!V338="","",IFERROR(INDEX('PRODUCT DATA'!$A$2:$A$58,MATCH('ORDER Form'!$N338,'PRODUCT DATA'!$B$2:$B$58,0)),'ORDER Form'!$M338)&amp;""),"")</f>
        <v/>
      </c>
      <c r="C337" s="6" t="str">
        <f>IFERROR(IF('ORDER Form'!V338="","",'ORDER Form'!A338&amp;""),"")</f>
        <v/>
      </c>
      <c r="D337" s="6" t="str">
        <f>IFERROR(IF('ORDER Form'!V338="","",'ORDER Form'!D338&amp;""),"")</f>
        <v/>
      </c>
      <c r="E337" s="6" t="str">
        <f>IFERROR('ORDER Form'!V338,"")</f>
        <v/>
      </c>
      <c r="F337" s="1" t="str">
        <f ca="1">IFERROR('ORDER Form'!W338,"")</f>
        <v/>
      </c>
      <c r="G337" s="1" t="str">
        <f ca="1">IFERROR('ORDER Form'!X338,"")</f>
        <v/>
      </c>
      <c r="H337" s="1" t="str">
        <f>IFERROR('ORDER Form'!Y338,"")</f>
        <v/>
      </c>
    </row>
    <row r="338" spans="1:8" ht="15" customHeight="1" x14ac:dyDescent="0.25">
      <c r="A338" s="6" t="str">
        <f>IFERROR(IF('ORDER Form'!V339="","",339),"")</f>
        <v/>
      </c>
      <c r="B338" s="6" t="str">
        <f>IFERROR(IF('ORDER Form'!V339="","",IFERROR(INDEX('PRODUCT DATA'!$A$2:$A$58,MATCH('ORDER Form'!$N339,'PRODUCT DATA'!$B$2:$B$58,0)),'ORDER Form'!$M339)&amp;""),"")</f>
        <v/>
      </c>
      <c r="C338" s="6" t="str">
        <f>IFERROR(IF('ORDER Form'!V339="","",'ORDER Form'!A339&amp;""),"")</f>
        <v/>
      </c>
      <c r="D338" s="6" t="str">
        <f>IFERROR(IF('ORDER Form'!V339="","",'ORDER Form'!D339&amp;""),"")</f>
        <v/>
      </c>
      <c r="E338" s="6" t="str">
        <f>IFERROR('ORDER Form'!V339,"")</f>
        <v/>
      </c>
      <c r="F338" s="1" t="str">
        <f ca="1">IFERROR('ORDER Form'!W339,"")</f>
        <v/>
      </c>
      <c r="G338" s="1" t="str">
        <f ca="1">IFERROR('ORDER Form'!X339,"")</f>
        <v/>
      </c>
      <c r="H338" s="1" t="str">
        <f>IFERROR('ORDER Form'!Y339,"")</f>
        <v/>
      </c>
    </row>
    <row r="339" spans="1:8" ht="15" customHeight="1" x14ac:dyDescent="0.25">
      <c r="A339" s="6" t="str">
        <f>IFERROR(IF('ORDER Form'!V340="","",340),"")</f>
        <v/>
      </c>
      <c r="B339" s="6" t="str">
        <f>IFERROR(IF('ORDER Form'!V340="","",IFERROR(INDEX('PRODUCT DATA'!$A$2:$A$58,MATCH('ORDER Form'!$N340,'PRODUCT DATA'!$B$2:$B$58,0)),'ORDER Form'!$M340)&amp;""),"")</f>
        <v/>
      </c>
      <c r="C339" s="6" t="str">
        <f>IFERROR(IF('ORDER Form'!V340="","",'ORDER Form'!A340&amp;""),"")</f>
        <v/>
      </c>
      <c r="D339" s="6" t="str">
        <f>IFERROR(IF('ORDER Form'!V340="","",'ORDER Form'!D340&amp;""),"")</f>
        <v/>
      </c>
      <c r="E339" s="6" t="str">
        <f>IFERROR('ORDER Form'!V340,"")</f>
        <v/>
      </c>
      <c r="F339" s="1" t="str">
        <f ca="1">IFERROR('ORDER Form'!W340,"")</f>
        <v/>
      </c>
      <c r="G339" s="1" t="str">
        <f ca="1">IFERROR('ORDER Form'!X340,"")</f>
        <v/>
      </c>
      <c r="H339" s="1" t="str">
        <f>IFERROR('ORDER Form'!Y340,"")</f>
        <v/>
      </c>
    </row>
    <row r="340" spans="1:8" ht="15" customHeight="1" x14ac:dyDescent="0.25">
      <c r="A340" s="6" t="str">
        <f>IFERROR(IF('ORDER Form'!V341="","",341),"")</f>
        <v/>
      </c>
      <c r="B340" s="6" t="str">
        <f>IFERROR(IF('ORDER Form'!V341="","",IFERROR(INDEX('PRODUCT DATA'!$A$2:$A$58,MATCH('ORDER Form'!$N341,'PRODUCT DATA'!$B$2:$B$58,0)),'ORDER Form'!$M341)&amp;""),"")</f>
        <v/>
      </c>
      <c r="C340" s="6" t="str">
        <f>IFERROR(IF('ORDER Form'!V341="","",'ORDER Form'!A341&amp;""),"")</f>
        <v/>
      </c>
      <c r="D340" s="6" t="str">
        <f>IFERROR(IF('ORDER Form'!V341="","",'ORDER Form'!D341&amp;""),"")</f>
        <v/>
      </c>
      <c r="E340" s="6" t="str">
        <f>IFERROR('ORDER Form'!V341,"")</f>
        <v/>
      </c>
      <c r="F340" s="1" t="str">
        <f ca="1">IFERROR('ORDER Form'!W341,"")</f>
        <v/>
      </c>
      <c r="G340" s="1" t="str">
        <f ca="1">IFERROR('ORDER Form'!X341,"")</f>
        <v/>
      </c>
      <c r="H340" s="1" t="str">
        <f>IFERROR('ORDER Form'!Y341,"")</f>
        <v/>
      </c>
    </row>
    <row r="341" spans="1:8" ht="15" customHeight="1" x14ac:dyDescent="0.25">
      <c r="A341" s="6" t="str">
        <f>IFERROR(IF('ORDER Form'!V342="","",342),"")</f>
        <v/>
      </c>
      <c r="B341" s="6" t="str">
        <f>IFERROR(IF('ORDER Form'!V342="","",IFERROR(INDEX('PRODUCT DATA'!$A$2:$A$58,MATCH('ORDER Form'!$N342,'PRODUCT DATA'!$B$2:$B$58,0)),'ORDER Form'!$M342)&amp;""),"")</f>
        <v/>
      </c>
      <c r="C341" s="6" t="str">
        <f>IFERROR(IF('ORDER Form'!V342="","",'ORDER Form'!A342&amp;""),"")</f>
        <v/>
      </c>
      <c r="D341" s="6" t="str">
        <f>IFERROR(IF('ORDER Form'!V342="","",'ORDER Form'!D342&amp;""),"")</f>
        <v/>
      </c>
      <c r="E341" s="6" t="str">
        <f>IFERROR('ORDER Form'!V342,"")</f>
        <v/>
      </c>
      <c r="F341" s="1" t="str">
        <f ca="1">IFERROR('ORDER Form'!W342,"")</f>
        <v/>
      </c>
      <c r="G341" s="1" t="str">
        <f ca="1">IFERROR('ORDER Form'!X342,"")</f>
        <v/>
      </c>
      <c r="H341" s="1" t="str">
        <f>IFERROR('ORDER Form'!Y342,"")</f>
        <v/>
      </c>
    </row>
    <row r="342" spans="1:8" ht="15" customHeight="1" x14ac:dyDescent="0.25">
      <c r="A342" s="6" t="str">
        <f>IFERROR(IF('ORDER Form'!V343="","",343),"")</f>
        <v/>
      </c>
      <c r="B342" s="6" t="str">
        <f>IFERROR(IF('ORDER Form'!V343="","",IFERROR(INDEX('PRODUCT DATA'!$A$2:$A$58,MATCH('ORDER Form'!$N343,'PRODUCT DATA'!$B$2:$B$58,0)),'ORDER Form'!$M343)&amp;""),"")</f>
        <v/>
      </c>
      <c r="C342" s="6" t="str">
        <f>IFERROR(IF('ORDER Form'!V343="","",'ORDER Form'!A343&amp;""),"")</f>
        <v/>
      </c>
      <c r="D342" s="6" t="str">
        <f>IFERROR(IF('ORDER Form'!V343="","",'ORDER Form'!D343&amp;""),"")</f>
        <v/>
      </c>
      <c r="E342" s="6" t="str">
        <f>IFERROR('ORDER Form'!V343,"")</f>
        <v/>
      </c>
      <c r="F342" s="1" t="str">
        <f ca="1">IFERROR('ORDER Form'!W343,"")</f>
        <v/>
      </c>
      <c r="G342" s="1" t="str">
        <f ca="1">IFERROR('ORDER Form'!X343,"")</f>
        <v/>
      </c>
      <c r="H342" s="1" t="str">
        <f>IFERROR('ORDER Form'!Y343,"")</f>
        <v/>
      </c>
    </row>
    <row r="343" spans="1:8" ht="15" customHeight="1" x14ac:dyDescent="0.25">
      <c r="A343" s="6" t="str">
        <f>IFERROR(IF('ORDER Form'!V344="","",344),"")</f>
        <v/>
      </c>
      <c r="B343" s="6" t="str">
        <f>IFERROR(IF('ORDER Form'!V344="","",IFERROR(INDEX('PRODUCT DATA'!$A$2:$A$58,MATCH('ORDER Form'!$N344,'PRODUCT DATA'!$B$2:$B$58,0)),'ORDER Form'!$M344)&amp;""),"")</f>
        <v/>
      </c>
      <c r="C343" s="6" t="str">
        <f>IFERROR(IF('ORDER Form'!V344="","",'ORDER Form'!A344&amp;""),"")</f>
        <v/>
      </c>
      <c r="D343" s="6" t="str">
        <f>IFERROR(IF('ORDER Form'!V344="","",'ORDER Form'!D344&amp;""),"")</f>
        <v/>
      </c>
      <c r="E343" s="6" t="str">
        <f>IFERROR('ORDER Form'!V344,"")</f>
        <v/>
      </c>
      <c r="F343" s="1" t="str">
        <f ca="1">IFERROR('ORDER Form'!W344,"")</f>
        <v/>
      </c>
      <c r="G343" s="1" t="str">
        <f ca="1">IFERROR('ORDER Form'!X344,"")</f>
        <v/>
      </c>
      <c r="H343" s="1" t="str">
        <f>IFERROR('ORDER Form'!Y344,"")</f>
        <v/>
      </c>
    </row>
    <row r="344" spans="1:8" ht="15" customHeight="1" x14ac:dyDescent="0.25">
      <c r="A344" s="6" t="str">
        <f>IFERROR(IF('ORDER Form'!V345="","",345),"")</f>
        <v/>
      </c>
      <c r="B344" s="6" t="str">
        <f>IFERROR(IF('ORDER Form'!V345="","",IFERROR(INDEX('PRODUCT DATA'!$A$2:$A$58,MATCH('ORDER Form'!$N345,'PRODUCT DATA'!$B$2:$B$58,0)),'ORDER Form'!$M345)&amp;""),"")</f>
        <v/>
      </c>
      <c r="C344" s="6" t="str">
        <f>IFERROR(IF('ORDER Form'!V345="","",'ORDER Form'!A345&amp;""),"")</f>
        <v/>
      </c>
      <c r="D344" s="6" t="str">
        <f>IFERROR(IF('ORDER Form'!V345="","",'ORDER Form'!D345&amp;""),"")</f>
        <v/>
      </c>
      <c r="E344" s="6" t="str">
        <f>IFERROR('ORDER Form'!V345,"")</f>
        <v/>
      </c>
      <c r="F344" s="1" t="str">
        <f ca="1">IFERROR('ORDER Form'!W345,"")</f>
        <v/>
      </c>
      <c r="G344" s="1" t="str">
        <f ca="1">IFERROR('ORDER Form'!X345,"")</f>
        <v/>
      </c>
      <c r="H344" s="1" t="str">
        <f>IFERROR('ORDER Form'!Y345,"")</f>
        <v/>
      </c>
    </row>
    <row r="345" spans="1:8" ht="15" customHeight="1" x14ac:dyDescent="0.25">
      <c r="A345" s="6" t="str">
        <f>IFERROR(IF('ORDER Form'!V346="","",346),"")</f>
        <v/>
      </c>
      <c r="B345" s="6" t="str">
        <f>IFERROR(IF('ORDER Form'!V346="","",IFERROR(INDEX('PRODUCT DATA'!$A$2:$A$58,MATCH('ORDER Form'!$N346,'PRODUCT DATA'!$B$2:$B$58,0)),'ORDER Form'!$M346)&amp;""),"")</f>
        <v/>
      </c>
      <c r="C345" s="6" t="str">
        <f>IFERROR(IF('ORDER Form'!V346="","",'ORDER Form'!A346&amp;""),"")</f>
        <v/>
      </c>
      <c r="D345" s="6" t="str">
        <f>IFERROR(IF('ORDER Form'!V346="","",'ORDER Form'!D346&amp;""),"")</f>
        <v/>
      </c>
      <c r="E345" s="6" t="str">
        <f>IFERROR('ORDER Form'!V346,"")</f>
        <v/>
      </c>
      <c r="F345" s="1" t="str">
        <f ca="1">IFERROR('ORDER Form'!W346,"")</f>
        <v/>
      </c>
      <c r="G345" s="1" t="str">
        <f ca="1">IFERROR('ORDER Form'!X346,"")</f>
        <v/>
      </c>
      <c r="H345" s="1" t="str">
        <f>IFERROR('ORDER Form'!Y346,"")</f>
        <v/>
      </c>
    </row>
    <row r="346" spans="1:8" ht="15" customHeight="1" x14ac:dyDescent="0.25">
      <c r="A346" s="6" t="str">
        <f>IFERROR(IF('ORDER Form'!V347="","",347),"")</f>
        <v/>
      </c>
      <c r="B346" s="6" t="str">
        <f>IFERROR(IF('ORDER Form'!V347="","",IFERROR(INDEX('PRODUCT DATA'!$A$2:$A$58,MATCH('ORDER Form'!$N347,'PRODUCT DATA'!$B$2:$B$58,0)),'ORDER Form'!$M347)&amp;""),"")</f>
        <v/>
      </c>
      <c r="C346" s="6" t="str">
        <f>IFERROR(IF('ORDER Form'!V347="","",'ORDER Form'!A347&amp;""),"")</f>
        <v/>
      </c>
      <c r="D346" s="6" t="str">
        <f>IFERROR(IF('ORDER Form'!V347="","",'ORDER Form'!D347&amp;""),"")</f>
        <v/>
      </c>
      <c r="E346" s="6" t="str">
        <f>IFERROR('ORDER Form'!V347,"")</f>
        <v/>
      </c>
      <c r="F346" s="1" t="str">
        <f ca="1">IFERROR('ORDER Form'!W347,"")</f>
        <v/>
      </c>
      <c r="G346" s="1" t="str">
        <f ca="1">IFERROR('ORDER Form'!X347,"")</f>
        <v/>
      </c>
      <c r="H346" s="1" t="str">
        <f>IFERROR('ORDER Form'!Y347,"")</f>
        <v/>
      </c>
    </row>
    <row r="347" spans="1:8" ht="15" customHeight="1" x14ac:dyDescent="0.25">
      <c r="A347" s="6" t="str">
        <f>IFERROR(IF('ORDER Form'!V348="","",348),"")</f>
        <v/>
      </c>
      <c r="B347" s="6" t="str">
        <f>IFERROR(IF('ORDER Form'!V348="","",IFERROR(INDEX('PRODUCT DATA'!$A$2:$A$58,MATCH('ORDER Form'!$N348,'PRODUCT DATA'!$B$2:$B$58,0)),'ORDER Form'!$M348)&amp;""),"")</f>
        <v/>
      </c>
      <c r="C347" s="6" t="str">
        <f>IFERROR(IF('ORDER Form'!V348="","",'ORDER Form'!A348&amp;""),"")</f>
        <v/>
      </c>
      <c r="D347" s="6" t="str">
        <f>IFERROR(IF('ORDER Form'!V348="","",'ORDER Form'!D348&amp;""),"")</f>
        <v/>
      </c>
      <c r="E347" s="6" t="str">
        <f>IFERROR('ORDER Form'!V348,"")</f>
        <v/>
      </c>
      <c r="F347" s="1" t="str">
        <f ca="1">IFERROR('ORDER Form'!W348,"")</f>
        <v/>
      </c>
      <c r="G347" s="1" t="str">
        <f ca="1">IFERROR('ORDER Form'!X348,"")</f>
        <v/>
      </c>
      <c r="H347" s="1" t="str">
        <f>IFERROR('ORDER Form'!Y348,"")</f>
        <v/>
      </c>
    </row>
    <row r="348" spans="1:8" ht="15" customHeight="1" x14ac:dyDescent="0.25">
      <c r="A348" s="6" t="str">
        <f>IFERROR(IF('ORDER Form'!V349="","",349),"")</f>
        <v/>
      </c>
      <c r="B348" s="6" t="str">
        <f>IFERROR(IF('ORDER Form'!V349="","",IFERROR(INDEX('PRODUCT DATA'!$A$2:$A$58,MATCH('ORDER Form'!$N349,'PRODUCT DATA'!$B$2:$B$58,0)),'ORDER Form'!$M349)&amp;""),"")</f>
        <v/>
      </c>
      <c r="C348" s="6" t="str">
        <f>IFERROR(IF('ORDER Form'!V349="","",'ORDER Form'!A349&amp;""),"")</f>
        <v/>
      </c>
      <c r="D348" s="6" t="str">
        <f>IFERROR(IF('ORDER Form'!V349="","",'ORDER Form'!D349&amp;""),"")</f>
        <v/>
      </c>
      <c r="E348" s="6" t="str">
        <f>IFERROR('ORDER Form'!V349,"")</f>
        <v/>
      </c>
      <c r="F348" s="1" t="str">
        <f ca="1">IFERROR('ORDER Form'!W349,"")</f>
        <v/>
      </c>
      <c r="G348" s="1" t="str">
        <f ca="1">IFERROR('ORDER Form'!X349,"")</f>
        <v/>
      </c>
      <c r="H348" s="1" t="str">
        <f>IFERROR('ORDER Form'!Y349,"")</f>
        <v/>
      </c>
    </row>
    <row r="349" spans="1:8" ht="15" customHeight="1" x14ac:dyDescent="0.25">
      <c r="A349" s="6" t="str">
        <f>IFERROR(IF('ORDER Form'!V350="","",350),"")</f>
        <v/>
      </c>
      <c r="B349" s="6" t="str">
        <f>IFERROR(IF('ORDER Form'!V350="","",IFERROR(INDEX('PRODUCT DATA'!$A$2:$A$58,MATCH('ORDER Form'!$N350,'PRODUCT DATA'!$B$2:$B$58,0)),'ORDER Form'!$M350)&amp;""),"")</f>
        <v/>
      </c>
      <c r="C349" s="6" t="str">
        <f>IFERROR(IF('ORDER Form'!V350="","",'ORDER Form'!A350&amp;""),"")</f>
        <v/>
      </c>
      <c r="D349" s="6" t="str">
        <f>IFERROR(IF('ORDER Form'!V350="","",'ORDER Form'!D350&amp;""),"")</f>
        <v/>
      </c>
      <c r="E349" s="6" t="str">
        <f>IFERROR('ORDER Form'!V350,"")</f>
        <v/>
      </c>
      <c r="F349" s="1" t="str">
        <f ca="1">IFERROR('ORDER Form'!W350,"")</f>
        <v/>
      </c>
      <c r="G349" s="1" t="str">
        <f ca="1">IFERROR('ORDER Form'!X350,"")</f>
        <v/>
      </c>
      <c r="H349" s="1" t="str">
        <f>IFERROR('ORDER Form'!Y350,"")</f>
        <v/>
      </c>
    </row>
    <row r="350" spans="1:8" ht="15" customHeight="1" x14ac:dyDescent="0.25">
      <c r="A350" s="6" t="str">
        <f>IFERROR(IF('ORDER Form'!V351="","",351),"")</f>
        <v/>
      </c>
      <c r="B350" s="6" t="str">
        <f>IFERROR(IF('ORDER Form'!V351="","",IFERROR(INDEX('PRODUCT DATA'!$A$2:$A$58,MATCH('ORDER Form'!$N351,'PRODUCT DATA'!$B$2:$B$58,0)),'ORDER Form'!$M351)&amp;""),"")</f>
        <v/>
      </c>
      <c r="C350" s="6" t="str">
        <f>IFERROR(IF('ORDER Form'!V351="","",'ORDER Form'!A351&amp;""),"")</f>
        <v/>
      </c>
      <c r="D350" s="6" t="str">
        <f>IFERROR(IF('ORDER Form'!V351="","",'ORDER Form'!D351&amp;""),"")</f>
        <v/>
      </c>
      <c r="E350" s="6" t="str">
        <f>IFERROR('ORDER Form'!V351,"")</f>
        <v/>
      </c>
      <c r="F350" s="1" t="str">
        <f ca="1">IFERROR('ORDER Form'!W351,"")</f>
        <v/>
      </c>
      <c r="G350" s="1" t="str">
        <f ca="1">IFERROR('ORDER Form'!X351,"")</f>
        <v/>
      </c>
      <c r="H350" s="1" t="str">
        <f>IFERROR('ORDER Form'!Y351,"")</f>
        <v/>
      </c>
    </row>
    <row r="351" spans="1:8" ht="15" customHeight="1" x14ac:dyDescent="0.25">
      <c r="A351" s="6" t="str">
        <f>IFERROR(IF('ORDER Form'!V352="","",352),"")</f>
        <v/>
      </c>
      <c r="B351" s="6" t="str">
        <f>IFERROR(IF('ORDER Form'!V352="","",IFERROR(INDEX('PRODUCT DATA'!$A$2:$A$58,MATCH('ORDER Form'!$N352,'PRODUCT DATA'!$B$2:$B$58,0)),'ORDER Form'!$M352)&amp;""),"")</f>
        <v/>
      </c>
      <c r="C351" s="6" t="str">
        <f>IFERROR(IF('ORDER Form'!V352="","",'ORDER Form'!A352&amp;""),"")</f>
        <v/>
      </c>
      <c r="D351" s="6" t="str">
        <f>IFERROR(IF('ORDER Form'!V352="","",'ORDER Form'!D352&amp;""),"")</f>
        <v/>
      </c>
      <c r="E351" s="6" t="str">
        <f>IFERROR('ORDER Form'!V352,"")</f>
        <v/>
      </c>
      <c r="F351" s="1" t="str">
        <f ca="1">IFERROR('ORDER Form'!W352,"")</f>
        <v/>
      </c>
      <c r="G351" s="1" t="str">
        <f ca="1">IFERROR('ORDER Form'!X352,"")</f>
        <v/>
      </c>
      <c r="H351" s="1" t="str">
        <f>IFERROR('ORDER Form'!Y352,"")</f>
        <v/>
      </c>
    </row>
    <row r="352" spans="1:8" ht="15" customHeight="1" x14ac:dyDescent="0.25">
      <c r="A352" s="6" t="str">
        <f>IFERROR(IF('ORDER Form'!V353="","",353),"")</f>
        <v/>
      </c>
      <c r="B352" s="6" t="str">
        <f>IFERROR(IF('ORDER Form'!V353="","",IFERROR(INDEX('PRODUCT DATA'!$A$2:$A$58,MATCH('ORDER Form'!$N353,'PRODUCT DATA'!$B$2:$B$58,0)),'ORDER Form'!$M353)&amp;""),"")</f>
        <v/>
      </c>
      <c r="C352" s="6" t="str">
        <f>IFERROR(IF('ORDER Form'!V353="","",'ORDER Form'!A353&amp;""),"")</f>
        <v/>
      </c>
      <c r="D352" s="6" t="str">
        <f>IFERROR(IF('ORDER Form'!V353="","",'ORDER Form'!D353&amp;""),"")</f>
        <v/>
      </c>
      <c r="E352" s="6" t="str">
        <f>IFERROR('ORDER Form'!V353,"")</f>
        <v/>
      </c>
      <c r="F352" s="1" t="str">
        <f ca="1">IFERROR('ORDER Form'!W353,"")</f>
        <v/>
      </c>
      <c r="G352" s="1" t="str">
        <f ca="1">IFERROR('ORDER Form'!X353,"")</f>
        <v/>
      </c>
      <c r="H352" s="1" t="str">
        <f>IFERROR('ORDER Form'!Y353,"")</f>
        <v/>
      </c>
    </row>
    <row r="353" spans="1:8" ht="15" customHeight="1" x14ac:dyDescent="0.25">
      <c r="A353" s="6" t="str">
        <f>IFERROR(IF('ORDER Form'!V354="","",354),"")</f>
        <v/>
      </c>
      <c r="B353" s="6" t="str">
        <f>IFERROR(IF('ORDER Form'!V354="","",IFERROR(INDEX('PRODUCT DATA'!$A$2:$A$58,MATCH('ORDER Form'!$N354,'PRODUCT DATA'!$B$2:$B$58,0)),'ORDER Form'!$M354)&amp;""),"")</f>
        <v/>
      </c>
      <c r="C353" s="6" t="str">
        <f>IFERROR(IF('ORDER Form'!V354="","",'ORDER Form'!A354&amp;""),"")</f>
        <v/>
      </c>
      <c r="D353" s="6" t="str">
        <f>IFERROR(IF('ORDER Form'!V354="","",'ORDER Form'!D354&amp;""),"")</f>
        <v/>
      </c>
      <c r="E353" s="6" t="str">
        <f>IFERROR('ORDER Form'!V354,"")</f>
        <v/>
      </c>
      <c r="F353" s="1" t="str">
        <f ca="1">IFERROR('ORDER Form'!W354,"")</f>
        <v/>
      </c>
      <c r="G353" s="1" t="str">
        <f ca="1">IFERROR('ORDER Form'!X354,"")</f>
        <v/>
      </c>
      <c r="H353" s="1" t="str">
        <f>IFERROR('ORDER Form'!Y354,"")</f>
        <v/>
      </c>
    </row>
    <row r="354" spans="1:8" ht="15" customHeight="1" x14ac:dyDescent="0.25">
      <c r="A354" s="6" t="str">
        <f>IFERROR(IF('ORDER Form'!V355="","",355),"")</f>
        <v/>
      </c>
      <c r="B354" s="6" t="str">
        <f>IFERROR(IF('ORDER Form'!V355="","",IFERROR(INDEX('PRODUCT DATA'!$A$2:$A$58,MATCH('ORDER Form'!$N355,'PRODUCT DATA'!$B$2:$B$58,0)),'ORDER Form'!$M355)&amp;""),"")</f>
        <v/>
      </c>
      <c r="C354" s="6" t="str">
        <f>IFERROR(IF('ORDER Form'!V355="","",'ORDER Form'!A355&amp;""),"")</f>
        <v/>
      </c>
      <c r="D354" s="6" t="str">
        <f>IFERROR(IF('ORDER Form'!V355="","",'ORDER Form'!D355&amp;""),"")</f>
        <v/>
      </c>
      <c r="E354" s="6" t="str">
        <f>IFERROR('ORDER Form'!V355,"")</f>
        <v/>
      </c>
      <c r="F354" s="1" t="str">
        <f ca="1">IFERROR('ORDER Form'!W355,"")</f>
        <v/>
      </c>
      <c r="G354" s="1" t="str">
        <f ca="1">IFERROR('ORDER Form'!X355,"")</f>
        <v/>
      </c>
      <c r="H354" s="1" t="str">
        <f>IFERROR('ORDER Form'!Y355,"")</f>
        <v/>
      </c>
    </row>
  </sheetData>
  <mergeCells count="1">
    <mergeCell ref="A2:H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D354"/>
  <sheetViews>
    <sheetView showGridLines="0" workbookViewId="0">
      <pane ySplit="4" topLeftCell="A5" activePane="bottomLeft" state="frozen"/>
      <selection pane="bottomLeft" activeCell="A5" sqref="A5"/>
    </sheetView>
  </sheetViews>
  <sheetFormatPr defaultColWidth="8.7109375" defaultRowHeight="15" x14ac:dyDescent="0.25"/>
  <cols>
    <col min="1" max="1" width="14" customWidth="1"/>
    <col min="2" max="2" width="13" customWidth="1"/>
    <col min="3" max="8" width="9" customWidth="1"/>
    <col min="9" max="9" width="12" customWidth="1"/>
    <col min="10" max="10" width="22" customWidth="1"/>
    <col min="11" max="11" width="14" customWidth="1"/>
    <col min="12" max="12" width="22" customWidth="1"/>
    <col min="13" max="13" width="26" customWidth="1"/>
    <col min="14" max="14" width="24" customWidth="1"/>
    <col min="15" max="15" width="20" customWidth="1"/>
    <col min="16" max="16" width="15" customWidth="1"/>
    <col min="17" max="17" width="13" customWidth="1"/>
    <col min="18" max="18" width="11" customWidth="1"/>
    <col min="19" max="19" width="9" customWidth="1"/>
    <col min="20" max="26" width="24" customWidth="1"/>
    <col min="27" max="27" width="3" customWidth="1"/>
    <col min="28" max="28" width="12" customWidth="1"/>
    <col min="29" max="30" width="10" hidden="1" customWidth="1"/>
  </cols>
  <sheetData>
    <row r="1" spans="1:30" ht="24" customHeight="1" x14ac:dyDescent="0.25">
      <c r="A1" s="68" t="s">
        <v>2690</v>
      </c>
      <c r="B1" s="67"/>
      <c r="C1" s="67"/>
      <c r="D1" s="67"/>
      <c r="E1" s="67"/>
      <c r="F1" s="67"/>
      <c r="G1" s="67"/>
      <c r="H1" s="67"/>
      <c r="I1" s="67"/>
      <c r="J1" s="69" t="str">
        <f>"Rows ready to paste: "&amp;COUNT($AB$5:$AB$354)</f>
        <v>Rows ready to paste: 0</v>
      </c>
      <c r="K1" s="67"/>
      <c r="L1" s="67"/>
      <c r="M1" s="67"/>
      <c r="N1" s="67"/>
      <c r="O1" s="70" t="str">
        <f>IF(COUNTIF('ORDER Form'!$V$6:$V$355,"FIX")&gt;0,COUNTIF('ORDER Form'!$V$6:$V$355,"FIX")&amp;" row(s) still marked FIX on the ORDER Form are NOT included below - fix them first (see ERROR SUMMARY).","")</f>
        <v/>
      </c>
      <c r="P1" s="67"/>
      <c r="Q1" s="67"/>
      <c r="R1" s="67"/>
      <c r="S1" s="67"/>
      <c r="T1" s="67"/>
      <c r="U1" s="67"/>
      <c r="V1" s="67"/>
      <c r="W1" s="67"/>
      <c r="X1" s="67"/>
      <c r="Y1" s="67"/>
      <c r="Z1" s="67"/>
    </row>
    <row r="2" spans="1:30" ht="36" customHeight="1" x14ac:dyDescent="0.25">
      <c r="A2" s="71" t="str">
        <f>"HOW TO PASTE INTO SAP: select "&amp;IF(COUNT($AB$5:$AB$354)=0,"the filled rows (none ready yet)","A5:Z"&amp;(4+COUNT($AB$5:$AB$354)))&amp;_xlfn._LONGTEXT(", copy (Ctrl+C), then in the SAP order click the first empty Item No. cell and paste (Ctrl+V). Grey columns are deliberate gaps so every field lands under the right SAP column - keep them in your selection. Only OK rows are listed, with no blank rows in b","etween.")</f>
        <v>HOW TO PASTE INTO SAP: select the filled rows (none ready yet), copy (Ctrl+C), then in the SAP order click the first empty Item No. cell and paste (Ctrl+V). Grey columns are deliberate gaps so every field lands under the right SAP column - keep them in your selection. Only OK rows are listed, with no blank rows in between.</v>
      </c>
      <c r="B2" s="67"/>
      <c r="C2" s="67"/>
      <c r="D2" s="67"/>
      <c r="E2" s="67"/>
      <c r="F2" s="67"/>
      <c r="G2" s="67"/>
      <c r="H2" s="67"/>
      <c r="I2" s="67"/>
      <c r="J2" s="67"/>
      <c r="K2" s="67"/>
      <c r="L2" s="67"/>
      <c r="M2" s="67"/>
      <c r="N2" s="67"/>
      <c r="O2" s="67"/>
      <c r="P2" s="67"/>
      <c r="Q2" s="67"/>
      <c r="R2" s="67"/>
      <c r="S2" s="67"/>
      <c r="T2" s="67"/>
      <c r="U2" s="67"/>
      <c r="V2" s="67"/>
      <c r="W2" s="67"/>
      <c r="X2" s="67"/>
      <c r="Y2" s="67"/>
      <c r="Z2" s="67"/>
    </row>
    <row r="3" spans="1:30" ht="36" customHeight="1" x14ac:dyDescent="0.25">
      <c r="J3" s="72" t="s">
        <v>2691</v>
      </c>
      <c r="K3" s="67"/>
      <c r="L3" s="67"/>
      <c r="M3" s="67"/>
      <c r="N3" s="67"/>
      <c r="O3" s="67"/>
      <c r="P3" s="67"/>
      <c r="Q3" s="67"/>
      <c r="R3" s="67"/>
      <c r="S3" s="67"/>
      <c r="T3" s="52"/>
      <c r="U3" s="52"/>
      <c r="V3" s="52"/>
      <c r="W3" s="52"/>
      <c r="X3" s="52"/>
      <c r="Y3" s="52"/>
      <c r="Z3" s="52"/>
    </row>
    <row r="4" spans="1:30" ht="39.950000000000003" customHeight="1" x14ac:dyDescent="0.25">
      <c r="A4" s="5" t="s">
        <v>2692</v>
      </c>
      <c r="B4" s="48" t="s">
        <v>2693</v>
      </c>
      <c r="C4" s="5" t="s">
        <v>51</v>
      </c>
      <c r="D4" s="48" t="s">
        <v>2694</v>
      </c>
      <c r="E4" s="48" t="s">
        <v>2695</v>
      </c>
      <c r="F4" s="48" t="s">
        <v>2696</v>
      </c>
      <c r="G4" s="48" t="s">
        <v>2697</v>
      </c>
      <c r="H4" s="48" t="s">
        <v>2698</v>
      </c>
      <c r="I4" s="48" t="s">
        <v>2699</v>
      </c>
      <c r="J4" s="5" t="s">
        <v>2700</v>
      </c>
      <c r="K4" s="5" t="s">
        <v>2701</v>
      </c>
      <c r="L4" s="5" t="s">
        <v>2702</v>
      </c>
      <c r="M4" s="5" t="s">
        <v>2703</v>
      </c>
      <c r="N4" s="5" t="s">
        <v>2704</v>
      </c>
      <c r="O4" s="5" t="s">
        <v>2705</v>
      </c>
      <c r="P4" s="5" t="s">
        <v>63</v>
      </c>
      <c r="Q4" s="5" t="s">
        <v>65</v>
      </c>
      <c r="R4" s="5" t="s">
        <v>67</v>
      </c>
      <c r="S4" s="5" t="s">
        <v>2706</v>
      </c>
      <c r="T4" s="5" t="s">
        <v>2707</v>
      </c>
      <c r="U4" s="5" t="s">
        <v>2708</v>
      </c>
      <c r="V4" s="5" t="s">
        <v>2709</v>
      </c>
      <c r="W4" s="5" t="s">
        <v>2710</v>
      </c>
      <c r="X4" s="5" t="s">
        <v>2711</v>
      </c>
      <c r="Y4" s="5" t="s">
        <v>2712</v>
      </c>
      <c r="Z4" s="5" t="s">
        <v>2713</v>
      </c>
      <c r="AB4" s="5" t="s">
        <v>2714</v>
      </c>
      <c r="AC4" s="5" t="s">
        <v>2715</v>
      </c>
      <c r="AD4" s="5" t="s">
        <v>2716</v>
      </c>
    </row>
    <row r="5" spans="1:30" ht="15" customHeight="1" x14ac:dyDescent="0.25">
      <c r="A5" s="50" t="str">
        <f>IF($AB5="","",IFERROR(IF(AND(INDEX('ORDER Form'!$N$1:$N$355,$AB5)="GB",LEFT(UPPER(TRIM(INDEX('ORDER Form'!$L$1:$L$355,$AB5))),2)="BT"),INDEX('ORDER Form'!$AC$1:$AC$355,$AB5),IFERROR(VLOOKUP(INDEX('ORDER Form'!$AC$1:$AC$355,$AB5)&amp;"|"&amp;INDEX('PRODUCT DATA'!$A$2:$A$58,MATCH(INDEX('ORDER Form'!$N$1:$N$355,$AB5),'PRODUCT DATA'!$B$2:$B$58,0)),'PRODUCT DATA'!$NO$2:$NP$25,2,FALSE()),INDEX('ORDER Form'!$AC$1:$AC$355,$AB5)))&amp;"",""))</f>
        <v/>
      </c>
      <c r="B5" s="49"/>
      <c r="C5" s="51" t="str">
        <f>IF($AB5="","",INDEX('ORDER Form'!$C$1:$C$355,$AB5))</f>
        <v/>
      </c>
      <c r="D5" s="49"/>
      <c r="E5" s="49"/>
      <c r="F5" s="49"/>
      <c r="G5" s="49"/>
      <c r="H5" s="49"/>
      <c r="I5" s="49"/>
      <c r="J5" s="50" t="str">
        <f>IF($AB5="","",INDEX('ORDER Form'!$D$1:$D$355,$AB5)&amp;"")</f>
        <v/>
      </c>
      <c r="K5" s="50" t="str">
        <f>IF($AB5="","",INDEX('ORDER Form'!$E$1:$E$355,$AB5)&amp;"")</f>
        <v/>
      </c>
      <c r="L5" s="50" t="str">
        <f>IF($AB5="","",INDEX('ORDER Form'!$F$1:$F$355,$AB5)&amp;"")</f>
        <v/>
      </c>
      <c r="M5" s="50" t="str">
        <f>IF($AB5="","",INDEX('ORDER Form'!$G$1:$G$355,$AB5)&amp;"")</f>
        <v/>
      </c>
      <c r="N5" s="50" t="str">
        <f>IF($AB5="","",INDEX('ORDER Form'!$H$1:$H$355,$AB5)&amp;"")</f>
        <v/>
      </c>
      <c r="O5" s="50" t="str">
        <f>IF($AB5="","",INDEX('ORDER Form'!$I$1:$I$355,$AB5)&amp;"")</f>
        <v/>
      </c>
      <c r="P5" s="50" t="str">
        <f>IF($AB5="","",INDEX('ORDER Form'!$J$1:$J$355,$AB5)&amp;"")</f>
        <v/>
      </c>
      <c r="Q5" s="50" t="str">
        <f>IF($AB5="","",INDEX('ORDER Form'!$AB$1:$AB$355,$AB5)&amp;"")</f>
        <v/>
      </c>
      <c r="R5" s="50" t="str">
        <f>IF($AB5="","",INDEX('ORDER Form'!$L$1:$L$355,$AB5)&amp;"")</f>
        <v/>
      </c>
      <c r="S5" s="50" t="str">
        <f>IF($AB5="","",INDEX('ORDER Form'!$N$1:$N$355,$AB5)&amp;"")</f>
        <v/>
      </c>
      <c r="T5" s="50" t="str">
        <f>IF($AB5="","",IF($AD5,T$3,INDEX('ORDER Form'!$O$1:$O$355,$AB5))&amp;"")</f>
        <v/>
      </c>
      <c r="U5" s="50" t="str">
        <f>IF($AB5="","",IF($AD5,U$3,INDEX('ORDER Form'!$P$1:$P$355,$AB5))&amp;"")</f>
        <v/>
      </c>
      <c r="V5" s="50" t="str">
        <f>IF($AB5="","",IF($AD5,V$3,INDEX('ORDER Form'!$Q$1:$Q$355,$AB5))&amp;"")</f>
        <v/>
      </c>
      <c r="W5" s="50" t="str">
        <f>IF($AB5="","",IF($AD5,W$3,INDEX('ORDER Form'!$R$1:$R$355,$AB5))&amp;"")</f>
        <v/>
      </c>
      <c r="X5" s="50" t="str">
        <f>IF($AB5="","",IF($AD5,X$3,INDEX('ORDER Form'!$S$1:$S$355,$AB5))&amp;"")</f>
        <v/>
      </c>
      <c r="Y5" s="50" t="str">
        <f>IF($AB5="","",IF($AD5,Y$3,INDEX('ORDER Form'!$T$1:$T$355,$AB5))&amp;"")</f>
        <v/>
      </c>
      <c r="Z5" s="50" t="str">
        <f>IF($AB5="","",IF($AD5,Z$3,INDEX('ORDER Form'!$U$1:$U$355,$AB5))&amp;"")</f>
        <v/>
      </c>
      <c r="AB5" s="51" t="str">
        <f>IFERROR(MATCH(1,$AC$5:$AC$354,0)+5,"")</f>
        <v/>
      </c>
      <c r="AC5" s="51" t="str">
        <f>IF('ORDER Form'!$V6="OK",COUNTIF('ORDER Form'!$V$6:$V6,"OK"),"")</f>
        <v/>
      </c>
      <c r="AD5" s="51" t="str">
        <f>IF($AB5="","",(LEN(TRIM(INDEX('ORDER Form'!$O$1:$O$355,$AB5)))+LEN(TRIM(INDEX('ORDER Form'!$P$1:$P$355,$AB5)))+LEN(TRIM(INDEX('ORDER Form'!$Q$1:$Q$355,$AB5)))+LEN(TRIM(INDEX('ORDER Form'!$R$1:$R$355,$AB5)))+LEN(TRIM(INDEX('ORDER Form'!$S$1:$S$355,$AB5)))+LEN(TRIM(INDEX('ORDER Form'!$T$1:$T$355,$AB5)))+LEN(TRIM(INDEX('ORDER Form'!$U$1:$U$355,$AB5))))=0)</f>
        <v/>
      </c>
    </row>
    <row r="6" spans="1:30" ht="15" customHeight="1" x14ac:dyDescent="0.25">
      <c r="A6" s="50" t="str">
        <f>IF($AB6="","",IFERROR(IF(AND(INDEX('ORDER Form'!$N$1:$N$355,$AB6)="GB",LEFT(UPPER(TRIM(INDEX('ORDER Form'!$L$1:$L$355,$AB6))),2)="BT"),INDEX('ORDER Form'!$AC$1:$AC$355,$AB6),IFERROR(VLOOKUP(INDEX('ORDER Form'!$AC$1:$AC$355,$AB6)&amp;"|"&amp;INDEX('PRODUCT DATA'!$A$2:$A$58,MATCH(INDEX('ORDER Form'!$N$1:$N$355,$AB6),'PRODUCT DATA'!$B$2:$B$58,0)),'PRODUCT DATA'!$NO$2:$NP$25,2,FALSE()),INDEX('ORDER Form'!$AC$1:$AC$355,$AB6)))&amp;"",""))</f>
        <v/>
      </c>
      <c r="B6" s="49"/>
      <c r="C6" s="51" t="str">
        <f>IF($AB6="","",INDEX('ORDER Form'!$C$1:$C$355,$AB6))</f>
        <v/>
      </c>
      <c r="D6" s="49"/>
      <c r="E6" s="49"/>
      <c r="F6" s="49"/>
      <c r="G6" s="49"/>
      <c r="H6" s="49"/>
      <c r="I6" s="49"/>
      <c r="J6" s="50" t="str">
        <f>IF($AB6="","",INDEX('ORDER Form'!$D$1:$D$355,$AB6)&amp;"")</f>
        <v/>
      </c>
      <c r="K6" s="50" t="str">
        <f>IF($AB6="","",INDEX('ORDER Form'!$E$1:$E$355,$AB6)&amp;"")</f>
        <v/>
      </c>
      <c r="L6" s="50" t="str">
        <f>IF($AB6="","",INDEX('ORDER Form'!$F$1:$F$355,$AB6)&amp;"")</f>
        <v/>
      </c>
      <c r="M6" s="50" t="str">
        <f>IF($AB6="","",INDEX('ORDER Form'!$G$1:$G$355,$AB6)&amp;"")</f>
        <v/>
      </c>
      <c r="N6" s="50" t="str">
        <f>IF($AB6="","",INDEX('ORDER Form'!$H$1:$H$355,$AB6)&amp;"")</f>
        <v/>
      </c>
      <c r="O6" s="50" t="str">
        <f>IF($AB6="","",INDEX('ORDER Form'!$I$1:$I$355,$AB6)&amp;"")</f>
        <v/>
      </c>
      <c r="P6" s="50" t="str">
        <f>IF($AB6="","",INDEX('ORDER Form'!$J$1:$J$355,$AB6)&amp;"")</f>
        <v/>
      </c>
      <c r="Q6" s="50" t="str">
        <f>IF($AB6="","",INDEX('ORDER Form'!$AB$1:$AB$355,$AB6)&amp;"")</f>
        <v/>
      </c>
      <c r="R6" s="50" t="str">
        <f>IF($AB6="","",INDEX('ORDER Form'!$L$1:$L$355,$AB6)&amp;"")</f>
        <v/>
      </c>
      <c r="S6" s="50" t="str">
        <f>IF($AB6="","",INDEX('ORDER Form'!$N$1:$N$355,$AB6)&amp;"")</f>
        <v/>
      </c>
      <c r="T6" s="50" t="str">
        <f>IF($AB6="","",IF($AD6,T$3,INDEX('ORDER Form'!$O$1:$O$355,$AB6))&amp;"")</f>
        <v/>
      </c>
      <c r="U6" s="50" t="str">
        <f>IF($AB6="","",IF($AD6,U$3,INDEX('ORDER Form'!$P$1:$P$355,$AB6))&amp;"")</f>
        <v/>
      </c>
      <c r="V6" s="50" t="str">
        <f>IF($AB6="","",IF($AD6,V$3,INDEX('ORDER Form'!$Q$1:$Q$355,$AB6))&amp;"")</f>
        <v/>
      </c>
      <c r="W6" s="50" t="str">
        <f>IF($AB6="","",IF($AD6,W$3,INDEX('ORDER Form'!$R$1:$R$355,$AB6))&amp;"")</f>
        <v/>
      </c>
      <c r="X6" s="50" t="str">
        <f>IF($AB6="","",IF($AD6,X$3,INDEX('ORDER Form'!$S$1:$S$355,$AB6))&amp;"")</f>
        <v/>
      </c>
      <c r="Y6" s="50" t="str">
        <f>IF($AB6="","",IF($AD6,Y$3,INDEX('ORDER Form'!$T$1:$T$355,$AB6))&amp;"")</f>
        <v/>
      </c>
      <c r="Z6" s="50" t="str">
        <f>IF($AB6="","",IF($AD6,Z$3,INDEX('ORDER Form'!$U$1:$U$355,$AB6))&amp;"")</f>
        <v/>
      </c>
      <c r="AB6" s="51" t="str">
        <f>IFERROR(MATCH(2,$AC$5:$AC$354,0)+5,"")</f>
        <v/>
      </c>
      <c r="AC6" s="51" t="str">
        <f>IF('ORDER Form'!$V7="OK",COUNTIF('ORDER Form'!$V$6:$V7,"OK"),"")</f>
        <v/>
      </c>
      <c r="AD6" s="51" t="str">
        <f>IF($AB6="","",(LEN(TRIM(INDEX('ORDER Form'!$O$1:$O$355,$AB6)))+LEN(TRIM(INDEX('ORDER Form'!$P$1:$P$355,$AB6)))+LEN(TRIM(INDEX('ORDER Form'!$Q$1:$Q$355,$AB6)))+LEN(TRIM(INDEX('ORDER Form'!$R$1:$R$355,$AB6)))+LEN(TRIM(INDEX('ORDER Form'!$S$1:$S$355,$AB6)))+LEN(TRIM(INDEX('ORDER Form'!$T$1:$T$355,$AB6)))+LEN(TRIM(INDEX('ORDER Form'!$U$1:$U$355,$AB6))))=0)</f>
        <v/>
      </c>
    </row>
    <row r="7" spans="1:30" ht="15" customHeight="1" x14ac:dyDescent="0.25">
      <c r="A7" s="50" t="str">
        <f>IF($AB7="","",IFERROR(IF(AND(INDEX('ORDER Form'!$N$1:$N$355,$AB7)="GB",LEFT(UPPER(TRIM(INDEX('ORDER Form'!$L$1:$L$355,$AB7))),2)="BT"),INDEX('ORDER Form'!$AC$1:$AC$355,$AB7),IFERROR(VLOOKUP(INDEX('ORDER Form'!$AC$1:$AC$355,$AB7)&amp;"|"&amp;INDEX('PRODUCT DATA'!$A$2:$A$58,MATCH(INDEX('ORDER Form'!$N$1:$N$355,$AB7),'PRODUCT DATA'!$B$2:$B$58,0)),'PRODUCT DATA'!$NO$2:$NP$25,2,FALSE()),INDEX('ORDER Form'!$AC$1:$AC$355,$AB7)))&amp;"",""))</f>
        <v/>
      </c>
      <c r="B7" s="49"/>
      <c r="C7" s="51" t="str">
        <f>IF($AB7="","",INDEX('ORDER Form'!$C$1:$C$355,$AB7))</f>
        <v/>
      </c>
      <c r="D7" s="49"/>
      <c r="E7" s="49"/>
      <c r="F7" s="49"/>
      <c r="G7" s="49"/>
      <c r="H7" s="49"/>
      <c r="I7" s="49"/>
      <c r="J7" s="50" t="str">
        <f>IF($AB7="","",INDEX('ORDER Form'!$D$1:$D$355,$AB7)&amp;"")</f>
        <v/>
      </c>
      <c r="K7" s="50" t="str">
        <f>IF($AB7="","",INDEX('ORDER Form'!$E$1:$E$355,$AB7)&amp;"")</f>
        <v/>
      </c>
      <c r="L7" s="50" t="str">
        <f>IF($AB7="","",INDEX('ORDER Form'!$F$1:$F$355,$AB7)&amp;"")</f>
        <v/>
      </c>
      <c r="M7" s="50" t="str">
        <f>IF($AB7="","",INDEX('ORDER Form'!$G$1:$G$355,$AB7)&amp;"")</f>
        <v/>
      </c>
      <c r="N7" s="50" t="str">
        <f>IF($AB7="","",INDEX('ORDER Form'!$H$1:$H$355,$AB7)&amp;"")</f>
        <v/>
      </c>
      <c r="O7" s="50" t="str">
        <f>IF($AB7="","",INDEX('ORDER Form'!$I$1:$I$355,$AB7)&amp;"")</f>
        <v/>
      </c>
      <c r="P7" s="50" t="str">
        <f>IF($AB7="","",INDEX('ORDER Form'!$J$1:$J$355,$AB7)&amp;"")</f>
        <v/>
      </c>
      <c r="Q7" s="50" t="str">
        <f>IF($AB7="","",INDEX('ORDER Form'!$AB$1:$AB$355,$AB7)&amp;"")</f>
        <v/>
      </c>
      <c r="R7" s="50" t="str">
        <f>IF($AB7="","",INDEX('ORDER Form'!$L$1:$L$355,$AB7)&amp;"")</f>
        <v/>
      </c>
      <c r="S7" s="50" t="str">
        <f>IF($AB7="","",INDEX('ORDER Form'!$N$1:$N$355,$AB7)&amp;"")</f>
        <v/>
      </c>
      <c r="T7" s="50" t="str">
        <f>IF($AB7="","",IF($AD7,T$3,INDEX('ORDER Form'!$O$1:$O$355,$AB7))&amp;"")</f>
        <v/>
      </c>
      <c r="U7" s="50" t="str">
        <f>IF($AB7="","",IF($AD7,U$3,INDEX('ORDER Form'!$P$1:$P$355,$AB7))&amp;"")</f>
        <v/>
      </c>
      <c r="V7" s="50" t="str">
        <f>IF($AB7="","",IF($AD7,V$3,INDEX('ORDER Form'!$Q$1:$Q$355,$AB7))&amp;"")</f>
        <v/>
      </c>
      <c r="W7" s="50" t="str">
        <f>IF($AB7="","",IF($AD7,W$3,INDEX('ORDER Form'!$R$1:$R$355,$AB7))&amp;"")</f>
        <v/>
      </c>
      <c r="X7" s="50" t="str">
        <f>IF($AB7="","",IF($AD7,X$3,INDEX('ORDER Form'!$S$1:$S$355,$AB7))&amp;"")</f>
        <v/>
      </c>
      <c r="Y7" s="50" t="str">
        <f>IF($AB7="","",IF($AD7,Y$3,INDEX('ORDER Form'!$T$1:$T$355,$AB7))&amp;"")</f>
        <v/>
      </c>
      <c r="Z7" s="50" t="str">
        <f>IF($AB7="","",IF($AD7,Z$3,INDEX('ORDER Form'!$U$1:$U$355,$AB7))&amp;"")</f>
        <v/>
      </c>
      <c r="AB7" s="51" t="str">
        <f>IFERROR(MATCH(3,$AC$5:$AC$354,0)+5,"")</f>
        <v/>
      </c>
      <c r="AC7" s="51" t="str">
        <f>IF('ORDER Form'!$V8="OK",COUNTIF('ORDER Form'!$V$6:$V8,"OK"),"")</f>
        <v/>
      </c>
      <c r="AD7" s="51" t="str">
        <f>IF($AB7="","",(LEN(TRIM(INDEX('ORDER Form'!$O$1:$O$355,$AB7)))+LEN(TRIM(INDEX('ORDER Form'!$P$1:$P$355,$AB7)))+LEN(TRIM(INDEX('ORDER Form'!$Q$1:$Q$355,$AB7)))+LEN(TRIM(INDEX('ORDER Form'!$R$1:$R$355,$AB7)))+LEN(TRIM(INDEX('ORDER Form'!$S$1:$S$355,$AB7)))+LEN(TRIM(INDEX('ORDER Form'!$T$1:$T$355,$AB7)))+LEN(TRIM(INDEX('ORDER Form'!$U$1:$U$355,$AB7))))=0)</f>
        <v/>
      </c>
    </row>
    <row r="8" spans="1:30" ht="15" customHeight="1" x14ac:dyDescent="0.25">
      <c r="A8" s="50" t="str">
        <f>IF($AB8="","",IFERROR(IF(AND(INDEX('ORDER Form'!$N$1:$N$355,$AB8)="GB",LEFT(UPPER(TRIM(INDEX('ORDER Form'!$L$1:$L$355,$AB8))),2)="BT"),INDEX('ORDER Form'!$AC$1:$AC$355,$AB8),IFERROR(VLOOKUP(INDEX('ORDER Form'!$AC$1:$AC$355,$AB8)&amp;"|"&amp;INDEX('PRODUCT DATA'!$A$2:$A$58,MATCH(INDEX('ORDER Form'!$N$1:$N$355,$AB8),'PRODUCT DATA'!$B$2:$B$58,0)),'PRODUCT DATA'!$NO$2:$NP$25,2,FALSE()),INDEX('ORDER Form'!$AC$1:$AC$355,$AB8)))&amp;"",""))</f>
        <v/>
      </c>
      <c r="B8" s="49"/>
      <c r="C8" s="51" t="str">
        <f>IF($AB8="","",INDEX('ORDER Form'!$C$1:$C$355,$AB8))</f>
        <v/>
      </c>
      <c r="D8" s="49"/>
      <c r="E8" s="49"/>
      <c r="F8" s="49"/>
      <c r="G8" s="49"/>
      <c r="H8" s="49"/>
      <c r="I8" s="49"/>
      <c r="J8" s="50" t="str">
        <f>IF($AB8="","",INDEX('ORDER Form'!$D$1:$D$355,$AB8)&amp;"")</f>
        <v/>
      </c>
      <c r="K8" s="50" t="str">
        <f>IF($AB8="","",INDEX('ORDER Form'!$E$1:$E$355,$AB8)&amp;"")</f>
        <v/>
      </c>
      <c r="L8" s="50" t="str">
        <f>IF($AB8="","",INDEX('ORDER Form'!$F$1:$F$355,$AB8)&amp;"")</f>
        <v/>
      </c>
      <c r="M8" s="50" t="str">
        <f>IF($AB8="","",INDEX('ORDER Form'!$G$1:$G$355,$AB8)&amp;"")</f>
        <v/>
      </c>
      <c r="N8" s="50" t="str">
        <f>IF($AB8="","",INDEX('ORDER Form'!$H$1:$H$355,$AB8)&amp;"")</f>
        <v/>
      </c>
      <c r="O8" s="50" t="str">
        <f>IF($AB8="","",INDEX('ORDER Form'!$I$1:$I$355,$AB8)&amp;"")</f>
        <v/>
      </c>
      <c r="P8" s="50" t="str">
        <f>IF($AB8="","",INDEX('ORDER Form'!$J$1:$J$355,$AB8)&amp;"")</f>
        <v/>
      </c>
      <c r="Q8" s="50" t="str">
        <f>IF($AB8="","",INDEX('ORDER Form'!$AB$1:$AB$355,$AB8)&amp;"")</f>
        <v/>
      </c>
      <c r="R8" s="50" t="str">
        <f>IF($AB8="","",INDEX('ORDER Form'!$L$1:$L$355,$AB8)&amp;"")</f>
        <v/>
      </c>
      <c r="S8" s="50" t="str">
        <f>IF($AB8="","",INDEX('ORDER Form'!$N$1:$N$355,$AB8)&amp;"")</f>
        <v/>
      </c>
      <c r="T8" s="50" t="str">
        <f>IF($AB8="","",IF($AD8,T$3,INDEX('ORDER Form'!$O$1:$O$355,$AB8))&amp;"")</f>
        <v/>
      </c>
      <c r="U8" s="50" t="str">
        <f>IF($AB8="","",IF($AD8,U$3,INDEX('ORDER Form'!$P$1:$P$355,$AB8))&amp;"")</f>
        <v/>
      </c>
      <c r="V8" s="50" t="str">
        <f>IF($AB8="","",IF($AD8,V$3,INDEX('ORDER Form'!$Q$1:$Q$355,$AB8))&amp;"")</f>
        <v/>
      </c>
      <c r="W8" s="50" t="str">
        <f>IF($AB8="","",IF($AD8,W$3,INDEX('ORDER Form'!$R$1:$R$355,$AB8))&amp;"")</f>
        <v/>
      </c>
      <c r="X8" s="50" t="str">
        <f>IF($AB8="","",IF($AD8,X$3,INDEX('ORDER Form'!$S$1:$S$355,$AB8))&amp;"")</f>
        <v/>
      </c>
      <c r="Y8" s="50" t="str">
        <f>IF($AB8="","",IF($AD8,Y$3,INDEX('ORDER Form'!$T$1:$T$355,$AB8))&amp;"")</f>
        <v/>
      </c>
      <c r="Z8" s="50" t="str">
        <f>IF($AB8="","",IF($AD8,Z$3,INDEX('ORDER Form'!$U$1:$U$355,$AB8))&amp;"")</f>
        <v/>
      </c>
      <c r="AB8" s="51" t="str">
        <f>IFERROR(MATCH(4,$AC$5:$AC$354,0)+5,"")</f>
        <v/>
      </c>
      <c r="AC8" s="51" t="str">
        <f>IF('ORDER Form'!$V9="OK",COUNTIF('ORDER Form'!$V$6:$V9,"OK"),"")</f>
        <v/>
      </c>
      <c r="AD8" s="51" t="str">
        <f>IF($AB8="","",(LEN(TRIM(INDEX('ORDER Form'!$O$1:$O$355,$AB8)))+LEN(TRIM(INDEX('ORDER Form'!$P$1:$P$355,$AB8)))+LEN(TRIM(INDEX('ORDER Form'!$Q$1:$Q$355,$AB8)))+LEN(TRIM(INDEX('ORDER Form'!$R$1:$R$355,$AB8)))+LEN(TRIM(INDEX('ORDER Form'!$S$1:$S$355,$AB8)))+LEN(TRIM(INDEX('ORDER Form'!$T$1:$T$355,$AB8)))+LEN(TRIM(INDEX('ORDER Form'!$U$1:$U$355,$AB8))))=0)</f>
        <v/>
      </c>
    </row>
    <row r="9" spans="1:30" ht="15" customHeight="1" x14ac:dyDescent="0.25">
      <c r="A9" s="50" t="str">
        <f>IF($AB9="","",IFERROR(IF(AND(INDEX('ORDER Form'!$N$1:$N$355,$AB9)="GB",LEFT(UPPER(TRIM(INDEX('ORDER Form'!$L$1:$L$355,$AB9))),2)="BT"),INDEX('ORDER Form'!$AC$1:$AC$355,$AB9),IFERROR(VLOOKUP(INDEX('ORDER Form'!$AC$1:$AC$355,$AB9)&amp;"|"&amp;INDEX('PRODUCT DATA'!$A$2:$A$58,MATCH(INDEX('ORDER Form'!$N$1:$N$355,$AB9),'PRODUCT DATA'!$B$2:$B$58,0)),'PRODUCT DATA'!$NO$2:$NP$25,2,FALSE()),INDEX('ORDER Form'!$AC$1:$AC$355,$AB9)))&amp;"",""))</f>
        <v/>
      </c>
      <c r="B9" s="49"/>
      <c r="C9" s="51" t="str">
        <f>IF($AB9="","",INDEX('ORDER Form'!$C$1:$C$355,$AB9))</f>
        <v/>
      </c>
      <c r="D9" s="49"/>
      <c r="E9" s="49"/>
      <c r="F9" s="49"/>
      <c r="G9" s="49"/>
      <c r="H9" s="49"/>
      <c r="I9" s="49"/>
      <c r="J9" s="50" t="str">
        <f>IF($AB9="","",INDEX('ORDER Form'!$D$1:$D$355,$AB9)&amp;"")</f>
        <v/>
      </c>
      <c r="K9" s="50" t="str">
        <f>IF($AB9="","",INDEX('ORDER Form'!$E$1:$E$355,$AB9)&amp;"")</f>
        <v/>
      </c>
      <c r="L9" s="50" t="str">
        <f>IF($AB9="","",INDEX('ORDER Form'!$F$1:$F$355,$AB9)&amp;"")</f>
        <v/>
      </c>
      <c r="M9" s="50" t="str">
        <f>IF($AB9="","",INDEX('ORDER Form'!$G$1:$G$355,$AB9)&amp;"")</f>
        <v/>
      </c>
      <c r="N9" s="50" t="str">
        <f>IF($AB9="","",INDEX('ORDER Form'!$H$1:$H$355,$AB9)&amp;"")</f>
        <v/>
      </c>
      <c r="O9" s="50" t="str">
        <f>IF($AB9="","",INDEX('ORDER Form'!$I$1:$I$355,$AB9)&amp;"")</f>
        <v/>
      </c>
      <c r="P9" s="50" t="str">
        <f>IF($AB9="","",INDEX('ORDER Form'!$J$1:$J$355,$AB9)&amp;"")</f>
        <v/>
      </c>
      <c r="Q9" s="50" t="str">
        <f>IF($AB9="","",INDEX('ORDER Form'!$AB$1:$AB$355,$AB9)&amp;"")</f>
        <v/>
      </c>
      <c r="R9" s="50" t="str">
        <f>IF($AB9="","",INDEX('ORDER Form'!$L$1:$L$355,$AB9)&amp;"")</f>
        <v/>
      </c>
      <c r="S9" s="50" t="str">
        <f>IF($AB9="","",INDEX('ORDER Form'!$N$1:$N$355,$AB9)&amp;"")</f>
        <v/>
      </c>
      <c r="T9" s="50" t="str">
        <f>IF($AB9="","",IF($AD9,T$3,INDEX('ORDER Form'!$O$1:$O$355,$AB9))&amp;"")</f>
        <v/>
      </c>
      <c r="U9" s="50" t="str">
        <f>IF($AB9="","",IF($AD9,U$3,INDEX('ORDER Form'!$P$1:$P$355,$AB9))&amp;"")</f>
        <v/>
      </c>
      <c r="V9" s="50" t="str">
        <f>IF($AB9="","",IF($AD9,V$3,INDEX('ORDER Form'!$Q$1:$Q$355,$AB9))&amp;"")</f>
        <v/>
      </c>
      <c r="W9" s="50" t="str">
        <f>IF($AB9="","",IF($AD9,W$3,INDEX('ORDER Form'!$R$1:$R$355,$AB9))&amp;"")</f>
        <v/>
      </c>
      <c r="X9" s="50" t="str">
        <f>IF($AB9="","",IF($AD9,X$3,INDEX('ORDER Form'!$S$1:$S$355,$AB9))&amp;"")</f>
        <v/>
      </c>
      <c r="Y9" s="50" t="str">
        <f>IF($AB9="","",IF($AD9,Y$3,INDEX('ORDER Form'!$T$1:$T$355,$AB9))&amp;"")</f>
        <v/>
      </c>
      <c r="Z9" s="50" t="str">
        <f>IF($AB9="","",IF($AD9,Z$3,INDEX('ORDER Form'!$U$1:$U$355,$AB9))&amp;"")</f>
        <v/>
      </c>
      <c r="AB9" s="51" t="str">
        <f>IFERROR(MATCH(5,$AC$5:$AC$354,0)+5,"")</f>
        <v/>
      </c>
      <c r="AC9" s="51" t="str">
        <f>IF('ORDER Form'!$V10="OK",COUNTIF('ORDER Form'!$V$6:$V10,"OK"),"")</f>
        <v/>
      </c>
      <c r="AD9" s="51" t="str">
        <f>IF($AB9="","",(LEN(TRIM(INDEX('ORDER Form'!$O$1:$O$355,$AB9)))+LEN(TRIM(INDEX('ORDER Form'!$P$1:$P$355,$AB9)))+LEN(TRIM(INDEX('ORDER Form'!$Q$1:$Q$355,$AB9)))+LEN(TRIM(INDEX('ORDER Form'!$R$1:$R$355,$AB9)))+LEN(TRIM(INDEX('ORDER Form'!$S$1:$S$355,$AB9)))+LEN(TRIM(INDEX('ORDER Form'!$T$1:$T$355,$AB9)))+LEN(TRIM(INDEX('ORDER Form'!$U$1:$U$355,$AB9))))=0)</f>
        <v/>
      </c>
    </row>
    <row r="10" spans="1:30" ht="15" customHeight="1" x14ac:dyDescent="0.25">
      <c r="A10" s="50" t="str">
        <f>IF($AB10="","",IFERROR(IF(AND(INDEX('ORDER Form'!$N$1:$N$355,$AB10)="GB",LEFT(UPPER(TRIM(INDEX('ORDER Form'!$L$1:$L$355,$AB10))),2)="BT"),INDEX('ORDER Form'!$AC$1:$AC$355,$AB10),IFERROR(VLOOKUP(INDEX('ORDER Form'!$AC$1:$AC$355,$AB10)&amp;"|"&amp;INDEX('PRODUCT DATA'!$A$2:$A$58,MATCH(INDEX('ORDER Form'!$N$1:$N$355,$AB10),'PRODUCT DATA'!$B$2:$B$58,0)),'PRODUCT DATA'!$NO$2:$NP$25,2,FALSE()),INDEX('ORDER Form'!$AC$1:$AC$355,$AB10)))&amp;"",""))</f>
        <v/>
      </c>
      <c r="B10" s="49"/>
      <c r="C10" s="51" t="str">
        <f>IF($AB10="","",INDEX('ORDER Form'!$C$1:$C$355,$AB10))</f>
        <v/>
      </c>
      <c r="D10" s="49"/>
      <c r="E10" s="49"/>
      <c r="F10" s="49"/>
      <c r="G10" s="49"/>
      <c r="H10" s="49"/>
      <c r="I10" s="49"/>
      <c r="J10" s="50" t="str">
        <f>IF($AB10="","",INDEX('ORDER Form'!$D$1:$D$355,$AB10)&amp;"")</f>
        <v/>
      </c>
      <c r="K10" s="50" t="str">
        <f>IF($AB10="","",INDEX('ORDER Form'!$E$1:$E$355,$AB10)&amp;"")</f>
        <v/>
      </c>
      <c r="L10" s="50" t="str">
        <f>IF($AB10="","",INDEX('ORDER Form'!$F$1:$F$355,$AB10)&amp;"")</f>
        <v/>
      </c>
      <c r="M10" s="50" t="str">
        <f>IF($AB10="","",INDEX('ORDER Form'!$G$1:$G$355,$AB10)&amp;"")</f>
        <v/>
      </c>
      <c r="N10" s="50" t="str">
        <f>IF($AB10="","",INDEX('ORDER Form'!$H$1:$H$355,$AB10)&amp;"")</f>
        <v/>
      </c>
      <c r="O10" s="50" t="str">
        <f>IF($AB10="","",INDEX('ORDER Form'!$I$1:$I$355,$AB10)&amp;"")</f>
        <v/>
      </c>
      <c r="P10" s="50" t="str">
        <f>IF($AB10="","",INDEX('ORDER Form'!$J$1:$J$355,$AB10)&amp;"")</f>
        <v/>
      </c>
      <c r="Q10" s="50" t="str">
        <f>IF($AB10="","",INDEX('ORDER Form'!$AB$1:$AB$355,$AB10)&amp;"")</f>
        <v/>
      </c>
      <c r="R10" s="50" t="str">
        <f>IF($AB10="","",INDEX('ORDER Form'!$L$1:$L$355,$AB10)&amp;"")</f>
        <v/>
      </c>
      <c r="S10" s="50" t="str">
        <f>IF($AB10="","",INDEX('ORDER Form'!$N$1:$N$355,$AB10)&amp;"")</f>
        <v/>
      </c>
      <c r="T10" s="50" t="str">
        <f>IF($AB10="","",IF($AD10,T$3,INDEX('ORDER Form'!$O$1:$O$355,$AB10))&amp;"")</f>
        <v/>
      </c>
      <c r="U10" s="50" t="str">
        <f>IF($AB10="","",IF($AD10,U$3,INDEX('ORDER Form'!$P$1:$P$355,$AB10))&amp;"")</f>
        <v/>
      </c>
      <c r="V10" s="50" t="str">
        <f>IF($AB10="","",IF($AD10,V$3,INDEX('ORDER Form'!$Q$1:$Q$355,$AB10))&amp;"")</f>
        <v/>
      </c>
      <c r="W10" s="50" t="str">
        <f>IF($AB10="","",IF($AD10,W$3,INDEX('ORDER Form'!$R$1:$R$355,$AB10))&amp;"")</f>
        <v/>
      </c>
      <c r="X10" s="50" t="str">
        <f>IF($AB10="","",IF($AD10,X$3,INDEX('ORDER Form'!$S$1:$S$355,$AB10))&amp;"")</f>
        <v/>
      </c>
      <c r="Y10" s="50" t="str">
        <f>IF($AB10="","",IF($AD10,Y$3,INDEX('ORDER Form'!$T$1:$T$355,$AB10))&amp;"")</f>
        <v/>
      </c>
      <c r="Z10" s="50" t="str">
        <f>IF($AB10="","",IF($AD10,Z$3,INDEX('ORDER Form'!$U$1:$U$355,$AB10))&amp;"")</f>
        <v/>
      </c>
      <c r="AB10" s="51" t="str">
        <f>IFERROR(MATCH(6,$AC$5:$AC$354,0)+5,"")</f>
        <v/>
      </c>
      <c r="AC10" s="51" t="str">
        <f>IF('ORDER Form'!$V11="OK",COUNTIF('ORDER Form'!$V$6:$V11,"OK"),"")</f>
        <v/>
      </c>
      <c r="AD10" s="51" t="str">
        <f>IF($AB10="","",(LEN(TRIM(INDEX('ORDER Form'!$O$1:$O$355,$AB10)))+LEN(TRIM(INDEX('ORDER Form'!$P$1:$P$355,$AB10)))+LEN(TRIM(INDEX('ORDER Form'!$Q$1:$Q$355,$AB10)))+LEN(TRIM(INDEX('ORDER Form'!$R$1:$R$355,$AB10)))+LEN(TRIM(INDEX('ORDER Form'!$S$1:$S$355,$AB10)))+LEN(TRIM(INDEX('ORDER Form'!$T$1:$T$355,$AB10)))+LEN(TRIM(INDEX('ORDER Form'!$U$1:$U$355,$AB10))))=0)</f>
        <v/>
      </c>
    </row>
    <row r="11" spans="1:30" ht="15" customHeight="1" x14ac:dyDescent="0.25">
      <c r="A11" s="50" t="str">
        <f>IF($AB11="","",IFERROR(IF(AND(INDEX('ORDER Form'!$N$1:$N$355,$AB11)="GB",LEFT(UPPER(TRIM(INDEX('ORDER Form'!$L$1:$L$355,$AB11))),2)="BT"),INDEX('ORDER Form'!$AC$1:$AC$355,$AB11),IFERROR(VLOOKUP(INDEX('ORDER Form'!$AC$1:$AC$355,$AB11)&amp;"|"&amp;INDEX('PRODUCT DATA'!$A$2:$A$58,MATCH(INDEX('ORDER Form'!$N$1:$N$355,$AB11),'PRODUCT DATA'!$B$2:$B$58,0)),'PRODUCT DATA'!$NO$2:$NP$25,2,FALSE()),INDEX('ORDER Form'!$AC$1:$AC$355,$AB11)))&amp;"",""))</f>
        <v/>
      </c>
      <c r="B11" s="49"/>
      <c r="C11" s="51" t="str">
        <f>IF($AB11="","",INDEX('ORDER Form'!$C$1:$C$355,$AB11))</f>
        <v/>
      </c>
      <c r="D11" s="49"/>
      <c r="E11" s="49"/>
      <c r="F11" s="49"/>
      <c r="G11" s="49"/>
      <c r="H11" s="49"/>
      <c r="I11" s="49"/>
      <c r="J11" s="50" t="str">
        <f>IF($AB11="","",INDEX('ORDER Form'!$D$1:$D$355,$AB11)&amp;"")</f>
        <v/>
      </c>
      <c r="K11" s="50" t="str">
        <f>IF($AB11="","",INDEX('ORDER Form'!$E$1:$E$355,$AB11)&amp;"")</f>
        <v/>
      </c>
      <c r="L11" s="50" t="str">
        <f>IF($AB11="","",INDEX('ORDER Form'!$F$1:$F$355,$AB11)&amp;"")</f>
        <v/>
      </c>
      <c r="M11" s="50" t="str">
        <f>IF($AB11="","",INDEX('ORDER Form'!$G$1:$G$355,$AB11)&amp;"")</f>
        <v/>
      </c>
      <c r="N11" s="50" t="str">
        <f>IF($AB11="","",INDEX('ORDER Form'!$H$1:$H$355,$AB11)&amp;"")</f>
        <v/>
      </c>
      <c r="O11" s="50" t="str">
        <f>IF($AB11="","",INDEX('ORDER Form'!$I$1:$I$355,$AB11)&amp;"")</f>
        <v/>
      </c>
      <c r="P11" s="50" t="str">
        <f>IF($AB11="","",INDEX('ORDER Form'!$J$1:$J$355,$AB11)&amp;"")</f>
        <v/>
      </c>
      <c r="Q11" s="50" t="str">
        <f>IF($AB11="","",INDEX('ORDER Form'!$AB$1:$AB$355,$AB11)&amp;"")</f>
        <v/>
      </c>
      <c r="R11" s="50" t="str">
        <f>IF($AB11="","",INDEX('ORDER Form'!$L$1:$L$355,$AB11)&amp;"")</f>
        <v/>
      </c>
      <c r="S11" s="50" t="str">
        <f>IF($AB11="","",INDEX('ORDER Form'!$N$1:$N$355,$AB11)&amp;"")</f>
        <v/>
      </c>
      <c r="T11" s="50" t="str">
        <f>IF($AB11="","",IF($AD11,T$3,INDEX('ORDER Form'!$O$1:$O$355,$AB11))&amp;"")</f>
        <v/>
      </c>
      <c r="U11" s="50" t="str">
        <f>IF($AB11="","",IF($AD11,U$3,INDEX('ORDER Form'!$P$1:$P$355,$AB11))&amp;"")</f>
        <v/>
      </c>
      <c r="V11" s="50" t="str">
        <f>IF($AB11="","",IF($AD11,V$3,INDEX('ORDER Form'!$Q$1:$Q$355,$AB11))&amp;"")</f>
        <v/>
      </c>
      <c r="W11" s="50" t="str">
        <f>IF($AB11="","",IF($AD11,W$3,INDEX('ORDER Form'!$R$1:$R$355,$AB11))&amp;"")</f>
        <v/>
      </c>
      <c r="X11" s="50" t="str">
        <f>IF($AB11="","",IF($AD11,X$3,INDEX('ORDER Form'!$S$1:$S$355,$AB11))&amp;"")</f>
        <v/>
      </c>
      <c r="Y11" s="50" t="str">
        <f>IF($AB11="","",IF($AD11,Y$3,INDEX('ORDER Form'!$T$1:$T$355,$AB11))&amp;"")</f>
        <v/>
      </c>
      <c r="Z11" s="50" t="str">
        <f>IF($AB11="","",IF($AD11,Z$3,INDEX('ORDER Form'!$U$1:$U$355,$AB11))&amp;"")</f>
        <v/>
      </c>
      <c r="AB11" s="51" t="str">
        <f>IFERROR(MATCH(7,$AC$5:$AC$354,0)+5,"")</f>
        <v/>
      </c>
      <c r="AC11" s="51" t="str">
        <f>IF('ORDER Form'!$V12="OK",COUNTIF('ORDER Form'!$V$6:$V12,"OK"),"")</f>
        <v/>
      </c>
      <c r="AD11" s="51" t="str">
        <f>IF($AB11="","",(LEN(TRIM(INDEX('ORDER Form'!$O$1:$O$355,$AB11)))+LEN(TRIM(INDEX('ORDER Form'!$P$1:$P$355,$AB11)))+LEN(TRIM(INDEX('ORDER Form'!$Q$1:$Q$355,$AB11)))+LEN(TRIM(INDEX('ORDER Form'!$R$1:$R$355,$AB11)))+LEN(TRIM(INDEX('ORDER Form'!$S$1:$S$355,$AB11)))+LEN(TRIM(INDEX('ORDER Form'!$T$1:$T$355,$AB11)))+LEN(TRIM(INDEX('ORDER Form'!$U$1:$U$355,$AB11))))=0)</f>
        <v/>
      </c>
    </row>
    <row r="12" spans="1:30" ht="15" customHeight="1" x14ac:dyDescent="0.25">
      <c r="A12" s="50" t="str">
        <f>IF($AB12="","",IFERROR(IF(AND(INDEX('ORDER Form'!$N$1:$N$355,$AB12)="GB",LEFT(UPPER(TRIM(INDEX('ORDER Form'!$L$1:$L$355,$AB12))),2)="BT"),INDEX('ORDER Form'!$AC$1:$AC$355,$AB12),IFERROR(VLOOKUP(INDEX('ORDER Form'!$AC$1:$AC$355,$AB12)&amp;"|"&amp;INDEX('PRODUCT DATA'!$A$2:$A$58,MATCH(INDEX('ORDER Form'!$N$1:$N$355,$AB12),'PRODUCT DATA'!$B$2:$B$58,0)),'PRODUCT DATA'!$NO$2:$NP$25,2,FALSE()),INDEX('ORDER Form'!$AC$1:$AC$355,$AB12)))&amp;"",""))</f>
        <v/>
      </c>
      <c r="B12" s="49"/>
      <c r="C12" s="51" t="str">
        <f>IF($AB12="","",INDEX('ORDER Form'!$C$1:$C$355,$AB12))</f>
        <v/>
      </c>
      <c r="D12" s="49"/>
      <c r="E12" s="49"/>
      <c r="F12" s="49"/>
      <c r="G12" s="49"/>
      <c r="H12" s="49"/>
      <c r="I12" s="49"/>
      <c r="J12" s="50" t="str">
        <f>IF($AB12="","",INDEX('ORDER Form'!$D$1:$D$355,$AB12)&amp;"")</f>
        <v/>
      </c>
      <c r="K12" s="50" t="str">
        <f>IF($AB12="","",INDEX('ORDER Form'!$E$1:$E$355,$AB12)&amp;"")</f>
        <v/>
      </c>
      <c r="L12" s="50" t="str">
        <f>IF($AB12="","",INDEX('ORDER Form'!$F$1:$F$355,$AB12)&amp;"")</f>
        <v/>
      </c>
      <c r="M12" s="50" t="str">
        <f>IF($AB12="","",INDEX('ORDER Form'!$G$1:$G$355,$AB12)&amp;"")</f>
        <v/>
      </c>
      <c r="N12" s="50" t="str">
        <f>IF($AB12="","",INDEX('ORDER Form'!$H$1:$H$355,$AB12)&amp;"")</f>
        <v/>
      </c>
      <c r="O12" s="50" t="str">
        <f>IF($AB12="","",INDEX('ORDER Form'!$I$1:$I$355,$AB12)&amp;"")</f>
        <v/>
      </c>
      <c r="P12" s="50" t="str">
        <f>IF($AB12="","",INDEX('ORDER Form'!$J$1:$J$355,$AB12)&amp;"")</f>
        <v/>
      </c>
      <c r="Q12" s="50" t="str">
        <f>IF($AB12="","",INDEX('ORDER Form'!$AB$1:$AB$355,$AB12)&amp;"")</f>
        <v/>
      </c>
      <c r="R12" s="50" t="str">
        <f>IF($AB12="","",INDEX('ORDER Form'!$L$1:$L$355,$AB12)&amp;"")</f>
        <v/>
      </c>
      <c r="S12" s="50" t="str">
        <f>IF($AB12="","",INDEX('ORDER Form'!$N$1:$N$355,$AB12)&amp;"")</f>
        <v/>
      </c>
      <c r="T12" s="50" t="str">
        <f>IF($AB12="","",IF($AD12,T$3,INDEX('ORDER Form'!$O$1:$O$355,$AB12))&amp;"")</f>
        <v/>
      </c>
      <c r="U12" s="50" t="str">
        <f>IF($AB12="","",IF($AD12,U$3,INDEX('ORDER Form'!$P$1:$P$355,$AB12))&amp;"")</f>
        <v/>
      </c>
      <c r="V12" s="50" t="str">
        <f>IF($AB12="","",IF($AD12,V$3,INDEX('ORDER Form'!$Q$1:$Q$355,$AB12))&amp;"")</f>
        <v/>
      </c>
      <c r="W12" s="50" t="str">
        <f>IF($AB12="","",IF($AD12,W$3,INDEX('ORDER Form'!$R$1:$R$355,$AB12))&amp;"")</f>
        <v/>
      </c>
      <c r="X12" s="50" t="str">
        <f>IF($AB12="","",IF($AD12,X$3,INDEX('ORDER Form'!$S$1:$S$355,$AB12))&amp;"")</f>
        <v/>
      </c>
      <c r="Y12" s="50" t="str">
        <f>IF($AB12="","",IF($AD12,Y$3,INDEX('ORDER Form'!$T$1:$T$355,$AB12))&amp;"")</f>
        <v/>
      </c>
      <c r="Z12" s="50" t="str">
        <f>IF($AB12="","",IF($AD12,Z$3,INDEX('ORDER Form'!$U$1:$U$355,$AB12))&amp;"")</f>
        <v/>
      </c>
      <c r="AB12" s="51" t="str">
        <f>IFERROR(MATCH(8,$AC$5:$AC$354,0)+5,"")</f>
        <v/>
      </c>
      <c r="AC12" s="51" t="str">
        <f>IF('ORDER Form'!$V13="OK",COUNTIF('ORDER Form'!$V$6:$V13,"OK"),"")</f>
        <v/>
      </c>
      <c r="AD12" s="51" t="str">
        <f>IF($AB12="","",(LEN(TRIM(INDEX('ORDER Form'!$O$1:$O$355,$AB12)))+LEN(TRIM(INDEX('ORDER Form'!$P$1:$P$355,$AB12)))+LEN(TRIM(INDEX('ORDER Form'!$Q$1:$Q$355,$AB12)))+LEN(TRIM(INDEX('ORDER Form'!$R$1:$R$355,$AB12)))+LEN(TRIM(INDEX('ORDER Form'!$S$1:$S$355,$AB12)))+LEN(TRIM(INDEX('ORDER Form'!$T$1:$T$355,$AB12)))+LEN(TRIM(INDEX('ORDER Form'!$U$1:$U$355,$AB12))))=0)</f>
        <v/>
      </c>
    </row>
    <row r="13" spans="1:30" ht="15" customHeight="1" x14ac:dyDescent="0.25">
      <c r="A13" s="50" t="str">
        <f>IF($AB13="","",IFERROR(IF(AND(INDEX('ORDER Form'!$N$1:$N$355,$AB13)="GB",LEFT(UPPER(TRIM(INDEX('ORDER Form'!$L$1:$L$355,$AB13))),2)="BT"),INDEX('ORDER Form'!$AC$1:$AC$355,$AB13),IFERROR(VLOOKUP(INDEX('ORDER Form'!$AC$1:$AC$355,$AB13)&amp;"|"&amp;INDEX('PRODUCT DATA'!$A$2:$A$58,MATCH(INDEX('ORDER Form'!$N$1:$N$355,$AB13),'PRODUCT DATA'!$B$2:$B$58,0)),'PRODUCT DATA'!$NO$2:$NP$25,2,FALSE()),INDEX('ORDER Form'!$AC$1:$AC$355,$AB13)))&amp;"",""))</f>
        <v/>
      </c>
      <c r="B13" s="49"/>
      <c r="C13" s="51" t="str">
        <f>IF($AB13="","",INDEX('ORDER Form'!$C$1:$C$355,$AB13))</f>
        <v/>
      </c>
      <c r="D13" s="49"/>
      <c r="E13" s="49"/>
      <c r="F13" s="49"/>
      <c r="G13" s="49"/>
      <c r="H13" s="49"/>
      <c r="I13" s="49"/>
      <c r="J13" s="50" t="str">
        <f>IF($AB13="","",INDEX('ORDER Form'!$D$1:$D$355,$AB13)&amp;"")</f>
        <v/>
      </c>
      <c r="K13" s="50" t="str">
        <f>IF($AB13="","",INDEX('ORDER Form'!$E$1:$E$355,$AB13)&amp;"")</f>
        <v/>
      </c>
      <c r="L13" s="50" t="str">
        <f>IF($AB13="","",INDEX('ORDER Form'!$F$1:$F$355,$AB13)&amp;"")</f>
        <v/>
      </c>
      <c r="M13" s="50" t="str">
        <f>IF($AB13="","",INDEX('ORDER Form'!$G$1:$G$355,$AB13)&amp;"")</f>
        <v/>
      </c>
      <c r="N13" s="50" t="str">
        <f>IF($AB13="","",INDEX('ORDER Form'!$H$1:$H$355,$AB13)&amp;"")</f>
        <v/>
      </c>
      <c r="O13" s="50" t="str">
        <f>IF($AB13="","",INDEX('ORDER Form'!$I$1:$I$355,$AB13)&amp;"")</f>
        <v/>
      </c>
      <c r="P13" s="50" t="str">
        <f>IF($AB13="","",INDEX('ORDER Form'!$J$1:$J$355,$AB13)&amp;"")</f>
        <v/>
      </c>
      <c r="Q13" s="50" t="str">
        <f>IF($AB13="","",INDEX('ORDER Form'!$AB$1:$AB$355,$AB13)&amp;"")</f>
        <v/>
      </c>
      <c r="R13" s="50" t="str">
        <f>IF($AB13="","",INDEX('ORDER Form'!$L$1:$L$355,$AB13)&amp;"")</f>
        <v/>
      </c>
      <c r="S13" s="50" t="str">
        <f>IF($AB13="","",INDEX('ORDER Form'!$N$1:$N$355,$AB13)&amp;"")</f>
        <v/>
      </c>
      <c r="T13" s="50" t="str">
        <f>IF($AB13="","",IF($AD13,T$3,INDEX('ORDER Form'!$O$1:$O$355,$AB13))&amp;"")</f>
        <v/>
      </c>
      <c r="U13" s="50" t="str">
        <f>IF($AB13="","",IF($AD13,U$3,INDEX('ORDER Form'!$P$1:$P$355,$AB13))&amp;"")</f>
        <v/>
      </c>
      <c r="V13" s="50" t="str">
        <f>IF($AB13="","",IF($AD13,V$3,INDEX('ORDER Form'!$Q$1:$Q$355,$AB13))&amp;"")</f>
        <v/>
      </c>
      <c r="W13" s="50" t="str">
        <f>IF($AB13="","",IF($AD13,W$3,INDEX('ORDER Form'!$R$1:$R$355,$AB13))&amp;"")</f>
        <v/>
      </c>
      <c r="X13" s="50" t="str">
        <f>IF($AB13="","",IF($AD13,X$3,INDEX('ORDER Form'!$S$1:$S$355,$AB13))&amp;"")</f>
        <v/>
      </c>
      <c r="Y13" s="50" t="str">
        <f>IF($AB13="","",IF($AD13,Y$3,INDEX('ORDER Form'!$T$1:$T$355,$AB13))&amp;"")</f>
        <v/>
      </c>
      <c r="Z13" s="50" t="str">
        <f>IF($AB13="","",IF($AD13,Z$3,INDEX('ORDER Form'!$U$1:$U$355,$AB13))&amp;"")</f>
        <v/>
      </c>
      <c r="AB13" s="51" t="str">
        <f>IFERROR(MATCH(9,$AC$5:$AC$354,0)+5,"")</f>
        <v/>
      </c>
      <c r="AC13" s="51" t="str">
        <f>IF('ORDER Form'!$V14="OK",COUNTIF('ORDER Form'!$V$6:$V14,"OK"),"")</f>
        <v/>
      </c>
      <c r="AD13" s="51" t="str">
        <f>IF($AB13="","",(LEN(TRIM(INDEX('ORDER Form'!$O$1:$O$355,$AB13)))+LEN(TRIM(INDEX('ORDER Form'!$P$1:$P$355,$AB13)))+LEN(TRIM(INDEX('ORDER Form'!$Q$1:$Q$355,$AB13)))+LEN(TRIM(INDEX('ORDER Form'!$R$1:$R$355,$AB13)))+LEN(TRIM(INDEX('ORDER Form'!$S$1:$S$355,$AB13)))+LEN(TRIM(INDEX('ORDER Form'!$T$1:$T$355,$AB13)))+LEN(TRIM(INDEX('ORDER Form'!$U$1:$U$355,$AB13))))=0)</f>
        <v/>
      </c>
    </row>
    <row r="14" spans="1:30" ht="15" customHeight="1" x14ac:dyDescent="0.25">
      <c r="A14" s="50" t="str">
        <f>IF($AB14="","",IFERROR(IF(AND(INDEX('ORDER Form'!$N$1:$N$355,$AB14)="GB",LEFT(UPPER(TRIM(INDEX('ORDER Form'!$L$1:$L$355,$AB14))),2)="BT"),INDEX('ORDER Form'!$AC$1:$AC$355,$AB14),IFERROR(VLOOKUP(INDEX('ORDER Form'!$AC$1:$AC$355,$AB14)&amp;"|"&amp;INDEX('PRODUCT DATA'!$A$2:$A$58,MATCH(INDEX('ORDER Form'!$N$1:$N$355,$AB14),'PRODUCT DATA'!$B$2:$B$58,0)),'PRODUCT DATA'!$NO$2:$NP$25,2,FALSE()),INDEX('ORDER Form'!$AC$1:$AC$355,$AB14)))&amp;"",""))</f>
        <v/>
      </c>
      <c r="B14" s="49"/>
      <c r="C14" s="51" t="str">
        <f>IF($AB14="","",INDEX('ORDER Form'!$C$1:$C$355,$AB14))</f>
        <v/>
      </c>
      <c r="D14" s="49"/>
      <c r="E14" s="49"/>
      <c r="F14" s="49"/>
      <c r="G14" s="49"/>
      <c r="H14" s="49"/>
      <c r="I14" s="49"/>
      <c r="J14" s="50" t="str">
        <f>IF($AB14="","",INDEX('ORDER Form'!$D$1:$D$355,$AB14)&amp;"")</f>
        <v/>
      </c>
      <c r="K14" s="50" t="str">
        <f>IF($AB14="","",INDEX('ORDER Form'!$E$1:$E$355,$AB14)&amp;"")</f>
        <v/>
      </c>
      <c r="L14" s="50" t="str">
        <f>IF($AB14="","",INDEX('ORDER Form'!$F$1:$F$355,$AB14)&amp;"")</f>
        <v/>
      </c>
      <c r="M14" s="50" t="str">
        <f>IF($AB14="","",INDEX('ORDER Form'!$G$1:$G$355,$AB14)&amp;"")</f>
        <v/>
      </c>
      <c r="N14" s="50" t="str">
        <f>IF($AB14="","",INDEX('ORDER Form'!$H$1:$H$355,$AB14)&amp;"")</f>
        <v/>
      </c>
      <c r="O14" s="50" t="str">
        <f>IF($AB14="","",INDEX('ORDER Form'!$I$1:$I$355,$AB14)&amp;"")</f>
        <v/>
      </c>
      <c r="P14" s="50" t="str">
        <f>IF($AB14="","",INDEX('ORDER Form'!$J$1:$J$355,$AB14)&amp;"")</f>
        <v/>
      </c>
      <c r="Q14" s="50" t="str">
        <f>IF($AB14="","",INDEX('ORDER Form'!$AB$1:$AB$355,$AB14)&amp;"")</f>
        <v/>
      </c>
      <c r="R14" s="50" t="str">
        <f>IF($AB14="","",INDEX('ORDER Form'!$L$1:$L$355,$AB14)&amp;"")</f>
        <v/>
      </c>
      <c r="S14" s="50" t="str">
        <f>IF($AB14="","",INDEX('ORDER Form'!$N$1:$N$355,$AB14)&amp;"")</f>
        <v/>
      </c>
      <c r="T14" s="50" t="str">
        <f>IF($AB14="","",IF($AD14,T$3,INDEX('ORDER Form'!$O$1:$O$355,$AB14))&amp;"")</f>
        <v/>
      </c>
      <c r="U14" s="50" t="str">
        <f>IF($AB14="","",IF($AD14,U$3,INDEX('ORDER Form'!$P$1:$P$355,$AB14))&amp;"")</f>
        <v/>
      </c>
      <c r="V14" s="50" t="str">
        <f>IF($AB14="","",IF($AD14,V$3,INDEX('ORDER Form'!$Q$1:$Q$355,$AB14))&amp;"")</f>
        <v/>
      </c>
      <c r="W14" s="50" t="str">
        <f>IF($AB14="","",IF($AD14,W$3,INDEX('ORDER Form'!$R$1:$R$355,$AB14))&amp;"")</f>
        <v/>
      </c>
      <c r="X14" s="50" t="str">
        <f>IF($AB14="","",IF($AD14,X$3,INDEX('ORDER Form'!$S$1:$S$355,$AB14))&amp;"")</f>
        <v/>
      </c>
      <c r="Y14" s="50" t="str">
        <f>IF($AB14="","",IF($AD14,Y$3,INDEX('ORDER Form'!$T$1:$T$355,$AB14))&amp;"")</f>
        <v/>
      </c>
      <c r="Z14" s="50" t="str">
        <f>IF($AB14="","",IF($AD14,Z$3,INDEX('ORDER Form'!$U$1:$U$355,$AB14))&amp;"")</f>
        <v/>
      </c>
      <c r="AB14" s="51" t="str">
        <f>IFERROR(MATCH(10,$AC$5:$AC$354,0)+5,"")</f>
        <v/>
      </c>
      <c r="AC14" s="51" t="str">
        <f>IF('ORDER Form'!$V15="OK",COUNTIF('ORDER Form'!$V$6:$V15,"OK"),"")</f>
        <v/>
      </c>
      <c r="AD14" s="51" t="str">
        <f>IF($AB14="","",(LEN(TRIM(INDEX('ORDER Form'!$O$1:$O$355,$AB14)))+LEN(TRIM(INDEX('ORDER Form'!$P$1:$P$355,$AB14)))+LEN(TRIM(INDEX('ORDER Form'!$Q$1:$Q$355,$AB14)))+LEN(TRIM(INDEX('ORDER Form'!$R$1:$R$355,$AB14)))+LEN(TRIM(INDEX('ORDER Form'!$S$1:$S$355,$AB14)))+LEN(TRIM(INDEX('ORDER Form'!$T$1:$T$355,$AB14)))+LEN(TRIM(INDEX('ORDER Form'!$U$1:$U$355,$AB14))))=0)</f>
        <v/>
      </c>
    </row>
    <row r="15" spans="1:30" ht="15" customHeight="1" x14ac:dyDescent="0.25">
      <c r="A15" s="50" t="str">
        <f>IF($AB15="","",IFERROR(IF(AND(INDEX('ORDER Form'!$N$1:$N$355,$AB15)="GB",LEFT(UPPER(TRIM(INDEX('ORDER Form'!$L$1:$L$355,$AB15))),2)="BT"),INDEX('ORDER Form'!$AC$1:$AC$355,$AB15),IFERROR(VLOOKUP(INDEX('ORDER Form'!$AC$1:$AC$355,$AB15)&amp;"|"&amp;INDEX('PRODUCT DATA'!$A$2:$A$58,MATCH(INDEX('ORDER Form'!$N$1:$N$355,$AB15),'PRODUCT DATA'!$B$2:$B$58,0)),'PRODUCT DATA'!$NO$2:$NP$25,2,FALSE()),INDEX('ORDER Form'!$AC$1:$AC$355,$AB15)))&amp;"",""))</f>
        <v/>
      </c>
      <c r="B15" s="49"/>
      <c r="C15" s="51" t="str">
        <f>IF($AB15="","",INDEX('ORDER Form'!$C$1:$C$355,$AB15))</f>
        <v/>
      </c>
      <c r="D15" s="49"/>
      <c r="E15" s="49"/>
      <c r="F15" s="49"/>
      <c r="G15" s="49"/>
      <c r="H15" s="49"/>
      <c r="I15" s="49"/>
      <c r="J15" s="50" t="str">
        <f>IF($AB15="","",INDEX('ORDER Form'!$D$1:$D$355,$AB15)&amp;"")</f>
        <v/>
      </c>
      <c r="K15" s="50" t="str">
        <f>IF($AB15="","",INDEX('ORDER Form'!$E$1:$E$355,$AB15)&amp;"")</f>
        <v/>
      </c>
      <c r="L15" s="50" t="str">
        <f>IF($AB15="","",INDEX('ORDER Form'!$F$1:$F$355,$AB15)&amp;"")</f>
        <v/>
      </c>
      <c r="M15" s="50" t="str">
        <f>IF($AB15="","",INDEX('ORDER Form'!$G$1:$G$355,$AB15)&amp;"")</f>
        <v/>
      </c>
      <c r="N15" s="50" t="str">
        <f>IF($AB15="","",INDEX('ORDER Form'!$H$1:$H$355,$AB15)&amp;"")</f>
        <v/>
      </c>
      <c r="O15" s="50" t="str">
        <f>IF($AB15="","",INDEX('ORDER Form'!$I$1:$I$355,$AB15)&amp;"")</f>
        <v/>
      </c>
      <c r="P15" s="50" t="str">
        <f>IF($AB15="","",INDEX('ORDER Form'!$J$1:$J$355,$AB15)&amp;"")</f>
        <v/>
      </c>
      <c r="Q15" s="50" t="str">
        <f>IF($AB15="","",INDEX('ORDER Form'!$AB$1:$AB$355,$AB15)&amp;"")</f>
        <v/>
      </c>
      <c r="R15" s="50" t="str">
        <f>IF($AB15="","",INDEX('ORDER Form'!$L$1:$L$355,$AB15)&amp;"")</f>
        <v/>
      </c>
      <c r="S15" s="50" t="str">
        <f>IF($AB15="","",INDEX('ORDER Form'!$N$1:$N$355,$AB15)&amp;"")</f>
        <v/>
      </c>
      <c r="T15" s="50" t="str">
        <f>IF($AB15="","",IF($AD15,T$3,INDEX('ORDER Form'!$O$1:$O$355,$AB15))&amp;"")</f>
        <v/>
      </c>
      <c r="U15" s="50" t="str">
        <f>IF($AB15="","",IF($AD15,U$3,INDEX('ORDER Form'!$P$1:$P$355,$AB15))&amp;"")</f>
        <v/>
      </c>
      <c r="V15" s="50" t="str">
        <f>IF($AB15="","",IF($AD15,V$3,INDEX('ORDER Form'!$Q$1:$Q$355,$AB15))&amp;"")</f>
        <v/>
      </c>
      <c r="W15" s="50" t="str">
        <f>IF($AB15="","",IF($AD15,W$3,INDEX('ORDER Form'!$R$1:$R$355,$AB15))&amp;"")</f>
        <v/>
      </c>
      <c r="X15" s="50" t="str">
        <f>IF($AB15="","",IF($AD15,X$3,INDEX('ORDER Form'!$S$1:$S$355,$AB15))&amp;"")</f>
        <v/>
      </c>
      <c r="Y15" s="50" t="str">
        <f>IF($AB15="","",IF($AD15,Y$3,INDEX('ORDER Form'!$T$1:$T$355,$AB15))&amp;"")</f>
        <v/>
      </c>
      <c r="Z15" s="50" t="str">
        <f>IF($AB15="","",IF($AD15,Z$3,INDEX('ORDER Form'!$U$1:$U$355,$AB15))&amp;"")</f>
        <v/>
      </c>
      <c r="AB15" s="51" t="str">
        <f>IFERROR(MATCH(11,$AC$5:$AC$354,0)+5,"")</f>
        <v/>
      </c>
      <c r="AC15" s="51" t="str">
        <f>IF('ORDER Form'!$V16="OK",COUNTIF('ORDER Form'!$V$6:$V16,"OK"),"")</f>
        <v/>
      </c>
      <c r="AD15" s="51" t="str">
        <f>IF($AB15="","",(LEN(TRIM(INDEX('ORDER Form'!$O$1:$O$355,$AB15)))+LEN(TRIM(INDEX('ORDER Form'!$P$1:$P$355,$AB15)))+LEN(TRIM(INDEX('ORDER Form'!$Q$1:$Q$355,$AB15)))+LEN(TRIM(INDEX('ORDER Form'!$R$1:$R$355,$AB15)))+LEN(TRIM(INDEX('ORDER Form'!$S$1:$S$355,$AB15)))+LEN(TRIM(INDEX('ORDER Form'!$T$1:$T$355,$AB15)))+LEN(TRIM(INDEX('ORDER Form'!$U$1:$U$355,$AB15))))=0)</f>
        <v/>
      </c>
    </row>
    <row r="16" spans="1:30" ht="15" customHeight="1" x14ac:dyDescent="0.25">
      <c r="A16" s="50" t="str">
        <f>IF($AB16="","",IFERROR(IF(AND(INDEX('ORDER Form'!$N$1:$N$355,$AB16)="GB",LEFT(UPPER(TRIM(INDEX('ORDER Form'!$L$1:$L$355,$AB16))),2)="BT"),INDEX('ORDER Form'!$AC$1:$AC$355,$AB16),IFERROR(VLOOKUP(INDEX('ORDER Form'!$AC$1:$AC$355,$AB16)&amp;"|"&amp;INDEX('PRODUCT DATA'!$A$2:$A$58,MATCH(INDEX('ORDER Form'!$N$1:$N$355,$AB16),'PRODUCT DATA'!$B$2:$B$58,0)),'PRODUCT DATA'!$NO$2:$NP$25,2,FALSE()),INDEX('ORDER Form'!$AC$1:$AC$355,$AB16)))&amp;"",""))</f>
        <v/>
      </c>
      <c r="B16" s="49"/>
      <c r="C16" s="51" t="str">
        <f>IF($AB16="","",INDEX('ORDER Form'!$C$1:$C$355,$AB16))</f>
        <v/>
      </c>
      <c r="D16" s="49"/>
      <c r="E16" s="49"/>
      <c r="F16" s="49"/>
      <c r="G16" s="49"/>
      <c r="H16" s="49"/>
      <c r="I16" s="49"/>
      <c r="J16" s="50" t="str">
        <f>IF($AB16="","",INDEX('ORDER Form'!$D$1:$D$355,$AB16)&amp;"")</f>
        <v/>
      </c>
      <c r="K16" s="50" t="str">
        <f>IF($AB16="","",INDEX('ORDER Form'!$E$1:$E$355,$AB16)&amp;"")</f>
        <v/>
      </c>
      <c r="L16" s="50" t="str">
        <f>IF($AB16="","",INDEX('ORDER Form'!$F$1:$F$355,$AB16)&amp;"")</f>
        <v/>
      </c>
      <c r="M16" s="50" t="str">
        <f>IF($AB16="","",INDEX('ORDER Form'!$G$1:$G$355,$AB16)&amp;"")</f>
        <v/>
      </c>
      <c r="N16" s="50" t="str">
        <f>IF($AB16="","",INDEX('ORDER Form'!$H$1:$H$355,$AB16)&amp;"")</f>
        <v/>
      </c>
      <c r="O16" s="50" t="str">
        <f>IF($AB16="","",INDEX('ORDER Form'!$I$1:$I$355,$AB16)&amp;"")</f>
        <v/>
      </c>
      <c r="P16" s="50" t="str">
        <f>IF($AB16="","",INDEX('ORDER Form'!$J$1:$J$355,$AB16)&amp;"")</f>
        <v/>
      </c>
      <c r="Q16" s="50" t="str">
        <f>IF($AB16="","",INDEX('ORDER Form'!$AB$1:$AB$355,$AB16)&amp;"")</f>
        <v/>
      </c>
      <c r="R16" s="50" t="str">
        <f>IF($AB16="","",INDEX('ORDER Form'!$L$1:$L$355,$AB16)&amp;"")</f>
        <v/>
      </c>
      <c r="S16" s="50" t="str">
        <f>IF($AB16="","",INDEX('ORDER Form'!$N$1:$N$355,$AB16)&amp;"")</f>
        <v/>
      </c>
      <c r="T16" s="50" t="str">
        <f>IF($AB16="","",IF($AD16,T$3,INDEX('ORDER Form'!$O$1:$O$355,$AB16))&amp;"")</f>
        <v/>
      </c>
      <c r="U16" s="50" t="str">
        <f>IF($AB16="","",IF($AD16,U$3,INDEX('ORDER Form'!$P$1:$P$355,$AB16))&amp;"")</f>
        <v/>
      </c>
      <c r="V16" s="50" t="str">
        <f>IF($AB16="","",IF($AD16,V$3,INDEX('ORDER Form'!$Q$1:$Q$355,$AB16))&amp;"")</f>
        <v/>
      </c>
      <c r="W16" s="50" t="str">
        <f>IF($AB16="","",IF($AD16,W$3,INDEX('ORDER Form'!$R$1:$R$355,$AB16))&amp;"")</f>
        <v/>
      </c>
      <c r="X16" s="50" t="str">
        <f>IF($AB16="","",IF($AD16,X$3,INDEX('ORDER Form'!$S$1:$S$355,$AB16))&amp;"")</f>
        <v/>
      </c>
      <c r="Y16" s="50" t="str">
        <f>IF($AB16="","",IF($AD16,Y$3,INDEX('ORDER Form'!$T$1:$T$355,$AB16))&amp;"")</f>
        <v/>
      </c>
      <c r="Z16" s="50" t="str">
        <f>IF($AB16="","",IF($AD16,Z$3,INDEX('ORDER Form'!$U$1:$U$355,$AB16))&amp;"")</f>
        <v/>
      </c>
      <c r="AB16" s="51" t="str">
        <f>IFERROR(MATCH(12,$AC$5:$AC$354,0)+5,"")</f>
        <v/>
      </c>
      <c r="AC16" s="51" t="str">
        <f>IF('ORDER Form'!$V17="OK",COUNTIF('ORDER Form'!$V$6:$V17,"OK"),"")</f>
        <v/>
      </c>
      <c r="AD16" s="51" t="str">
        <f>IF($AB16="","",(LEN(TRIM(INDEX('ORDER Form'!$O$1:$O$355,$AB16)))+LEN(TRIM(INDEX('ORDER Form'!$P$1:$P$355,$AB16)))+LEN(TRIM(INDEX('ORDER Form'!$Q$1:$Q$355,$AB16)))+LEN(TRIM(INDEX('ORDER Form'!$R$1:$R$355,$AB16)))+LEN(TRIM(INDEX('ORDER Form'!$S$1:$S$355,$AB16)))+LEN(TRIM(INDEX('ORDER Form'!$T$1:$T$355,$AB16)))+LEN(TRIM(INDEX('ORDER Form'!$U$1:$U$355,$AB16))))=0)</f>
        <v/>
      </c>
    </row>
    <row r="17" spans="1:30" ht="15" customHeight="1" x14ac:dyDescent="0.25">
      <c r="A17" s="50" t="str">
        <f>IF($AB17="","",IFERROR(IF(AND(INDEX('ORDER Form'!$N$1:$N$355,$AB17)="GB",LEFT(UPPER(TRIM(INDEX('ORDER Form'!$L$1:$L$355,$AB17))),2)="BT"),INDEX('ORDER Form'!$AC$1:$AC$355,$AB17),IFERROR(VLOOKUP(INDEX('ORDER Form'!$AC$1:$AC$355,$AB17)&amp;"|"&amp;INDEX('PRODUCT DATA'!$A$2:$A$58,MATCH(INDEX('ORDER Form'!$N$1:$N$355,$AB17),'PRODUCT DATA'!$B$2:$B$58,0)),'PRODUCT DATA'!$NO$2:$NP$25,2,FALSE()),INDEX('ORDER Form'!$AC$1:$AC$355,$AB17)))&amp;"",""))</f>
        <v/>
      </c>
      <c r="B17" s="49"/>
      <c r="C17" s="51" t="str">
        <f>IF($AB17="","",INDEX('ORDER Form'!$C$1:$C$355,$AB17))</f>
        <v/>
      </c>
      <c r="D17" s="49"/>
      <c r="E17" s="49"/>
      <c r="F17" s="49"/>
      <c r="G17" s="49"/>
      <c r="H17" s="49"/>
      <c r="I17" s="49"/>
      <c r="J17" s="50" t="str">
        <f>IF($AB17="","",INDEX('ORDER Form'!$D$1:$D$355,$AB17)&amp;"")</f>
        <v/>
      </c>
      <c r="K17" s="50" t="str">
        <f>IF($AB17="","",INDEX('ORDER Form'!$E$1:$E$355,$AB17)&amp;"")</f>
        <v/>
      </c>
      <c r="L17" s="50" t="str">
        <f>IF($AB17="","",INDEX('ORDER Form'!$F$1:$F$355,$AB17)&amp;"")</f>
        <v/>
      </c>
      <c r="M17" s="50" t="str">
        <f>IF($AB17="","",INDEX('ORDER Form'!$G$1:$G$355,$AB17)&amp;"")</f>
        <v/>
      </c>
      <c r="N17" s="50" t="str">
        <f>IF($AB17="","",INDEX('ORDER Form'!$H$1:$H$355,$AB17)&amp;"")</f>
        <v/>
      </c>
      <c r="O17" s="50" t="str">
        <f>IF($AB17="","",INDEX('ORDER Form'!$I$1:$I$355,$AB17)&amp;"")</f>
        <v/>
      </c>
      <c r="P17" s="50" t="str">
        <f>IF($AB17="","",INDEX('ORDER Form'!$J$1:$J$355,$AB17)&amp;"")</f>
        <v/>
      </c>
      <c r="Q17" s="50" t="str">
        <f>IF($AB17="","",INDEX('ORDER Form'!$AB$1:$AB$355,$AB17)&amp;"")</f>
        <v/>
      </c>
      <c r="R17" s="50" t="str">
        <f>IF($AB17="","",INDEX('ORDER Form'!$L$1:$L$355,$AB17)&amp;"")</f>
        <v/>
      </c>
      <c r="S17" s="50" t="str">
        <f>IF($AB17="","",INDEX('ORDER Form'!$N$1:$N$355,$AB17)&amp;"")</f>
        <v/>
      </c>
      <c r="T17" s="50" t="str">
        <f>IF($AB17="","",IF($AD17,T$3,INDEX('ORDER Form'!$O$1:$O$355,$AB17))&amp;"")</f>
        <v/>
      </c>
      <c r="U17" s="50" t="str">
        <f>IF($AB17="","",IF($AD17,U$3,INDEX('ORDER Form'!$P$1:$P$355,$AB17))&amp;"")</f>
        <v/>
      </c>
      <c r="V17" s="50" t="str">
        <f>IF($AB17="","",IF($AD17,V$3,INDEX('ORDER Form'!$Q$1:$Q$355,$AB17))&amp;"")</f>
        <v/>
      </c>
      <c r="W17" s="50" t="str">
        <f>IF($AB17="","",IF($AD17,W$3,INDEX('ORDER Form'!$R$1:$R$355,$AB17))&amp;"")</f>
        <v/>
      </c>
      <c r="X17" s="50" t="str">
        <f>IF($AB17="","",IF($AD17,X$3,INDEX('ORDER Form'!$S$1:$S$355,$AB17))&amp;"")</f>
        <v/>
      </c>
      <c r="Y17" s="50" t="str">
        <f>IF($AB17="","",IF($AD17,Y$3,INDEX('ORDER Form'!$T$1:$T$355,$AB17))&amp;"")</f>
        <v/>
      </c>
      <c r="Z17" s="50" t="str">
        <f>IF($AB17="","",IF($AD17,Z$3,INDEX('ORDER Form'!$U$1:$U$355,$AB17))&amp;"")</f>
        <v/>
      </c>
      <c r="AB17" s="51" t="str">
        <f>IFERROR(MATCH(13,$AC$5:$AC$354,0)+5,"")</f>
        <v/>
      </c>
      <c r="AC17" s="51" t="str">
        <f>IF('ORDER Form'!$V18="OK",COUNTIF('ORDER Form'!$V$6:$V18,"OK"),"")</f>
        <v/>
      </c>
      <c r="AD17" s="51" t="str">
        <f>IF($AB17="","",(LEN(TRIM(INDEX('ORDER Form'!$O$1:$O$355,$AB17)))+LEN(TRIM(INDEX('ORDER Form'!$P$1:$P$355,$AB17)))+LEN(TRIM(INDEX('ORDER Form'!$Q$1:$Q$355,$AB17)))+LEN(TRIM(INDEX('ORDER Form'!$R$1:$R$355,$AB17)))+LEN(TRIM(INDEX('ORDER Form'!$S$1:$S$355,$AB17)))+LEN(TRIM(INDEX('ORDER Form'!$T$1:$T$355,$AB17)))+LEN(TRIM(INDEX('ORDER Form'!$U$1:$U$355,$AB17))))=0)</f>
        <v/>
      </c>
    </row>
    <row r="18" spans="1:30" ht="15" customHeight="1" x14ac:dyDescent="0.25">
      <c r="A18" s="50" t="str">
        <f>IF($AB18="","",IFERROR(IF(AND(INDEX('ORDER Form'!$N$1:$N$355,$AB18)="GB",LEFT(UPPER(TRIM(INDEX('ORDER Form'!$L$1:$L$355,$AB18))),2)="BT"),INDEX('ORDER Form'!$AC$1:$AC$355,$AB18),IFERROR(VLOOKUP(INDEX('ORDER Form'!$AC$1:$AC$355,$AB18)&amp;"|"&amp;INDEX('PRODUCT DATA'!$A$2:$A$58,MATCH(INDEX('ORDER Form'!$N$1:$N$355,$AB18),'PRODUCT DATA'!$B$2:$B$58,0)),'PRODUCT DATA'!$NO$2:$NP$25,2,FALSE()),INDEX('ORDER Form'!$AC$1:$AC$355,$AB18)))&amp;"",""))</f>
        <v/>
      </c>
      <c r="B18" s="49"/>
      <c r="C18" s="51" t="str">
        <f>IF($AB18="","",INDEX('ORDER Form'!$C$1:$C$355,$AB18))</f>
        <v/>
      </c>
      <c r="D18" s="49"/>
      <c r="E18" s="49"/>
      <c r="F18" s="49"/>
      <c r="G18" s="49"/>
      <c r="H18" s="49"/>
      <c r="I18" s="49"/>
      <c r="J18" s="50" t="str">
        <f>IF($AB18="","",INDEX('ORDER Form'!$D$1:$D$355,$AB18)&amp;"")</f>
        <v/>
      </c>
      <c r="K18" s="50" t="str">
        <f>IF($AB18="","",INDEX('ORDER Form'!$E$1:$E$355,$AB18)&amp;"")</f>
        <v/>
      </c>
      <c r="L18" s="50" t="str">
        <f>IF($AB18="","",INDEX('ORDER Form'!$F$1:$F$355,$AB18)&amp;"")</f>
        <v/>
      </c>
      <c r="M18" s="50" t="str">
        <f>IF($AB18="","",INDEX('ORDER Form'!$G$1:$G$355,$AB18)&amp;"")</f>
        <v/>
      </c>
      <c r="N18" s="50" t="str">
        <f>IF($AB18="","",INDEX('ORDER Form'!$H$1:$H$355,$AB18)&amp;"")</f>
        <v/>
      </c>
      <c r="O18" s="50" t="str">
        <f>IF($AB18="","",INDEX('ORDER Form'!$I$1:$I$355,$AB18)&amp;"")</f>
        <v/>
      </c>
      <c r="P18" s="50" t="str">
        <f>IF($AB18="","",INDEX('ORDER Form'!$J$1:$J$355,$AB18)&amp;"")</f>
        <v/>
      </c>
      <c r="Q18" s="50" t="str">
        <f>IF($AB18="","",INDEX('ORDER Form'!$AB$1:$AB$355,$AB18)&amp;"")</f>
        <v/>
      </c>
      <c r="R18" s="50" t="str">
        <f>IF($AB18="","",INDEX('ORDER Form'!$L$1:$L$355,$AB18)&amp;"")</f>
        <v/>
      </c>
      <c r="S18" s="50" t="str">
        <f>IF($AB18="","",INDEX('ORDER Form'!$N$1:$N$355,$AB18)&amp;"")</f>
        <v/>
      </c>
      <c r="T18" s="50" t="str">
        <f>IF($AB18="","",IF($AD18,T$3,INDEX('ORDER Form'!$O$1:$O$355,$AB18))&amp;"")</f>
        <v/>
      </c>
      <c r="U18" s="50" t="str">
        <f>IF($AB18="","",IF($AD18,U$3,INDEX('ORDER Form'!$P$1:$P$355,$AB18))&amp;"")</f>
        <v/>
      </c>
      <c r="V18" s="50" t="str">
        <f>IF($AB18="","",IF($AD18,V$3,INDEX('ORDER Form'!$Q$1:$Q$355,$AB18))&amp;"")</f>
        <v/>
      </c>
      <c r="W18" s="50" t="str">
        <f>IF($AB18="","",IF($AD18,W$3,INDEX('ORDER Form'!$R$1:$R$355,$AB18))&amp;"")</f>
        <v/>
      </c>
      <c r="X18" s="50" t="str">
        <f>IF($AB18="","",IF($AD18,X$3,INDEX('ORDER Form'!$S$1:$S$355,$AB18))&amp;"")</f>
        <v/>
      </c>
      <c r="Y18" s="50" t="str">
        <f>IF($AB18="","",IF($AD18,Y$3,INDEX('ORDER Form'!$T$1:$T$355,$AB18))&amp;"")</f>
        <v/>
      </c>
      <c r="Z18" s="50" t="str">
        <f>IF($AB18="","",IF($AD18,Z$3,INDEX('ORDER Form'!$U$1:$U$355,$AB18))&amp;"")</f>
        <v/>
      </c>
      <c r="AB18" s="51" t="str">
        <f>IFERROR(MATCH(14,$AC$5:$AC$354,0)+5,"")</f>
        <v/>
      </c>
      <c r="AC18" s="51" t="str">
        <f>IF('ORDER Form'!$V19="OK",COUNTIF('ORDER Form'!$V$6:$V19,"OK"),"")</f>
        <v/>
      </c>
      <c r="AD18" s="51" t="str">
        <f>IF($AB18="","",(LEN(TRIM(INDEX('ORDER Form'!$O$1:$O$355,$AB18)))+LEN(TRIM(INDEX('ORDER Form'!$P$1:$P$355,$AB18)))+LEN(TRIM(INDEX('ORDER Form'!$Q$1:$Q$355,$AB18)))+LEN(TRIM(INDEX('ORDER Form'!$R$1:$R$355,$AB18)))+LEN(TRIM(INDEX('ORDER Form'!$S$1:$S$355,$AB18)))+LEN(TRIM(INDEX('ORDER Form'!$T$1:$T$355,$AB18)))+LEN(TRIM(INDEX('ORDER Form'!$U$1:$U$355,$AB18))))=0)</f>
        <v/>
      </c>
    </row>
    <row r="19" spans="1:30" ht="15" customHeight="1" x14ac:dyDescent="0.25">
      <c r="A19" s="50" t="str">
        <f>IF($AB19="","",IFERROR(IF(AND(INDEX('ORDER Form'!$N$1:$N$355,$AB19)="GB",LEFT(UPPER(TRIM(INDEX('ORDER Form'!$L$1:$L$355,$AB19))),2)="BT"),INDEX('ORDER Form'!$AC$1:$AC$355,$AB19),IFERROR(VLOOKUP(INDEX('ORDER Form'!$AC$1:$AC$355,$AB19)&amp;"|"&amp;INDEX('PRODUCT DATA'!$A$2:$A$58,MATCH(INDEX('ORDER Form'!$N$1:$N$355,$AB19),'PRODUCT DATA'!$B$2:$B$58,0)),'PRODUCT DATA'!$NO$2:$NP$25,2,FALSE()),INDEX('ORDER Form'!$AC$1:$AC$355,$AB19)))&amp;"",""))</f>
        <v/>
      </c>
      <c r="B19" s="49"/>
      <c r="C19" s="51" t="str">
        <f>IF($AB19="","",INDEX('ORDER Form'!$C$1:$C$355,$AB19))</f>
        <v/>
      </c>
      <c r="D19" s="49"/>
      <c r="E19" s="49"/>
      <c r="F19" s="49"/>
      <c r="G19" s="49"/>
      <c r="H19" s="49"/>
      <c r="I19" s="49"/>
      <c r="J19" s="50" t="str">
        <f>IF($AB19="","",INDEX('ORDER Form'!$D$1:$D$355,$AB19)&amp;"")</f>
        <v/>
      </c>
      <c r="K19" s="50" t="str">
        <f>IF($AB19="","",INDEX('ORDER Form'!$E$1:$E$355,$AB19)&amp;"")</f>
        <v/>
      </c>
      <c r="L19" s="50" t="str">
        <f>IF($AB19="","",INDEX('ORDER Form'!$F$1:$F$355,$AB19)&amp;"")</f>
        <v/>
      </c>
      <c r="M19" s="50" t="str">
        <f>IF($AB19="","",INDEX('ORDER Form'!$G$1:$G$355,$AB19)&amp;"")</f>
        <v/>
      </c>
      <c r="N19" s="50" t="str">
        <f>IF($AB19="","",INDEX('ORDER Form'!$H$1:$H$355,$AB19)&amp;"")</f>
        <v/>
      </c>
      <c r="O19" s="50" t="str">
        <f>IF($AB19="","",INDEX('ORDER Form'!$I$1:$I$355,$AB19)&amp;"")</f>
        <v/>
      </c>
      <c r="P19" s="50" t="str">
        <f>IF($AB19="","",INDEX('ORDER Form'!$J$1:$J$355,$AB19)&amp;"")</f>
        <v/>
      </c>
      <c r="Q19" s="50" t="str">
        <f>IF($AB19="","",INDEX('ORDER Form'!$AB$1:$AB$355,$AB19)&amp;"")</f>
        <v/>
      </c>
      <c r="R19" s="50" t="str">
        <f>IF($AB19="","",INDEX('ORDER Form'!$L$1:$L$355,$AB19)&amp;"")</f>
        <v/>
      </c>
      <c r="S19" s="50" t="str">
        <f>IF($AB19="","",INDEX('ORDER Form'!$N$1:$N$355,$AB19)&amp;"")</f>
        <v/>
      </c>
      <c r="T19" s="50" t="str">
        <f>IF($AB19="","",IF($AD19,T$3,INDEX('ORDER Form'!$O$1:$O$355,$AB19))&amp;"")</f>
        <v/>
      </c>
      <c r="U19" s="50" t="str">
        <f>IF($AB19="","",IF($AD19,U$3,INDEX('ORDER Form'!$P$1:$P$355,$AB19))&amp;"")</f>
        <v/>
      </c>
      <c r="V19" s="50" t="str">
        <f>IF($AB19="","",IF($AD19,V$3,INDEX('ORDER Form'!$Q$1:$Q$355,$AB19))&amp;"")</f>
        <v/>
      </c>
      <c r="W19" s="50" t="str">
        <f>IF($AB19="","",IF($AD19,W$3,INDEX('ORDER Form'!$R$1:$R$355,$AB19))&amp;"")</f>
        <v/>
      </c>
      <c r="X19" s="50" t="str">
        <f>IF($AB19="","",IF($AD19,X$3,INDEX('ORDER Form'!$S$1:$S$355,$AB19))&amp;"")</f>
        <v/>
      </c>
      <c r="Y19" s="50" t="str">
        <f>IF($AB19="","",IF($AD19,Y$3,INDEX('ORDER Form'!$T$1:$T$355,$AB19))&amp;"")</f>
        <v/>
      </c>
      <c r="Z19" s="50" t="str">
        <f>IF($AB19="","",IF($AD19,Z$3,INDEX('ORDER Form'!$U$1:$U$355,$AB19))&amp;"")</f>
        <v/>
      </c>
      <c r="AB19" s="51" t="str">
        <f>IFERROR(MATCH(15,$AC$5:$AC$354,0)+5,"")</f>
        <v/>
      </c>
      <c r="AC19" s="51" t="str">
        <f>IF('ORDER Form'!$V20="OK",COUNTIF('ORDER Form'!$V$6:$V20,"OK"),"")</f>
        <v/>
      </c>
      <c r="AD19" s="51" t="str">
        <f>IF($AB19="","",(LEN(TRIM(INDEX('ORDER Form'!$O$1:$O$355,$AB19)))+LEN(TRIM(INDEX('ORDER Form'!$P$1:$P$355,$AB19)))+LEN(TRIM(INDEX('ORDER Form'!$Q$1:$Q$355,$AB19)))+LEN(TRIM(INDEX('ORDER Form'!$R$1:$R$355,$AB19)))+LEN(TRIM(INDEX('ORDER Form'!$S$1:$S$355,$AB19)))+LEN(TRIM(INDEX('ORDER Form'!$T$1:$T$355,$AB19)))+LEN(TRIM(INDEX('ORDER Form'!$U$1:$U$355,$AB19))))=0)</f>
        <v/>
      </c>
    </row>
    <row r="20" spans="1:30" ht="15" customHeight="1" x14ac:dyDescent="0.25">
      <c r="A20" s="50" t="str">
        <f>IF($AB20="","",IFERROR(IF(AND(INDEX('ORDER Form'!$N$1:$N$355,$AB20)="GB",LEFT(UPPER(TRIM(INDEX('ORDER Form'!$L$1:$L$355,$AB20))),2)="BT"),INDEX('ORDER Form'!$AC$1:$AC$355,$AB20),IFERROR(VLOOKUP(INDEX('ORDER Form'!$AC$1:$AC$355,$AB20)&amp;"|"&amp;INDEX('PRODUCT DATA'!$A$2:$A$58,MATCH(INDEX('ORDER Form'!$N$1:$N$355,$AB20),'PRODUCT DATA'!$B$2:$B$58,0)),'PRODUCT DATA'!$NO$2:$NP$25,2,FALSE()),INDEX('ORDER Form'!$AC$1:$AC$355,$AB20)))&amp;"",""))</f>
        <v/>
      </c>
      <c r="B20" s="49"/>
      <c r="C20" s="51" t="str">
        <f>IF($AB20="","",INDEX('ORDER Form'!$C$1:$C$355,$AB20))</f>
        <v/>
      </c>
      <c r="D20" s="49"/>
      <c r="E20" s="49"/>
      <c r="F20" s="49"/>
      <c r="G20" s="49"/>
      <c r="H20" s="49"/>
      <c r="I20" s="49"/>
      <c r="J20" s="50" t="str">
        <f>IF($AB20="","",INDEX('ORDER Form'!$D$1:$D$355,$AB20)&amp;"")</f>
        <v/>
      </c>
      <c r="K20" s="50" t="str">
        <f>IF($AB20="","",INDEX('ORDER Form'!$E$1:$E$355,$AB20)&amp;"")</f>
        <v/>
      </c>
      <c r="L20" s="50" t="str">
        <f>IF($AB20="","",INDEX('ORDER Form'!$F$1:$F$355,$AB20)&amp;"")</f>
        <v/>
      </c>
      <c r="M20" s="50" t="str">
        <f>IF($AB20="","",INDEX('ORDER Form'!$G$1:$G$355,$AB20)&amp;"")</f>
        <v/>
      </c>
      <c r="N20" s="50" t="str">
        <f>IF($AB20="","",INDEX('ORDER Form'!$H$1:$H$355,$AB20)&amp;"")</f>
        <v/>
      </c>
      <c r="O20" s="50" t="str">
        <f>IF($AB20="","",INDEX('ORDER Form'!$I$1:$I$355,$AB20)&amp;"")</f>
        <v/>
      </c>
      <c r="P20" s="50" t="str">
        <f>IF($AB20="","",INDEX('ORDER Form'!$J$1:$J$355,$AB20)&amp;"")</f>
        <v/>
      </c>
      <c r="Q20" s="50" t="str">
        <f>IF($AB20="","",INDEX('ORDER Form'!$AB$1:$AB$355,$AB20)&amp;"")</f>
        <v/>
      </c>
      <c r="R20" s="50" t="str">
        <f>IF($AB20="","",INDEX('ORDER Form'!$L$1:$L$355,$AB20)&amp;"")</f>
        <v/>
      </c>
      <c r="S20" s="50" t="str">
        <f>IF($AB20="","",INDEX('ORDER Form'!$N$1:$N$355,$AB20)&amp;"")</f>
        <v/>
      </c>
      <c r="T20" s="50" t="str">
        <f>IF($AB20="","",IF($AD20,T$3,INDEX('ORDER Form'!$O$1:$O$355,$AB20))&amp;"")</f>
        <v/>
      </c>
      <c r="U20" s="50" t="str">
        <f>IF($AB20="","",IF($AD20,U$3,INDEX('ORDER Form'!$P$1:$P$355,$AB20))&amp;"")</f>
        <v/>
      </c>
      <c r="V20" s="50" t="str">
        <f>IF($AB20="","",IF($AD20,V$3,INDEX('ORDER Form'!$Q$1:$Q$355,$AB20))&amp;"")</f>
        <v/>
      </c>
      <c r="W20" s="50" t="str">
        <f>IF($AB20="","",IF($AD20,W$3,INDEX('ORDER Form'!$R$1:$R$355,$AB20))&amp;"")</f>
        <v/>
      </c>
      <c r="X20" s="50" t="str">
        <f>IF($AB20="","",IF($AD20,X$3,INDEX('ORDER Form'!$S$1:$S$355,$AB20))&amp;"")</f>
        <v/>
      </c>
      <c r="Y20" s="50" t="str">
        <f>IF($AB20="","",IF($AD20,Y$3,INDEX('ORDER Form'!$T$1:$T$355,$AB20))&amp;"")</f>
        <v/>
      </c>
      <c r="Z20" s="50" t="str">
        <f>IF($AB20="","",IF($AD20,Z$3,INDEX('ORDER Form'!$U$1:$U$355,$AB20))&amp;"")</f>
        <v/>
      </c>
      <c r="AB20" s="51" t="str">
        <f>IFERROR(MATCH(16,$AC$5:$AC$354,0)+5,"")</f>
        <v/>
      </c>
      <c r="AC20" s="51" t="str">
        <f>IF('ORDER Form'!$V21="OK",COUNTIF('ORDER Form'!$V$6:$V21,"OK"),"")</f>
        <v/>
      </c>
      <c r="AD20" s="51" t="str">
        <f>IF($AB20="","",(LEN(TRIM(INDEX('ORDER Form'!$O$1:$O$355,$AB20)))+LEN(TRIM(INDEX('ORDER Form'!$P$1:$P$355,$AB20)))+LEN(TRIM(INDEX('ORDER Form'!$Q$1:$Q$355,$AB20)))+LEN(TRIM(INDEX('ORDER Form'!$R$1:$R$355,$AB20)))+LEN(TRIM(INDEX('ORDER Form'!$S$1:$S$355,$AB20)))+LEN(TRIM(INDEX('ORDER Form'!$T$1:$T$355,$AB20)))+LEN(TRIM(INDEX('ORDER Form'!$U$1:$U$355,$AB20))))=0)</f>
        <v/>
      </c>
    </row>
    <row r="21" spans="1:30" ht="15" customHeight="1" x14ac:dyDescent="0.25">
      <c r="A21" s="50" t="str">
        <f>IF($AB21="","",IFERROR(IF(AND(INDEX('ORDER Form'!$N$1:$N$355,$AB21)="GB",LEFT(UPPER(TRIM(INDEX('ORDER Form'!$L$1:$L$355,$AB21))),2)="BT"),INDEX('ORDER Form'!$AC$1:$AC$355,$AB21),IFERROR(VLOOKUP(INDEX('ORDER Form'!$AC$1:$AC$355,$AB21)&amp;"|"&amp;INDEX('PRODUCT DATA'!$A$2:$A$58,MATCH(INDEX('ORDER Form'!$N$1:$N$355,$AB21),'PRODUCT DATA'!$B$2:$B$58,0)),'PRODUCT DATA'!$NO$2:$NP$25,2,FALSE()),INDEX('ORDER Form'!$AC$1:$AC$355,$AB21)))&amp;"",""))</f>
        <v/>
      </c>
      <c r="B21" s="49"/>
      <c r="C21" s="51" t="str">
        <f>IF($AB21="","",INDEX('ORDER Form'!$C$1:$C$355,$AB21))</f>
        <v/>
      </c>
      <c r="D21" s="49"/>
      <c r="E21" s="49"/>
      <c r="F21" s="49"/>
      <c r="G21" s="49"/>
      <c r="H21" s="49"/>
      <c r="I21" s="49"/>
      <c r="J21" s="50" t="str">
        <f>IF($AB21="","",INDEX('ORDER Form'!$D$1:$D$355,$AB21)&amp;"")</f>
        <v/>
      </c>
      <c r="K21" s="50" t="str">
        <f>IF($AB21="","",INDEX('ORDER Form'!$E$1:$E$355,$AB21)&amp;"")</f>
        <v/>
      </c>
      <c r="L21" s="50" t="str">
        <f>IF($AB21="","",INDEX('ORDER Form'!$F$1:$F$355,$AB21)&amp;"")</f>
        <v/>
      </c>
      <c r="M21" s="50" t="str">
        <f>IF($AB21="","",INDEX('ORDER Form'!$G$1:$G$355,$AB21)&amp;"")</f>
        <v/>
      </c>
      <c r="N21" s="50" t="str">
        <f>IF($AB21="","",INDEX('ORDER Form'!$H$1:$H$355,$AB21)&amp;"")</f>
        <v/>
      </c>
      <c r="O21" s="50" t="str">
        <f>IF($AB21="","",INDEX('ORDER Form'!$I$1:$I$355,$AB21)&amp;"")</f>
        <v/>
      </c>
      <c r="P21" s="50" t="str">
        <f>IF($AB21="","",INDEX('ORDER Form'!$J$1:$J$355,$AB21)&amp;"")</f>
        <v/>
      </c>
      <c r="Q21" s="50" t="str">
        <f>IF($AB21="","",INDEX('ORDER Form'!$AB$1:$AB$355,$AB21)&amp;"")</f>
        <v/>
      </c>
      <c r="R21" s="50" t="str">
        <f>IF($AB21="","",INDEX('ORDER Form'!$L$1:$L$355,$AB21)&amp;"")</f>
        <v/>
      </c>
      <c r="S21" s="50" t="str">
        <f>IF($AB21="","",INDEX('ORDER Form'!$N$1:$N$355,$AB21)&amp;"")</f>
        <v/>
      </c>
      <c r="T21" s="50" t="str">
        <f>IF($AB21="","",IF($AD21,T$3,INDEX('ORDER Form'!$O$1:$O$355,$AB21))&amp;"")</f>
        <v/>
      </c>
      <c r="U21" s="50" t="str">
        <f>IF($AB21="","",IF($AD21,U$3,INDEX('ORDER Form'!$P$1:$P$355,$AB21))&amp;"")</f>
        <v/>
      </c>
      <c r="V21" s="50" t="str">
        <f>IF($AB21="","",IF($AD21,V$3,INDEX('ORDER Form'!$Q$1:$Q$355,$AB21))&amp;"")</f>
        <v/>
      </c>
      <c r="W21" s="50" t="str">
        <f>IF($AB21="","",IF($AD21,W$3,INDEX('ORDER Form'!$R$1:$R$355,$AB21))&amp;"")</f>
        <v/>
      </c>
      <c r="X21" s="50" t="str">
        <f>IF($AB21="","",IF($AD21,X$3,INDEX('ORDER Form'!$S$1:$S$355,$AB21))&amp;"")</f>
        <v/>
      </c>
      <c r="Y21" s="50" t="str">
        <f>IF($AB21="","",IF($AD21,Y$3,INDEX('ORDER Form'!$T$1:$T$355,$AB21))&amp;"")</f>
        <v/>
      </c>
      <c r="Z21" s="50" t="str">
        <f>IF($AB21="","",IF($AD21,Z$3,INDEX('ORDER Form'!$U$1:$U$355,$AB21))&amp;"")</f>
        <v/>
      </c>
      <c r="AB21" s="51" t="str">
        <f>IFERROR(MATCH(17,$AC$5:$AC$354,0)+5,"")</f>
        <v/>
      </c>
      <c r="AC21" s="51" t="str">
        <f>IF('ORDER Form'!$V22="OK",COUNTIF('ORDER Form'!$V$6:$V22,"OK"),"")</f>
        <v/>
      </c>
      <c r="AD21" s="51" t="str">
        <f>IF($AB21="","",(LEN(TRIM(INDEX('ORDER Form'!$O$1:$O$355,$AB21)))+LEN(TRIM(INDEX('ORDER Form'!$P$1:$P$355,$AB21)))+LEN(TRIM(INDEX('ORDER Form'!$Q$1:$Q$355,$AB21)))+LEN(TRIM(INDEX('ORDER Form'!$R$1:$R$355,$AB21)))+LEN(TRIM(INDEX('ORDER Form'!$S$1:$S$355,$AB21)))+LEN(TRIM(INDEX('ORDER Form'!$T$1:$T$355,$AB21)))+LEN(TRIM(INDEX('ORDER Form'!$U$1:$U$355,$AB21))))=0)</f>
        <v/>
      </c>
    </row>
    <row r="22" spans="1:30" ht="15" customHeight="1" x14ac:dyDescent="0.25">
      <c r="A22" s="50" t="str">
        <f>IF($AB22="","",IFERROR(IF(AND(INDEX('ORDER Form'!$N$1:$N$355,$AB22)="GB",LEFT(UPPER(TRIM(INDEX('ORDER Form'!$L$1:$L$355,$AB22))),2)="BT"),INDEX('ORDER Form'!$AC$1:$AC$355,$AB22),IFERROR(VLOOKUP(INDEX('ORDER Form'!$AC$1:$AC$355,$AB22)&amp;"|"&amp;INDEX('PRODUCT DATA'!$A$2:$A$58,MATCH(INDEX('ORDER Form'!$N$1:$N$355,$AB22),'PRODUCT DATA'!$B$2:$B$58,0)),'PRODUCT DATA'!$NO$2:$NP$25,2,FALSE()),INDEX('ORDER Form'!$AC$1:$AC$355,$AB22)))&amp;"",""))</f>
        <v/>
      </c>
      <c r="B22" s="49"/>
      <c r="C22" s="51" t="str">
        <f>IF($AB22="","",INDEX('ORDER Form'!$C$1:$C$355,$AB22))</f>
        <v/>
      </c>
      <c r="D22" s="49"/>
      <c r="E22" s="49"/>
      <c r="F22" s="49"/>
      <c r="G22" s="49"/>
      <c r="H22" s="49"/>
      <c r="I22" s="49"/>
      <c r="J22" s="50" t="str">
        <f>IF($AB22="","",INDEX('ORDER Form'!$D$1:$D$355,$AB22)&amp;"")</f>
        <v/>
      </c>
      <c r="K22" s="50" t="str">
        <f>IF($AB22="","",INDEX('ORDER Form'!$E$1:$E$355,$AB22)&amp;"")</f>
        <v/>
      </c>
      <c r="L22" s="50" t="str">
        <f>IF($AB22="","",INDEX('ORDER Form'!$F$1:$F$355,$AB22)&amp;"")</f>
        <v/>
      </c>
      <c r="M22" s="50" t="str">
        <f>IF($AB22="","",INDEX('ORDER Form'!$G$1:$G$355,$AB22)&amp;"")</f>
        <v/>
      </c>
      <c r="N22" s="50" t="str">
        <f>IF($AB22="","",INDEX('ORDER Form'!$H$1:$H$355,$AB22)&amp;"")</f>
        <v/>
      </c>
      <c r="O22" s="50" t="str">
        <f>IF($AB22="","",INDEX('ORDER Form'!$I$1:$I$355,$AB22)&amp;"")</f>
        <v/>
      </c>
      <c r="P22" s="50" t="str">
        <f>IF($AB22="","",INDEX('ORDER Form'!$J$1:$J$355,$AB22)&amp;"")</f>
        <v/>
      </c>
      <c r="Q22" s="50" t="str">
        <f>IF($AB22="","",INDEX('ORDER Form'!$AB$1:$AB$355,$AB22)&amp;"")</f>
        <v/>
      </c>
      <c r="R22" s="50" t="str">
        <f>IF($AB22="","",INDEX('ORDER Form'!$L$1:$L$355,$AB22)&amp;"")</f>
        <v/>
      </c>
      <c r="S22" s="50" t="str">
        <f>IF($AB22="","",INDEX('ORDER Form'!$N$1:$N$355,$AB22)&amp;"")</f>
        <v/>
      </c>
      <c r="T22" s="50" t="str">
        <f>IF($AB22="","",IF($AD22,T$3,INDEX('ORDER Form'!$O$1:$O$355,$AB22))&amp;"")</f>
        <v/>
      </c>
      <c r="U22" s="50" t="str">
        <f>IF($AB22="","",IF($AD22,U$3,INDEX('ORDER Form'!$P$1:$P$355,$AB22))&amp;"")</f>
        <v/>
      </c>
      <c r="V22" s="50" t="str">
        <f>IF($AB22="","",IF($AD22,V$3,INDEX('ORDER Form'!$Q$1:$Q$355,$AB22))&amp;"")</f>
        <v/>
      </c>
      <c r="W22" s="50" t="str">
        <f>IF($AB22="","",IF($AD22,W$3,INDEX('ORDER Form'!$R$1:$R$355,$AB22))&amp;"")</f>
        <v/>
      </c>
      <c r="X22" s="50" t="str">
        <f>IF($AB22="","",IF($AD22,X$3,INDEX('ORDER Form'!$S$1:$S$355,$AB22))&amp;"")</f>
        <v/>
      </c>
      <c r="Y22" s="50" t="str">
        <f>IF($AB22="","",IF($AD22,Y$3,INDEX('ORDER Form'!$T$1:$T$355,$AB22))&amp;"")</f>
        <v/>
      </c>
      <c r="Z22" s="50" t="str">
        <f>IF($AB22="","",IF($AD22,Z$3,INDEX('ORDER Form'!$U$1:$U$355,$AB22))&amp;"")</f>
        <v/>
      </c>
      <c r="AB22" s="51" t="str">
        <f>IFERROR(MATCH(18,$AC$5:$AC$354,0)+5,"")</f>
        <v/>
      </c>
      <c r="AC22" s="51" t="str">
        <f>IF('ORDER Form'!$V23="OK",COUNTIF('ORDER Form'!$V$6:$V23,"OK"),"")</f>
        <v/>
      </c>
      <c r="AD22" s="51" t="str">
        <f>IF($AB22="","",(LEN(TRIM(INDEX('ORDER Form'!$O$1:$O$355,$AB22)))+LEN(TRIM(INDEX('ORDER Form'!$P$1:$P$355,$AB22)))+LEN(TRIM(INDEX('ORDER Form'!$Q$1:$Q$355,$AB22)))+LEN(TRIM(INDEX('ORDER Form'!$R$1:$R$355,$AB22)))+LEN(TRIM(INDEX('ORDER Form'!$S$1:$S$355,$AB22)))+LEN(TRIM(INDEX('ORDER Form'!$T$1:$T$355,$AB22)))+LEN(TRIM(INDEX('ORDER Form'!$U$1:$U$355,$AB22))))=0)</f>
        <v/>
      </c>
    </row>
    <row r="23" spans="1:30" ht="15" customHeight="1" x14ac:dyDescent="0.25">
      <c r="A23" s="50" t="str">
        <f>IF($AB23="","",IFERROR(IF(AND(INDEX('ORDER Form'!$N$1:$N$355,$AB23)="GB",LEFT(UPPER(TRIM(INDEX('ORDER Form'!$L$1:$L$355,$AB23))),2)="BT"),INDEX('ORDER Form'!$AC$1:$AC$355,$AB23),IFERROR(VLOOKUP(INDEX('ORDER Form'!$AC$1:$AC$355,$AB23)&amp;"|"&amp;INDEX('PRODUCT DATA'!$A$2:$A$58,MATCH(INDEX('ORDER Form'!$N$1:$N$355,$AB23),'PRODUCT DATA'!$B$2:$B$58,0)),'PRODUCT DATA'!$NO$2:$NP$25,2,FALSE()),INDEX('ORDER Form'!$AC$1:$AC$355,$AB23)))&amp;"",""))</f>
        <v/>
      </c>
      <c r="B23" s="49"/>
      <c r="C23" s="51" t="str">
        <f>IF($AB23="","",INDEX('ORDER Form'!$C$1:$C$355,$AB23))</f>
        <v/>
      </c>
      <c r="D23" s="49"/>
      <c r="E23" s="49"/>
      <c r="F23" s="49"/>
      <c r="G23" s="49"/>
      <c r="H23" s="49"/>
      <c r="I23" s="49"/>
      <c r="J23" s="50" t="str">
        <f>IF($AB23="","",INDEX('ORDER Form'!$D$1:$D$355,$AB23)&amp;"")</f>
        <v/>
      </c>
      <c r="K23" s="50" t="str">
        <f>IF($AB23="","",INDEX('ORDER Form'!$E$1:$E$355,$AB23)&amp;"")</f>
        <v/>
      </c>
      <c r="L23" s="50" t="str">
        <f>IF($AB23="","",INDEX('ORDER Form'!$F$1:$F$355,$AB23)&amp;"")</f>
        <v/>
      </c>
      <c r="M23" s="50" t="str">
        <f>IF($AB23="","",INDEX('ORDER Form'!$G$1:$G$355,$AB23)&amp;"")</f>
        <v/>
      </c>
      <c r="N23" s="50" t="str">
        <f>IF($AB23="","",INDEX('ORDER Form'!$H$1:$H$355,$AB23)&amp;"")</f>
        <v/>
      </c>
      <c r="O23" s="50" t="str">
        <f>IF($AB23="","",INDEX('ORDER Form'!$I$1:$I$355,$AB23)&amp;"")</f>
        <v/>
      </c>
      <c r="P23" s="50" t="str">
        <f>IF($AB23="","",INDEX('ORDER Form'!$J$1:$J$355,$AB23)&amp;"")</f>
        <v/>
      </c>
      <c r="Q23" s="50" t="str">
        <f>IF($AB23="","",INDEX('ORDER Form'!$AB$1:$AB$355,$AB23)&amp;"")</f>
        <v/>
      </c>
      <c r="R23" s="50" t="str">
        <f>IF($AB23="","",INDEX('ORDER Form'!$L$1:$L$355,$AB23)&amp;"")</f>
        <v/>
      </c>
      <c r="S23" s="50" t="str">
        <f>IF($AB23="","",INDEX('ORDER Form'!$N$1:$N$355,$AB23)&amp;"")</f>
        <v/>
      </c>
      <c r="T23" s="50" t="str">
        <f>IF($AB23="","",IF($AD23,T$3,INDEX('ORDER Form'!$O$1:$O$355,$AB23))&amp;"")</f>
        <v/>
      </c>
      <c r="U23" s="50" t="str">
        <f>IF($AB23="","",IF($AD23,U$3,INDEX('ORDER Form'!$P$1:$P$355,$AB23))&amp;"")</f>
        <v/>
      </c>
      <c r="V23" s="50" t="str">
        <f>IF($AB23="","",IF($AD23,V$3,INDEX('ORDER Form'!$Q$1:$Q$355,$AB23))&amp;"")</f>
        <v/>
      </c>
      <c r="W23" s="50" t="str">
        <f>IF($AB23="","",IF($AD23,W$3,INDEX('ORDER Form'!$R$1:$R$355,$AB23))&amp;"")</f>
        <v/>
      </c>
      <c r="X23" s="50" t="str">
        <f>IF($AB23="","",IF($AD23,X$3,INDEX('ORDER Form'!$S$1:$S$355,$AB23))&amp;"")</f>
        <v/>
      </c>
      <c r="Y23" s="50" t="str">
        <f>IF($AB23="","",IF($AD23,Y$3,INDEX('ORDER Form'!$T$1:$T$355,$AB23))&amp;"")</f>
        <v/>
      </c>
      <c r="Z23" s="50" t="str">
        <f>IF($AB23="","",IF($AD23,Z$3,INDEX('ORDER Form'!$U$1:$U$355,$AB23))&amp;"")</f>
        <v/>
      </c>
      <c r="AB23" s="51" t="str">
        <f>IFERROR(MATCH(19,$AC$5:$AC$354,0)+5,"")</f>
        <v/>
      </c>
      <c r="AC23" s="51" t="str">
        <f>IF('ORDER Form'!$V24="OK",COUNTIF('ORDER Form'!$V$6:$V24,"OK"),"")</f>
        <v/>
      </c>
      <c r="AD23" s="51" t="str">
        <f>IF($AB23="","",(LEN(TRIM(INDEX('ORDER Form'!$O$1:$O$355,$AB23)))+LEN(TRIM(INDEX('ORDER Form'!$P$1:$P$355,$AB23)))+LEN(TRIM(INDEX('ORDER Form'!$Q$1:$Q$355,$AB23)))+LEN(TRIM(INDEX('ORDER Form'!$R$1:$R$355,$AB23)))+LEN(TRIM(INDEX('ORDER Form'!$S$1:$S$355,$AB23)))+LEN(TRIM(INDEX('ORDER Form'!$T$1:$T$355,$AB23)))+LEN(TRIM(INDEX('ORDER Form'!$U$1:$U$355,$AB23))))=0)</f>
        <v/>
      </c>
    </row>
    <row r="24" spans="1:30" ht="15" customHeight="1" x14ac:dyDescent="0.25">
      <c r="A24" s="50" t="str">
        <f>IF($AB24="","",IFERROR(IF(AND(INDEX('ORDER Form'!$N$1:$N$355,$AB24)="GB",LEFT(UPPER(TRIM(INDEX('ORDER Form'!$L$1:$L$355,$AB24))),2)="BT"),INDEX('ORDER Form'!$AC$1:$AC$355,$AB24),IFERROR(VLOOKUP(INDEX('ORDER Form'!$AC$1:$AC$355,$AB24)&amp;"|"&amp;INDEX('PRODUCT DATA'!$A$2:$A$58,MATCH(INDEX('ORDER Form'!$N$1:$N$355,$AB24),'PRODUCT DATA'!$B$2:$B$58,0)),'PRODUCT DATA'!$NO$2:$NP$25,2,FALSE()),INDEX('ORDER Form'!$AC$1:$AC$355,$AB24)))&amp;"",""))</f>
        <v/>
      </c>
      <c r="B24" s="49"/>
      <c r="C24" s="51" t="str">
        <f>IF($AB24="","",INDEX('ORDER Form'!$C$1:$C$355,$AB24))</f>
        <v/>
      </c>
      <c r="D24" s="49"/>
      <c r="E24" s="49"/>
      <c r="F24" s="49"/>
      <c r="G24" s="49"/>
      <c r="H24" s="49"/>
      <c r="I24" s="49"/>
      <c r="J24" s="50" t="str">
        <f>IF($AB24="","",INDEX('ORDER Form'!$D$1:$D$355,$AB24)&amp;"")</f>
        <v/>
      </c>
      <c r="K24" s="50" t="str">
        <f>IF($AB24="","",INDEX('ORDER Form'!$E$1:$E$355,$AB24)&amp;"")</f>
        <v/>
      </c>
      <c r="L24" s="50" t="str">
        <f>IF($AB24="","",INDEX('ORDER Form'!$F$1:$F$355,$AB24)&amp;"")</f>
        <v/>
      </c>
      <c r="M24" s="50" t="str">
        <f>IF($AB24="","",INDEX('ORDER Form'!$G$1:$G$355,$AB24)&amp;"")</f>
        <v/>
      </c>
      <c r="N24" s="50" t="str">
        <f>IF($AB24="","",INDEX('ORDER Form'!$H$1:$H$355,$AB24)&amp;"")</f>
        <v/>
      </c>
      <c r="O24" s="50" t="str">
        <f>IF($AB24="","",INDEX('ORDER Form'!$I$1:$I$355,$AB24)&amp;"")</f>
        <v/>
      </c>
      <c r="P24" s="50" t="str">
        <f>IF($AB24="","",INDEX('ORDER Form'!$J$1:$J$355,$AB24)&amp;"")</f>
        <v/>
      </c>
      <c r="Q24" s="50" t="str">
        <f>IF($AB24="","",INDEX('ORDER Form'!$AB$1:$AB$355,$AB24)&amp;"")</f>
        <v/>
      </c>
      <c r="R24" s="50" t="str">
        <f>IF($AB24="","",INDEX('ORDER Form'!$L$1:$L$355,$AB24)&amp;"")</f>
        <v/>
      </c>
      <c r="S24" s="50" t="str">
        <f>IF($AB24="","",INDEX('ORDER Form'!$N$1:$N$355,$AB24)&amp;"")</f>
        <v/>
      </c>
      <c r="T24" s="50" t="str">
        <f>IF($AB24="","",IF($AD24,T$3,INDEX('ORDER Form'!$O$1:$O$355,$AB24))&amp;"")</f>
        <v/>
      </c>
      <c r="U24" s="50" t="str">
        <f>IF($AB24="","",IF($AD24,U$3,INDEX('ORDER Form'!$P$1:$P$355,$AB24))&amp;"")</f>
        <v/>
      </c>
      <c r="V24" s="50" t="str">
        <f>IF($AB24="","",IF($AD24,V$3,INDEX('ORDER Form'!$Q$1:$Q$355,$AB24))&amp;"")</f>
        <v/>
      </c>
      <c r="W24" s="50" t="str">
        <f>IF($AB24="","",IF($AD24,W$3,INDEX('ORDER Form'!$R$1:$R$355,$AB24))&amp;"")</f>
        <v/>
      </c>
      <c r="X24" s="50" t="str">
        <f>IF($AB24="","",IF($AD24,X$3,INDEX('ORDER Form'!$S$1:$S$355,$AB24))&amp;"")</f>
        <v/>
      </c>
      <c r="Y24" s="50" t="str">
        <f>IF($AB24="","",IF($AD24,Y$3,INDEX('ORDER Form'!$T$1:$T$355,$AB24))&amp;"")</f>
        <v/>
      </c>
      <c r="Z24" s="50" t="str">
        <f>IF($AB24="","",IF($AD24,Z$3,INDEX('ORDER Form'!$U$1:$U$355,$AB24))&amp;"")</f>
        <v/>
      </c>
      <c r="AB24" s="51" t="str">
        <f>IFERROR(MATCH(20,$AC$5:$AC$354,0)+5,"")</f>
        <v/>
      </c>
      <c r="AC24" s="51" t="str">
        <f>IF('ORDER Form'!$V25="OK",COUNTIF('ORDER Form'!$V$6:$V25,"OK"),"")</f>
        <v/>
      </c>
      <c r="AD24" s="51" t="str">
        <f>IF($AB24="","",(LEN(TRIM(INDEX('ORDER Form'!$O$1:$O$355,$AB24)))+LEN(TRIM(INDEX('ORDER Form'!$P$1:$P$355,$AB24)))+LEN(TRIM(INDEX('ORDER Form'!$Q$1:$Q$355,$AB24)))+LEN(TRIM(INDEX('ORDER Form'!$R$1:$R$355,$AB24)))+LEN(TRIM(INDEX('ORDER Form'!$S$1:$S$355,$AB24)))+LEN(TRIM(INDEX('ORDER Form'!$T$1:$T$355,$AB24)))+LEN(TRIM(INDEX('ORDER Form'!$U$1:$U$355,$AB24))))=0)</f>
        <v/>
      </c>
    </row>
    <row r="25" spans="1:30" ht="15" customHeight="1" x14ac:dyDescent="0.25">
      <c r="A25" s="50" t="str">
        <f>IF($AB25="","",IFERROR(IF(AND(INDEX('ORDER Form'!$N$1:$N$355,$AB25)="GB",LEFT(UPPER(TRIM(INDEX('ORDER Form'!$L$1:$L$355,$AB25))),2)="BT"),INDEX('ORDER Form'!$AC$1:$AC$355,$AB25),IFERROR(VLOOKUP(INDEX('ORDER Form'!$AC$1:$AC$355,$AB25)&amp;"|"&amp;INDEX('PRODUCT DATA'!$A$2:$A$58,MATCH(INDEX('ORDER Form'!$N$1:$N$355,$AB25),'PRODUCT DATA'!$B$2:$B$58,0)),'PRODUCT DATA'!$NO$2:$NP$25,2,FALSE()),INDEX('ORDER Form'!$AC$1:$AC$355,$AB25)))&amp;"",""))</f>
        <v/>
      </c>
      <c r="B25" s="49"/>
      <c r="C25" s="51" t="str">
        <f>IF($AB25="","",INDEX('ORDER Form'!$C$1:$C$355,$AB25))</f>
        <v/>
      </c>
      <c r="D25" s="49"/>
      <c r="E25" s="49"/>
      <c r="F25" s="49"/>
      <c r="G25" s="49"/>
      <c r="H25" s="49"/>
      <c r="I25" s="49"/>
      <c r="J25" s="50" t="str">
        <f>IF($AB25="","",INDEX('ORDER Form'!$D$1:$D$355,$AB25)&amp;"")</f>
        <v/>
      </c>
      <c r="K25" s="50" t="str">
        <f>IF($AB25="","",INDEX('ORDER Form'!$E$1:$E$355,$AB25)&amp;"")</f>
        <v/>
      </c>
      <c r="L25" s="50" t="str">
        <f>IF($AB25="","",INDEX('ORDER Form'!$F$1:$F$355,$AB25)&amp;"")</f>
        <v/>
      </c>
      <c r="M25" s="50" t="str">
        <f>IF($AB25="","",INDEX('ORDER Form'!$G$1:$G$355,$AB25)&amp;"")</f>
        <v/>
      </c>
      <c r="N25" s="50" t="str">
        <f>IF($AB25="","",INDEX('ORDER Form'!$H$1:$H$355,$AB25)&amp;"")</f>
        <v/>
      </c>
      <c r="O25" s="50" t="str">
        <f>IF($AB25="","",INDEX('ORDER Form'!$I$1:$I$355,$AB25)&amp;"")</f>
        <v/>
      </c>
      <c r="P25" s="50" t="str">
        <f>IF($AB25="","",INDEX('ORDER Form'!$J$1:$J$355,$AB25)&amp;"")</f>
        <v/>
      </c>
      <c r="Q25" s="50" t="str">
        <f>IF($AB25="","",INDEX('ORDER Form'!$AB$1:$AB$355,$AB25)&amp;"")</f>
        <v/>
      </c>
      <c r="R25" s="50" t="str">
        <f>IF($AB25="","",INDEX('ORDER Form'!$L$1:$L$355,$AB25)&amp;"")</f>
        <v/>
      </c>
      <c r="S25" s="50" t="str">
        <f>IF($AB25="","",INDEX('ORDER Form'!$N$1:$N$355,$AB25)&amp;"")</f>
        <v/>
      </c>
      <c r="T25" s="50" t="str">
        <f>IF($AB25="","",IF($AD25,T$3,INDEX('ORDER Form'!$O$1:$O$355,$AB25))&amp;"")</f>
        <v/>
      </c>
      <c r="U25" s="50" t="str">
        <f>IF($AB25="","",IF($AD25,U$3,INDEX('ORDER Form'!$P$1:$P$355,$AB25))&amp;"")</f>
        <v/>
      </c>
      <c r="V25" s="50" t="str">
        <f>IF($AB25="","",IF($AD25,V$3,INDEX('ORDER Form'!$Q$1:$Q$355,$AB25))&amp;"")</f>
        <v/>
      </c>
      <c r="W25" s="50" t="str">
        <f>IF($AB25="","",IF($AD25,W$3,INDEX('ORDER Form'!$R$1:$R$355,$AB25))&amp;"")</f>
        <v/>
      </c>
      <c r="X25" s="50" t="str">
        <f>IF($AB25="","",IF($AD25,X$3,INDEX('ORDER Form'!$S$1:$S$355,$AB25))&amp;"")</f>
        <v/>
      </c>
      <c r="Y25" s="50" t="str">
        <f>IF($AB25="","",IF($AD25,Y$3,INDEX('ORDER Form'!$T$1:$T$355,$AB25))&amp;"")</f>
        <v/>
      </c>
      <c r="Z25" s="50" t="str">
        <f>IF($AB25="","",IF($AD25,Z$3,INDEX('ORDER Form'!$U$1:$U$355,$AB25))&amp;"")</f>
        <v/>
      </c>
      <c r="AB25" s="51" t="str">
        <f>IFERROR(MATCH(21,$AC$5:$AC$354,0)+5,"")</f>
        <v/>
      </c>
      <c r="AC25" s="51" t="str">
        <f>IF('ORDER Form'!$V26="OK",COUNTIF('ORDER Form'!$V$6:$V26,"OK"),"")</f>
        <v/>
      </c>
      <c r="AD25" s="51" t="str">
        <f>IF($AB25="","",(LEN(TRIM(INDEX('ORDER Form'!$O$1:$O$355,$AB25)))+LEN(TRIM(INDEX('ORDER Form'!$P$1:$P$355,$AB25)))+LEN(TRIM(INDEX('ORDER Form'!$Q$1:$Q$355,$AB25)))+LEN(TRIM(INDEX('ORDER Form'!$R$1:$R$355,$AB25)))+LEN(TRIM(INDEX('ORDER Form'!$S$1:$S$355,$AB25)))+LEN(TRIM(INDEX('ORDER Form'!$T$1:$T$355,$AB25)))+LEN(TRIM(INDEX('ORDER Form'!$U$1:$U$355,$AB25))))=0)</f>
        <v/>
      </c>
    </row>
    <row r="26" spans="1:30" ht="15" customHeight="1" x14ac:dyDescent="0.25">
      <c r="A26" s="50" t="str">
        <f>IF($AB26="","",IFERROR(IF(AND(INDEX('ORDER Form'!$N$1:$N$355,$AB26)="GB",LEFT(UPPER(TRIM(INDEX('ORDER Form'!$L$1:$L$355,$AB26))),2)="BT"),INDEX('ORDER Form'!$AC$1:$AC$355,$AB26),IFERROR(VLOOKUP(INDEX('ORDER Form'!$AC$1:$AC$355,$AB26)&amp;"|"&amp;INDEX('PRODUCT DATA'!$A$2:$A$58,MATCH(INDEX('ORDER Form'!$N$1:$N$355,$AB26),'PRODUCT DATA'!$B$2:$B$58,0)),'PRODUCT DATA'!$NO$2:$NP$25,2,FALSE()),INDEX('ORDER Form'!$AC$1:$AC$355,$AB26)))&amp;"",""))</f>
        <v/>
      </c>
      <c r="B26" s="49"/>
      <c r="C26" s="51" t="str">
        <f>IF($AB26="","",INDEX('ORDER Form'!$C$1:$C$355,$AB26))</f>
        <v/>
      </c>
      <c r="D26" s="49"/>
      <c r="E26" s="49"/>
      <c r="F26" s="49"/>
      <c r="G26" s="49"/>
      <c r="H26" s="49"/>
      <c r="I26" s="49"/>
      <c r="J26" s="50" t="str">
        <f>IF($AB26="","",INDEX('ORDER Form'!$D$1:$D$355,$AB26)&amp;"")</f>
        <v/>
      </c>
      <c r="K26" s="50" t="str">
        <f>IF($AB26="","",INDEX('ORDER Form'!$E$1:$E$355,$AB26)&amp;"")</f>
        <v/>
      </c>
      <c r="L26" s="50" t="str">
        <f>IF($AB26="","",INDEX('ORDER Form'!$F$1:$F$355,$AB26)&amp;"")</f>
        <v/>
      </c>
      <c r="M26" s="50" t="str">
        <f>IF($AB26="","",INDEX('ORDER Form'!$G$1:$G$355,$AB26)&amp;"")</f>
        <v/>
      </c>
      <c r="N26" s="50" t="str">
        <f>IF($AB26="","",INDEX('ORDER Form'!$H$1:$H$355,$AB26)&amp;"")</f>
        <v/>
      </c>
      <c r="O26" s="50" t="str">
        <f>IF($AB26="","",INDEX('ORDER Form'!$I$1:$I$355,$AB26)&amp;"")</f>
        <v/>
      </c>
      <c r="P26" s="50" t="str">
        <f>IF($AB26="","",INDEX('ORDER Form'!$J$1:$J$355,$AB26)&amp;"")</f>
        <v/>
      </c>
      <c r="Q26" s="50" t="str">
        <f>IF($AB26="","",INDEX('ORDER Form'!$AB$1:$AB$355,$AB26)&amp;"")</f>
        <v/>
      </c>
      <c r="R26" s="50" t="str">
        <f>IF($AB26="","",INDEX('ORDER Form'!$L$1:$L$355,$AB26)&amp;"")</f>
        <v/>
      </c>
      <c r="S26" s="50" t="str">
        <f>IF($AB26="","",INDEX('ORDER Form'!$N$1:$N$355,$AB26)&amp;"")</f>
        <v/>
      </c>
      <c r="T26" s="50" t="str">
        <f>IF($AB26="","",IF($AD26,T$3,INDEX('ORDER Form'!$O$1:$O$355,$AB26))&amp;"")</f>
        <v/>
      </c>
      <c r="U26" s="50" t="str">
        <f>IF($AB26="","",IF($AD26,U$3,INDEX('ORDER Form'!$P$1:$P$355,$AB26))&amp;"")</f>
        <v/>
      </c>
      <c r="V26" s="50" t="str">
        <f>IF($AB26="","",IF($AD26,V$3,INDEX('ORDER Form'!$Q$1:$Q$355,$AB26))&amp;"")</f>
        <v/>
      </c>
      <c r="W26" s="50" t="str">
        <f>IF($AB26="","",IF($AD26,W$3,INDEX('ORDER Form'!$R$1:$R$355,$AB26))&amp;"")</f>
        <v/>
      </c>
      <c r="X26" s="50" t="str">
        <f>IF($AB26="","",IF($AD26,X$3,INDEX('ORDER Form'!$S$1:$S$355,$AB26))&amp;"")</f>
        <v/>
      </c>
      <c r="Y26" s="50" t="str">
        <f>IF($AB26="","",IF($AD26,Y$3,INDEX('ORDER Form'!$T$1:$T$355,$AB26))&amp;"")</f>
        <v/>
      </c>
      <c r="Z26" s="50" t="str">
        <f>IF($AB26="","",IF($AD26,Z$3,INDEX('ORDER Form'!$U$1:$U$355,$AB26))&amp;"")</f>
        <v/>
      </c>
      <c r="AB26" s="51" t="str">
        <f>IFERROR(MATCH(22,$AC$5:$AC$354,0)+5,"")</f>
        <v/>
      </c>
      <c r="AC26" s="51" t="str">
        <f>IF('ORDER Form'!$V27="OK",COUNTIF('ORDER Form'!$V$6:$V27,"OK"),"")</f>
        <v/>
      </c>
      <c r="AD26" s="51" t="str">
        <f>IF($AB26="","",(LEN(TRIM(INDEX('ORDER Form'!$O$1:$O$355,$AB26)))+LEN(TRIM(INDEX('ORDER Form'!$P$1:$P$355,$AB26)))+LEN(TRIM(INDEX('ORDER Form'!$Q$1:$Q$355,$AB26)))+LEN(TRIM(INDEX('ORDER Form'!$R$1:$R$355,$AB26)))+LEN(TRIM(INDEX('ORDER Form'!$S$1:$S$355,$AB26)))+LEN(TRIM(INDEX('ORDER Form'!$T$1:$T$355,$AB26)))+LEN(TRIM(INDEX('ORDER Form'!$U$1:$U$355,$AB26))))=0)</f>
        <v/>
      </c>
    </row>
    <row r="27" spans="1:30" ht="15" customHeight="1" x14ac:dyDescent="0.25">
      <c r="A27" s="50" t="str">
        <f>IF($AB27="","",IFERROR(IF(AND(INDEX('ORDER Form'!$N$1:$N$355,$AB27)="GB",LEFT(UPPER(TRIM(INDEX('ORDER Form'!$L$1:$L$355,$AB27))),2)="BT"),INDEX('ORDER Form'!$AC$1:$AC$355,$AB27),IFERROR(VLOOKUP(INDEX('ORDER Form'!$AC$1:$AC$355,$AB27)&amp;"|"&amp;INDEX('PRODUCT DATA'!$A$2:$A$58,MATCH(INDEX('ORDER Form'!$N$1:$N$355,$AB27),'PRODUCT DATA'!$B$2:$B$58,0)),'PRODUCT DATA'!$NO$2:$NP$25,2,FALSE()),INDEX('ORDER Form'!$AC$1:$AC$355,$AB27)))&amp;"",""))</f>
        <v/>
      </c>
      <c r="B27" s="49"/>
      <c r="C27" s="51" t="str">
        <f>IF($AB27="","",INDEX('ORDER Form'!$C$1:$C$355,$AB27))</f>
        <v/>
      </c>
      <c r="D27" s="49"/>
      <c r="E27" s="49"/>
      <c r="F27" s="49"/>
      <c r="G27" s="49"/>
      <c r="H27" s="49"/>
      <c r="I27" s="49"/>
      <c r="J27" s="50" t="str">
        <f>IF($AB27="","",INDEX('ORDER Form'!$D$1:$D$355,$AB27)&amp;"")</f>
        <v/>
      </c>
      <c r="K27" s="50" t="str">
        <f>IF($AB27="","",INDEX('ORDER Form'!$E$1:$E$355,$AB27)&amp;"")</f>
        <v/>
      </c>
      <c r="L27" s="50" t="str">
        <f>IF($AB27="","",INDEX('ORDER Form'!$F$1:$F$355,$AB27)&amp;"")</f>
        <v/>
      </c>
      <c r="M27" s="50" t="str">
        <f>IF($AB27="","",INDEX('ORDER Form'!$G$1:$G$355,$AB27)&amp;"")</f>
        <v/>
      </c>
      <c r="N27" s="50" t="str">
        <f>IF($AB27="","",INDEX('ORDER Form'!$H$1:$H$355,$AB27)&amp;"")</f>
        <v/>
      </c>
      <c r="O27" s="50" t="str">
        <f>IF($AB27="","",INDEX('ORDER Form'!$I$1:$I$355,$AB27)&amp;"")</f>
        <v/>
      </c>
      <c r="P27" s="50" t="str">
        <f>IF($AB27="","",INDEX('ORDER Form'!$J$1:$J$355,$AB27)&amp;"")</f>
        <v/>
      </c>
      <c r="Q27" s="50" t="str">
        <f>IF($AB27="","",INDEX('ORDER Form'!$AB$1:$AB$355,$AB27)&amp;"")</f>
        <v/>
      </c>
      <c r="R27" s="50" t="str">
        <f>IF($AB27="","",INDEX('ORDER Form'!$L$1:$L$355,$AB27)&amp;"")</f>
        <v/>
      </c>
      <c r="S27" s="50" t="str">
        <f>IF($AB27="","",INDEX('ORDER Form'!$N$1:$N$355,$AB27)&amp;"")</f>
        <v/>
      </c>
      <c r="T27" s="50" t="str">
        <f>IF($AB27="","",IF($AD27,T$3,INDEX('ORDER Form'!$O$1:$O$355,$AB27))&amp;"")</f>
        <v/>
      </c>
      <c r="U27" s="50" t="str">
        <f>IF($AB27="","",IF($AD27,U$3,INDEX('ORDER Form'!$P$1:$P$355,$AB27))&amp;"")</f>
        <v/>
      </c>
      <c r="V27" s="50" t="str">
        <f>IF($AB27="","",IF($AD27,V$3,INDEX('ORDER Form'!$Q$1:$Q$355,$AB27))&amp;"")</f>
        <v/>
      </c>
      <c r="W27" s="50" t="str">
        <f>IF($AB27="","",IF($AD27,W$3,INDEX('ORDER Form'!$R$1:$R$355,$AB27))&amp;"")</f>
        <v/>
      </c>
      <c r="X27" s="50" t="str">
        <f>IF($AB27="","",IF($AD27,X$3,INDEX('ORDER Form'!$S$1:$S$355,$AB27))&amp;"")</f>
        <v/>
      </c>
      <c r="Y27" s="50" t="str">
        <f>IF($AB27="","",IF($AD27,Y$3,INDEX('ORDER Form'!$T$1:$T$355,$AB27))&amp;"")</f>
        <v/>
      </c>
      <c r="Z27" s="50" t="str">
        <f>IF($AB27="","",IF($AD27,Z$3,INDEX('ORDER Form'!$U$1:$U$355,$AB27))&amp;"")</f>
        <v/>
      </c>
      <c r="AB27" s="51" t="str">
        <f>IFERROR(MATCH(23,$AC$5:$AC$354,0)+5,"")</f>
        <v/>
      </c>
      <c r="AC27" s="51" t="str">
        <f>IF('ORDER Form'!$V28="OK",COUNTIF('ORDER Form'!$V$6:$V28,"OK"),"")</f>
        <v/>
      </c>
      <c r="AD27" s="51" t="str">
        <f>IF($AB27="","",(LEN(TRIM(INDEX('ORDER Form'!$O$1:$O$355,$AB27)))+LEN(TRIM(INDEX('ORDER Form'!$P$1:$P$355,$AB27)))+LEN(TRIM(INDEX('ORDER Form'!$Q$1:$Q$355,$AB27)))+LEN(TRIM(INDEX('ORDER Form'!$R$1:$R$355,$AB27)))+LEN(TRIM(INDEX('ORDER Form'!$S$1:$S$355,$AB27)))+LEN(TRIM(INDEX('ORDER Form'!$T$1:$T$355,$AB27)))+LEN(TRIM(INDEX('ORDER Form'!$U$1:$U$355,$AB27))))=0)</f>
        <v/>
      </c>
    </row>
    <row r="28" spans="1:30" ht="15" customHeight="1" x14ac:dyDescent="0.25">
      <c r="A28" s="50" t="str">
        <f>IF($AB28="","",IFERROR(IF(AND(INDEX('ORDER Form'!$N$1:$N$355,$AB28)="GB",LEFT(UPPER(TRIM(INDEX('ORDER Form'!$L$1:$L$355,$AB28))),2)="BT"),INDEX('ORDER Form'!$AC$1:$AC$355,$AB28),IFERROR(VLOOKUP(INDEX('ORDER Form'!$AC$1:$AC$355,$AB28)&amp;"|"&amp;INDEX('PRODUCT DATA'!$A$2:$A$58,MATCH(INDEX('ORDER Form'!$N$1:$N$355,$AB28),'PRODUCT DATA'!$B$2:$B$58,0)),'PRODUCT DATA'!$NO$2:$NP$25,2,FALSE()),INDEX('ORDER Form'!$AC$1:$AC$355,$AB28)))&amp;"",""))</f>
        <v/>
      </c>
      <c r="B28" s="49"/>
      <c r="C28" s="51" t="str">
        <f>IF($AB28="","",INDEX('ORDER Form'!$C$1:$C$355,$AB28))</f>
        <v/>
      </c>
      <c r="D28" s="49"/>
      <c r="E28" s="49"/>
      <c r="F28" s="49"/>
      <c r="G28" s="49"/>
      <c r="H28" s="49"/>
      <c r="I28" s="49"/>
      <c r="J28" s="50" t="str">
        <f>IF($AB28="","",INDEX('ORDER Form'!$D$1:$D$355,$AB28)&amp;"")</f>
        <v/>
      </c>
      <c r="K28" s="50" t="str">
        <f>IF($AB28="","",INDEX('ORDER Form'!$E$1:$E$355,$AB28)&amp;"")</f>
        <v/>
      </c>
      <c r="L28" s="50" t="str">
        <f>IF($AB28="","",INDEX('ORDER Form'!$F$1:$F$355,$AB28)&amp;"")</f>
        <v/>
      </c>
      <c r="M28" s="50" t="str">
        <f>IF($AB28="","",INDEX('ORDER Form'!$G$1:$G$355,$AB28)&amp;"")</f>
        <v/>
      </c>
      <c r="N28" s="50" t="str">
        <f>IF($AB28="","",INDEX('ORDER Form'!$H$1:$H$355,$AB28)&amp;"")</f>
        <v/>
      </c>
      <c r="O28" s="50" t="str">
        <f>IF($AB28="","",INDEX('ORDER Form'!$I$1:$I$355,$AB28)&amp;"")</f>
        <v/>
      </c>
      <c r="P28" s="50" t="str">
        <f>IF($AB28="","",INDEX('ORDER Form'!$J$1:$J$355,$AB28)&amp;"")</f>
        <v/>
      </c>
      <c r="Q28" s="50" t="str">
        <f>IF($AB28="","",INDEX('ORDER Form'!$AB$1:$AB$355,$AB28)&amp;"")</f>
        <v/>
      </c>
      <c r="R28" s="50" t="str">
        <f>IF($AB28="","",INDEX('ORDER Form'!$L$1:$L$355,$AB28)&amp;"")</f>
        <v/>
      </c>
      <c r="S28" s="50" t="str">
        <f>IF($AB28="","",INDEX('ORDER Form'!$N$1:$N$355,$AB28)&amp;"")</f>
        <v/>
      </c>
      <c r="T28" s="50" t="str">
        <f>IF($AB28="","",IF($AD28,T$3,INDEX('ORDER Form'!$O$1:$O$355,$AB28))&amp;"")</f>
        <v/>
      </c>
      <c r="U28" s="50" t="str">
        <f>IF($AB28="","",IF($AD28,U$3,INDEX('ORDER Form'!$P$1:$P$355,$AB28))&amp;"")</f>
        <v/>
      </c>
      <c r="V28" s="50" t="str">
        <f>IF($AB28="","",IF($AD28,V$3,INDEX('ORDER Form'!$Q$1:$Q$355,$AB28))&amp;"")</f>
        <v/>
      </c>
      <c r="W28" s="50" t="str">
        <f>IF($AB28="","",IF($AD28,W$3,INDEX('ORDER Form'!$R$1:$R$355,$AB28))&amp;"")</f>
        <v/>
      </c>
      <c r="X28" s="50" t="str">
        <f>IF($AB28="","",IF($AD28,X$3,INDEX('ORDER Form'!$S$1:$S$355,$AB28))&amp;"")</f>
        <v/>
      </c>
      <c r="Y28" s="50" t="str">
        <f>IF($AB28="","",IF($AD28,Y$3,INDEX('ORDER Form'!$T$1:$T$355,$AB28))&amp;"")</f>
        <v/>
      </c>
      <c r="Z28" s="50" t="str">
        <f>IF($AB28="","",IF($AD28,Z$3,INDEX('ORDER Form'!$U$1:$U$355,$AB28))&amp;"")</f>
        <v/>
      </c>
      <c r="AB28" s="51" t="str">
        <f>IFERROR(MATCH(24,$AC$5:$AC$354,0)+5,"")</f>
        <v/>
      </c>
      <c r="AC28" s="51" t="str">
        <f>IF('ORDER Form'!$V29="OK",COUNTIF('ORDER Form'!$V$6:$V29,"OK"),"")</f>
        <v/>
      </c>
      <c r="AD28" s="51" t="str">
        <f>IF($AB28="","",(LEN(TRIM(INDEX('ORDER Form'!$O$1:$O$355,$AB28)))+LEN(TRIM(INDEX('ORDER Form'!$P$1:$P$355,$AB28)))+LEN(TRIM(INDEX('ORDER Form'!$Q$1:$Q$355,$AB28)))+LEN(TRIM(INDEX('ORDER Form'!$R$1:$R$355,$AB28)))+LEN(TRIM(INDEX('ORDER Form'!$S$1:$S$355,$AB28)))+LEN(TRIM(INDEX('ORDER Form'!$T$1:$T$355,$AB28)))+LEN(TRIM(INDEX('ORDER Form'!$U$1:$U$355,$AB28))))=0)</f>
        <v/>
      </c>
    </row>
    <row r="29" spans="1:30" ht="15" customHeight="1" x14ac:dyDescent="0.25">
      <c r="A29" s="50" t="str">
        <f>IF($AB29="","",IFERROR(IF(AND(INDEX('ORDER Form'!$N$1:$N$355,$AB29)="GB",LEFT(UPPER(TRIM(INDEX('ORDER Form'!$L$1:$L$355,$AB29))),2)="BT"),INDEX('ORDER Form'!$AC$1:$AC$355,$AB29),IFERROR(VLOOKUP(INDEX('ORDER Form'!$AC$1:$AC$355,$AB29)&amp;"|"&amp;INDEX('PRODUCT DATA'!$A$2:$A$58,MATCH(INDEX('ORDER Form'!$N$1:$N$355,$AB29),'PRODUCT DATA'!$B$2:$B$58,0)),'PRODUCT DATA'!$NO$2:$NP$25,2,FALSE()),INDEX('ORDER Form'!$AC$1:$AC$355,$AB29)))&amp;"",""))</f>
        <v/>
      </c>
      <c r="B29" s="49"/>
      <c r="C29" s="51" t="str">
        <f>IF($AB29="","",INDEX('ORDER Form'!$C$1:$C$355,$AB29))</f>
        <v/>
      </c>
      <c r="D29" s="49"/>
      <c r="E29" s="49"/>
      <c r="F29" s="49"/>
      <c r="G29" s="49"/>
      <c r="H29" s="49"/>
      <c r="I29" s="49"/>
      <c r="J29" s="50" t="str">
        <f>IF($AB29="","",INDEX('ORDER Form'!$D$1:$D$355,$AB29)&amp;"")</f>
        <v/>
      </c>
      <c r="K29" s="50" t="str">
        <f>IF($AB29="","",INDEX('ORDER Form'!$E$1:$E$355,$AB29)&amp;"")</f>
        <v/>
      </c>
      <c r="L29" s="50" t="str">
        <f>IF($AB29="","",INDEX('ORDER Form'!$F$1:$F$355,$AB29)&amp;"")</f>
        <v/>
      </c>
      <c r="M29" s="50" t="str">
        <f>IF($AB29="","",INDEX('ORDER Form'!$G$1:$G$355,$AB29)&amp;"")</f>
        <v/>
      </c>
      <c r="N29" s="50" t="str">
        <f>IF($AB29="","",INDEX('ORDER Form'!$H$1:$H$355,$AB29)&amp;"")</f>
        <v/>
      </c>
      <c r="O29" s="50" t="str">
        <f>IF($AB29="","",INDEX('ORDER Form'!$I$1:$I$355,$AB29)&amp;"")</f>
        <v/>
      </c>
      <c r="P29" s="50" t="str">
        <f>IF($AB29="","",INDEX('ORDER Form'!$J$1:$J$355,$AB29)&amp;"")</f>
        <v/>
      </c>
      <c r="Q29" s="50" t="str">
        <f>IF($AB29="","",INDEX('ORDER Form'!$AB$1:$AB$355,$AB29)&amp;"")</f>
        <v/>
      </c>
      <c r="R29" s="50" t="str">
        <f>IF($AB29="","",INDEX('ORDER Form'!$L$1:$L$355,$AB29)&amp;"")</f>
        <v/>
      </c>
      <c r="S29" s="50" t="str">
        <f>IF($AB29="","",INDEX('ORDER Form'!$N$1:$N$355,$AB29)&amp;"")</f>
        <v/>
      </c>
      <c r="T29" s="50" t="str">
        <f>IF($AB29="","",IF($AD29,T$3,INDEX('ORDER Form'!$O$1:$O$355,$AB29))&amp;"")</f>
        <v/>
      </c>
      <c r="U29" s="50" t="str">
        <f>IF($AB29="","",IF($AD29,U$3,INDEX('ORDER Form'!$P$1:$P$355,$AB29))&amp;"")</f>
        <v/>
      </c>
      <c r="V29" s="50" t="str">
        <f>IF($AB29="","",IF($AD29,V$3,INDEX('ORDER Form'!$Q$1:$Q$355,$AB29))&amp;"")</f>
        <v/>
      </c>
      <c r="W29" s="50" t="str">
        <f>IF($AB29="","",IF($AD29,W$3,INDEX('ORDER Form'!$R$1:$R$355,$AB29))&amp;"")</f>
        <v/>
      </c>
      <c r="X29" s="50" t="str">
        <f>IF($AB29="","",IF($AD29,X$3,INDEX('ORDER Form'!$S$1:$S$355,$AB29))&amp;"")</f>
        <v/>
      </c>
      <c r="Y29" s="50" t="str">
        <f>IF($AB29="","",IF($AD29,Y$3,INDEX('ORDER Form'!$T$1:$T$355,$AB29))&amp;"")</f>
        <v/>
      </c>
      <c r="Z29" s="50" t="str">
        <f>IF($AB29="","",IF($AD29,Z$3,INDEX('ORDER Form'!$U$1:$U$355,$AB29))&amp;"")</f>
        <v/>
      </c>
      <c r="AB29" s="51" t="str">
        <f>IFERROR(MATCH(25,$AC$5:$AC$354,0)+5,"")</f>
        <v/>
      </c>
      <c r="AC29" s="51" t="str">
        <f>IF('ORDER Form'!$V30="OK",COUNTIF('ORDER Form'!$V$6:$V30,"OK"),"")</f>
        <v/>
      </c>
      <c r="AD29" s="51" t="str">
        <f>IF($AB29="","",(LEN(TRIM(INDEX('ORDER Form'!$O$1:$O$355,$AB29)))+LEN(TRIM(INDEX('ORDER Form'!$P$1:$P$355,$AB29)))+LEN(TRIM(INDEX('ORDER Form'!$Q$1:$Q$355,$AB29)))+LEN(TRIM(INDEX('ORDER Form'!$R$1:$R$355,$AB29)))+LEN(TRIM(INDEX('ORDER Form'!$S$1:$S$355,$AB29)))+LEN(TRIM(INDEX('ORDER Form'!$T$1:$T$355,$AB29)))+LEN(TRIM(INDEX('ORDER Form'!$U$1:$U$355,$AB29))))=0)</f>
        <v/>
      </c>
    </row>
    <row r="30" spans="1:30" ht="15" customHeight="1" x14ac:dyDescent="0.25">
      <c r="A30" s="50" t="str">
        <f>IF($AB30="","",IFERROR(IF(AND(INDEX('ORDER Form'!$N$1:$N$355,$AB30)="GB",LEFT(UPPER(TRIM(INDEX('ORDER Form'!$L$1:$L$355,$AB30))),2)="BT"),INDEX('ORDER Form'!$AC$1:$AC$355,$AB30),IFERROR(VLOOKUP(INDEX('ORDER Form'!$AC$1:$AC$355,$AB30)&amp;"|"&amp;INDEX('PRODUCT DATA'!$A$2:$A$58,MATCH(INDEX('ORDER Form'!$N$1:$N$355,$AB30),'PRODUCT DATA'!$B$2:$B$58,0)),'PRODUCT DATA'!$NO$2:$NP$25,2,FALSE()),INDEX('ORDER Form'!$AC$1:$AC$355,$AB30)))&amp;"",""))</f>
        <v/>
      </c>
      <c r="B30" s="49"/>
      <c r="C30" s="51" t="str">
        <f>IF($AB30="","",INDEX('ORDER Form'!$C$1:$C$355,$AB30))</f>
        <v/>
      </c>
      <c r="D30" s="49"/>
      <c r="E30" s="49"/>
      <c r="F30" s="49"/>
      <c r="G30" s="49"/>
      <c r="H30" s="49"/>
      <c r="I30" s="49"/>
      <c r="J30" s="50" t="str">
        <f>IF($AB30="","",INDEX('ORDER Form'!$D$1:$D$355,$AB30)&amp;"")</f>
        <v/>
      </c>
      <c r="K30" s="50" t="str">
        <f>IF($AB30="","",INDEX('ORDER Form'!$E$1:$E$355,$AB30)&amp;"")</f>
        <v/>
      </c>
      <c r="L30" s="50" t="str">
        <f>IF($AB30="","",INDEX('ORDER Form'!$F$1:$F$355,$AB30)&amp;"")</f>
        <v/>
      </c>
      <c r="M30" s="50" t="str">
        <f>IF($AB30="","",INDEX('ORDER Form'!$G$1:$G$355,$AB30)&amp;"")</f>
        <v/>
      </c>
      <c r="N30" s="50" t="str">
        <f>IF($AB30="","",INDEX('ORDER Form'!$H$1:$H$355,$AB30)&amp;"")</f>
        <v/>
      </c>
      <c r="O30" s="50" t="str">
        <f>IF($AB30="","",INDEX('ORDER Form'!$I$1:$I$355,$AB30)&amp;"")</f>
        <v/>
      </c>
      <c r="P30" s="50" t="str">
        <f>IF($AB30="","",INDEX('ORDER Form'!$J$1:$J$355,$AB30)&amp;"")</f>
        <v/>
      </c>
      <c r="Q30" s="50" t="str">
        <f>IF($AB30="","",INDEX('ORDER Form'!$AB$1:$AB$355,$AB30)&amp;"")</f>
        <v/>
      </c>
      <c r="R30" s="50" t="str">
        <f>IF($AB30="","",INDEX('ORDER Form'!$L$1:$L$355,$AB30)&amp;"")</f>
        <v/>
      </c>
      <c r="S30" s="50" t="str">
        <f>IF($AB30="","",INDEX('ORDER Form'!$N$1:$N$355,$AB30)&amp;"")</f>
        <v/>
      </c>
      <c r="T30" s="50" t="str">
        <f>IF($AB30="","",IF($AD30,T$3,INDEX('ORDER Form'!$O$1:$O$355,$AB30))&amp;"")</f>
        <v/>
      </c>
      <c r="U30" s="50" t="str">
        <f>IF($AB30="","",IF($AD30,U$3,INDEX('ORDER Form'!$P$1:$P$355,$AB30))&amp;"")</f>
        <v/>
      </c>
      <c r="V30" s="50" t="str">
        <f>IF($AB30="","",IF($AD30,V$3,INDEX('ORDER Form'!$Q$1:$Q$355,$AB30))&amp;"")</f>
        <v/>
      </c>
      <c r="W30" s="50" t="str">
        <f>IF($AB30="","",IF($AD30,W$3,INDEX('ORDER Form'!$R$1:$R$355,$AB30))&amp;"")</f>
        <v/>
      </c>
      <c r="X30" s="50" t="str">
        <f>IF($AB30="","",IF($AD30,X$3,INDEX('ORDER Form'!$S$1:$S$355,$AB30))&amp;"")</f>
        <v/>
      </c>
      <c r="Y30" s="50" t="str">
        <f>IF($AB30="","",IF($AD30,Y$3,INDEX('ORDER Form'!$T$1:$T$355,$AB30))&amp;"")</f>
        <v/>
      </c>
      <c r="Z30" s="50" t="str">
        <f>IF($AB30="","",IF($AD30,Z$3,INDEX('ORDER Form'!$U$1:$U$355,$AB30))&amp;"")</f>
        <v/>
      </c>
      <c r="AB30" s="51" t="str">
        <f>IFERROR(MATCH(26,$AC$5:$AC$354,0)+5,"")</f>
        <v/>
      </c>
      <c r="AC30" s="51" t="str">
        <f>IF('ORDER Form'!$V31="OK",COUNTIF('ORDER Form'!$V$6:$V31,"OK"),"")</f>
        <v/>
      </c>
      <c r="AD30" s="51" t="str">
        <f>IF($AB30="","",(LEN(TRIM(INDEX('ORDER Form'!$O$1:$O$355,$AB30)))+LEN(TRIM(INDEX('ORDER Form'!$P$1:$P$355,$AB30)))+LEN(TRIM(INDEX('ORDER Form'!$Q$1:$Q$355,$AB30)))+LEN(TRIM(INDEX('ORDER Form'!$R$1:$R$355,$AB30)))+LEN(TRIM(INDEX('ORDER Form'!$S$1:$S$355,$AB30)))+LEN(TRIM(INDEX('ORDER Form'!$T$1:$T$355,$AB30)))+LEN(TRIM(INDEX('ORDER Form'!$U$1:$U$355,$AB30))))=0)</f>
        <v/>
      </c>
    </row>
    <row r="31" spans="1:30" ht="15" customHeight="1" x14ac:dyDescent="0.25">
      <c r="A31" s="50" t="str">
        <f>IF($AB31="","",IFERROR(IF(AND(INDEX('ORDER Form'!$N$1:$N$355,$AB31)="GB",LEFT(UPPER(TRIM(INDEX('ORDER Form'!$L$1:$L$355,$AB31))),2)="BT"),INDEX('ORDER Form'!$AC$1:$AC$355,$AB31),IFERROR(VLOOKUP(INDEX('ORDER Form'!$AC$1:$AC$355,$AB31)&amp;"|"&amp;INDEX('PRODUCT DATA'!$A$2:$A$58,MATCH(INDEX('ORDER Form'!$N$1:$N$355,$AB31),'PRODUCT DATA'!$B$2:$B$58,0)),'PRODUCT DATA'!$NO$2:$NP$25,2,FALSE()),INDEX('ORDER Form'!$AC$1:$AC$355,$AB31)))&amp;"",""))</f>
        <v/>
      </c>
      <c r="B31" s="49"/>
      <c r="C31" s="51" t="str">
        <f>IF($AB31="","",INDEX('ORDER Form'!$C$1:$C$355,$AB31))</f>
        <v/>
      </c>
      <c r="D31" s="49"/>
      <c r="E31" s="49"/>
      <c r="F31" s="49"/>
      <c r="G31" s="49"/>
      <c r="H31" s="49"/>
      <c r="I31" s="49"/>
      <c r="J31" s="50" t="str">
        <f>IF($AB31="","",INDEX('ORDER Form'!$D$1:$D$355,$AB31)&amp;"")</f>
        <v/>
      </c>
      <c r="K31" s="50" t="str">
        <f>IF($AB31="","",INDEX('ORDER Form'!$E$1:$E$355,$AB31)&amp;"")</f>
        <v/>
      </c>
      <c r="L31" s="50" t="str">
        <f>IF($AB31="","",INDEX('ORDER Form'!$F$1:$F$355,$AB31)&amp;"")</f>
        <v/>
      </c>
      <c r="M31" s="50" t="str">
        <f>IF($AB31="","",INDEX('ORDER Form'!$G$1:$G$355,$AB31)&amp;"")</f>
        <v/>
      </c>
      <c r="N31" s="50" t="str">
        <f>IF($AB31="","",INDEX('ORDER Form'!$H$1:$H$355,$AB31)&amp;"")</f>
        <v/>
      </c>
      <c r="O31" s="50" t="str">
        <f>IF($AB31="","",INDEX('ORDER Form'!$I$1:$I$355,$AB31)&amp;"")</f>
        <v/>
      </c>
      <c r="P31" s="50" t="str">
        <f>IF($AB31="","",INDEX('ORDER Form'!$J$1:$J$355,$AB31)&amp;"")</f>
        <v/>
      </c>
      <c r="Q31" s="50" t="str">
        <f>IF($AB31="","",INDEX('ORDER Form'!$AB$1:$AB$355,$AB31)&amp;"")</f>
        <v/>
      </c>
      <c r="R31" s="50" t="str">
        <f>IF($AB31="","",INDEX('ORDER Form'!$L$1:$L$355,$AB31)&amp;"")</f>
        <v/>
      </c>
      <c r="S31" s="50" t="str">
        <f>IF($AB31="","",INDEX('ORDER Form'!$N$1:$N$355,$AB31)&amp;"")</f>
        <v/>
      </c>
      <c r="T31" s="50" t="str">
        <f>IF($AB31="","",IF($AD31,T$3,INDEX('ORDER Form'!$O$1:$O$355,$AB31))&amp;"")</f>
        <v/>
      </c>
      <c r="U31" s="50" t="str">
        <f>IF($AB31="","",IF($AD31,U$3,INDEX('ORDER Form'!$P$1:$P$355,$AB31))&amp;"")</f>
        <v/>
      </c>
      <c r="V31" s="50" t="str">
        <f>IF($AB31="","",IF($AD31,V$3,INDEX('ORDER Form'!$Q$1:$Q$355,$AB31))&amp;"")</f>
        <v/>
      </c>
      <c r="W31" s="50" t="str">
        <f>IF($AB31="","",IF($AD31,W$3,INDEX('ORDER Form'!$R$1:$R$355,$AB31))&amp;"")</f>
        <v/>
      </c>
      <c r="X31" s="50" t="str">
        <f>IF($AB31="","",IF($AD31,X$3,INDEX('ORDER Form'!$S$1:$S$355,$AB31))&amp;"")</f>
        <v/>
      </c>
      <c r="Y31" s="50" t="str">
        <f>IF($AB31="","",IF($AD31,Y$3,INDEX('ORDER Form'!$T$1:$T$355,$AB31))&amp;"")</f>
        <v/>
      </c>
      <c r="Z31" s="50" t="str">
        <f>IF($AB31="","",IF($AD31,Z$3,INDEX('ORDER Form'!$U$1:$U$355,$AB31))&amp;"")</f>
        <v/>
      </c>
      <c r="AB31" s="51" t="str">
        <f>IFERROR(MATCH(27,$AC$5:$AC$354,0)+5,"")</f>
        <v/>
      </c>
      <c r="AC31" s="51" t="str">
        <f>IF('ORDER Form'!$V32="OK",COUNTIF('ORDER Form'!$V$6:$V32,"OK"),"")</f>
        <v/>
      </c>
      <c r="AD31" s="51" t="str">
        <f>IF($AB31="","",(LEN(TRIM(INDEX('ORDER Form'!$O$1:$O$355,$AB31)))+LEN(TRIM(INDEX('ORDER Form'!$P$1:$P$355,$AB31)))+LEN(TRIM(INDEX('ORDER Form'!$Q$1:$Q$355,$AB31)))+LEN(TRIM(INDEX('ORDER Form'!$R$1:$R$355,$AB31)))+LEN(TRIM(INDEX('ORDER Form'!$S$1:$S$355,$AB31)))+LEN(TRIM(INDEX('ORDER Form'!$T$1:$T$355,$AB31)))+LEN(TRIM(INDEX('ORDER Form'!$U$1:$U$355,$AB31))))=0)</f>
        <v/>
      </c>
    </row>
    <row r="32" spans="1:30" ht="15" customHeight="1" x14ac:dyDescent="0.25">
      <c r="A32" s="50" t="str">
        <f>IF($AB32="","",IFERROR(IF(AND(INDEX('ORDER Form'!$N$1:$N$355,$AB32)="GB",LEFT(UPPER(TRIM(INDEX('ORDER Form'!$L$1:$L$355,$AB32))),2)="BT"),INDEX('ORDER Form'!$AC$1:$AC$355,$AB32),IFERROR(VLOOKUP(INDEX('ORDER Form'!$AC$1:$AC$355,$AB32)&amp;"|"&amp;INDEX('PRODUCT DATA'!$A$2:$A$58,MATCH(INDEX('ORDER Form'!$N$1:$N$355,$AB32),'PRODUCT DATA'!$B$2:$B$58,0)),'PRODUCT DATA'!$NO$2:$NP$25,2,FALSE()),INDEX('ORDER Form'!$AC$1:$AC$355,$AB32)))&amp;"",""))</f>
        <v/>
      </c>
      <c r="B32" s="49"/>
      <c r="C32" s="51" t="str">
        <f>IF($AB32="","",INDEX('ORDER Form'!$C$1:$C$355,$AB32))</f>
        <v/>
      </c>
      <c r="D32" s="49"/>
      <c r="E32" s="49"/>
      <c r="F32" s="49"/>
      <c r="G32" s="49"/>
      <c r="H32" s="49"/>
      <c r="I32" s="49"/>
      <c r="J32" s="50" t="str">
        <f>IF($AB32="","",INDEX('ORDER Form'!$D$1:$D$355,$AB32)&amp;"")</f>
        <v/>
      </c>
      <c r="K32" s="50" t="str">
        <f>IF($AB32="","",INDEX('ORDER Form'!$E$1:$E$355,$AB32)&amp;"")</f>
        <v/>
      </c>
      <c r="L32" s="50" t="str">
        <f>IF($AB32="","",INDEX('ORDER Form'!$F$1:$F$355,$AB32)&amp;"")</f>
        <v/>
      </c>
      <c r="M32" s="50" t="str">
        <f>IF($AB32="","",INDEX('ORDER Form'!$G$1:$G$355,$AB32)&amp;"")</f>
        <v/>
      </c>
      <c r="N32" s="50" t="str">
        <f>IF($AB32="","",INDEX('ORDER Form'!$H$1:$H$355,$AB32)&amp;"")</f>
        <v/>
      </c>
      <c r="O32" s="50" t="str">
        <f>IF($AB32="","",INDEX('ORDER Form'!$I$1:$I$355,$AB32)&amp;"")</f>
        <v/>
      </c>
      <c r="P32" s="50" t="str">
        <f>IF($AB32="","",INDEX('ORDER Form'!$J$1:$J$355,$AB32)&amp;"")</f>
        <v/>
      </c>
      <c r="Q32" s="50" t="str">
        <f>IF($AB32="","",INDEX('ORDER Form'!$AB$1:$AB$355,$AB32)&amp;"")</f>
        <v/>
      </c>
      <c r="R32" s="50" t="str">
        <f>IF($AB32="","",INDEX('ORDER Form'!$L$1:$L$355,$AB32)&amp;"")</f>
        <v/>
      </c>
      <c r="S32" s="50" t="str">
        <f>IF($AB32="","",INDEX('ORDER Form'!$N$1:$N$355,$AB32)&amp;"")</f>
        <v/>
      </c>
      <c r="T32" s="50" t="str">
        <f>IF($AB32="","",IF($AD32,T$3,INDEX('ORDER Form'!$O$1:$O$355,$AB32))&amp;"")</f>
        <v/>
      </c>
      <c r="U32" s="50" t="str">
        <f>IF($AB32="","",IF($AD32,U$3,INDEX('ORDER Form'!$P$1:$P$355,$AB32))&amp;"")</f>
        <v/>
      </c>
      <c r="V32" s="50" t="str">
        <f>IF($AB32="","",IF($AD32,V$3,INDEX('ORDER Form'!$Q$1:$Q$355,$AB32))&amp;"")</f>
        <v/>
      </c>
      <c r="W32" s="50" t="str">
        <f>IF($AB32="","",IF($AD32,W$3,INDEX('ORDER Form'!$R$1:$R$355,$AB32))&amp;"")</f>
        <v/>
      </c>
      <c r="X32" s="50" t="str">
        <f>IF($AB32="","",IF($AD32,X$3,INDEX('ORDER Form'!$S$1:$S$355,$AB32))&amp;"")</f>
        <v/>
      </c>
      <c r="Y32" s="50" t="str">
        <f>IF($AB32="","",IF($AD32,Y$3,INDEX('ORDER Form'!$T$1:$T$355,$AB32))&amp;"")</f>
        <v/>
      </c>
      <c r="Z32" s="50" t="str">
        <f>IF($AB32="","",IF($AD32,Z$3,INDEX('ORDER Form'!$U$1:$U$355,$AB32))&amp;"")</f>
        <v/>
      </c>
      <c r="AB32" s="51" t="str">
        <f>IFERROR(MATCH(28,$AC$5:$AC$354,0)+5,"")</f>
        <v/>
      </c>
      <c r="AC32" s="51" t="str">
        <f>IF('ORDER Form'!$V33="OK",COUNTIF('ORDER Form'!$V$6:$V33,"OK"),"")</f>
        <v/>
      </c>
      <c r="AD32" s="51" t="str">
        <f>IF($AB32="","",(LEN(TRIM(INDEX('ORDER Form'!$O$1:$O$355,$AB32)))+LEN(TRIM(INDEX('ORDER Form'!$P$1:$P$355,$AB32)))+LEN(TRIM(INDEX('ORDER Form'!$Q$1:$Q$355,$AB32)))+LEN(TRIM(INDEX('ORDER Form'!$R$1:$R$355,$AB32)))+LEN(TRIM(INDEX('ORDER Form'!$S$1:$S$355,$AB32)))+LEN(TRIM(INDEX('ORDER Form'!$T$1:$T$355,$AB32)))+LEN(TRIM(INDEX('ORDER Form'!$U$1:$U$355,$AB32))))=0)</f>
        <v/>
      </c>
    </row>
    <row r="33" spans="1:30" ht="15" customHeight="1" x14ac:dyDescent="0.25">
      <c r="A33" s="50" t="str">
        <f>IF($AB33="","",IFERROR(IF(AND(INDEX('ORDER Form'!$N$1:$N$355,$AB33)="GB",LEFT(UPPER(TRIM(INDEX('ORDER Form'!$L$1:$L$355,$AB33))),2)="BT"),INDEX('ORDER Form'!$AC$1:$AC$355,$AB33),IFERROR(VLOOKUP(INDEX('ORDER Form'!$AC$1:$AC$355,$AB33)&amp;"|"&amp;INDEX('PRODUCT DATA'!$A$2:$A$58,MATCH(INDEX('ORDER Form'!$N$1:$N$355,$AB33),'PRODUCT DATA'!$B$2:$B$58,0)),'PRODUCT DATA'!$NO$2:$NP$25,2,FALSE()),INDEX('ORDER Form'!$AC$1:$AC$355,$AB33)))&amp;"",""))</f>
        <v/>
      </c>
      <c r="B33" s="49"/>
      <c r="C33" s="51" t="str">
        <f>IF($AB33="","",INDEX('ORDER Form'!$C$1:$C$355,$AB33))</f>
        <v/>
      </c>
      <c r="D33" s="49"/>
      <c r="E33" s="49"/>
      <c r="F33" s="49"/>
      <c r="G33" s="49"/>
      <c r="H33" s="49"/>
      <c r="I33" s="49"/>
      <c r="J33" s="50" t="str">
        <f>IF($AB33="","",INDEX('ORDER Form'!$D$1:$D$355,$AB33)&amp;"")</f>
        <v/>
      </c>
      <c r="K33" s="50" t="str">
        <f>IF($AB33="","",INDEX('ORDER Form'!$E$1:$E$355,$AB33)&amp;"")</f>
        <v/>
      </c>
      <c r="L33" s="50" t="str">
        <f>IF($AB33="","",INDEX('ORDER Form'!$F$1:$F$355,$AB33)&amp;"")</f>
        <v/>
      </c>
      <c r="M33" s="50" t="str">
        <f>IF($AB33="","",INDEX('ORDER Form'!$G$1:$G$355,$AB33)&amp;"")</f>
        <v/>
      </c>
      <c r="N33" s="50" t="str">
        <f>IF($AB33="","",INDEX('ORDER Form'!$H$1:$H$355,$AB33)&amp;"")</f>
        <v/>
      </c>
      <c r="O33" s="50" t="str">
        <f>IF($AB33="","",INDEX('ORDER Form'!$I$1:$I$355,$AB33)&amp;"")</f>
        <v/>
      </c>
      <c r="P33" s="50" t="str">
        <f>IF($AB33="","",INDEX('ORDER Form'!$J$1:$J$355,$AB33)&amp;"")</f>
        <v/>
      </c>
      <c r="Q33" s="50" t="str">
        <f>IF($AB33="","",INDEX('ORDER Form'!$AB$1:$AB$355,$AB33)&amp;"")</f>
        <v/>
      </c>
      <c r="R33" s="50" t="str">
        <f>IF($AB33="","",INDEX('ORDER Form'!$L$1:$L$355,$AB33)&amp;"")</f>
        <v/>
      </c>
      <c r="S33" s="50" t="str">
        <f>IF($AB33="","",INDEX('ORDER Form'!$N$1:$N$355,$AB33)&amp;"")</f>
        <v/>
      </c>
      <c r="T33" s="50" t="str">
        <f>IF($AB33="","",IF($AD33,T$3,INDEX('ORDER Form'!$O$1:$O$355,$AB33))&amp;"")</f>
        <v/>
      </c>
      <c r="U33" s="50" t="str">
        <f>IF($AB33="","",IF($AD33,U$3,INDEX('ORDER Form'!$P$1:$P$355,$AB33))&amp;"")</f>
        <v/>
      </c>
      <c r="V33" s="50" t="str">
        <f>IF($AB33="","",IF($AD33,V$3,INDEX('ORDER Form'!$Q$1:$Q$355,$AB33))&amp;"")</f>
        <v/>
      </c>
      <c r="W33" s="50" t="str">
        <f>IF($AB33="","",IF($AD33,W$3,INDEX('ORDER Form'!$R$1:$R$355,$AB33))&amp;"")</f>
        <v/>
      </c>
      <c r="X33" s="50" t="str">
        <f>IF($AB33="","",IF($AD33,X$3,INDEX('ORDER Form'!$S$1:$S$355,$AB33))&amp;"")</f>
        <v/>
      </c>
      <c r="Y33" s="50" t="str">
        <f>IF($AB33="","",IF($AD33,Y$3,INDEX('ORDER Form'!$T$1:$T$355,$AB33))&amp;"")</f>
        <v/>
      </c>
      <c r="Z33" s="50" t="str">
        <f>IF($AB33="","",IF($AD33,Z$3,INDEX('ORDER Form'!$U$1:$U$355,$AB33))&amp;"")</f>
        <v/>
      </c>
      <c r="AB33" s="51" t="str">
        <f>IFERROR(MATCH(29,$AC$5:$AC$354,0)+5,"")</f>
        <v/>
      </c>
      <c r="AC33" s="51" t="str">
        <f>IF('ORDER Form'!$V34="OK",COUNTIF('ORDER Form'!$V$6:$V34,"OK"),"")</f>
        <v/>
      </c>
      <c r="AD33" s="51" t="str">
        <f>IF($AB33="","",(LEN(TRIM(INDEX('ORDER Form'!$O$1:$O$355,$AB33)))+LEN(TRIM(INDEX('ORDER Form'!$P$1:$P$355,$AB33)))+LEN(TRIM(INDEX('ORDER Form'!$Q$1:$Q$355,$AB33)))+LEN(TRIM(INDEX('ORDER Form'!$R$1:$R$355,$AB33)))+LEN(TRIM(INDEX('ORDER Form'!$S$1:$S$355,$AB33)))+LEN(TRIM(INDEX('ORDER Form'!$T$1:$T$355,$AB33)))+LEN(TRIM(INDEX('ORDER Form'!$U$1:$U$355,$AB33))))=0)</f>
        <v/>
      </c>
    </row>
    <row r="34" spans="1:30" ht="15" customHeight="1" x14ac:dyDescent="0.25">
      <c r="A34" s="50" t="str">
        <f>IF($AB34="","",IFERROR(IF(AND(INDEX('ORDER Form'!$N$1:$N$355,$AB34)="GB",LEFT(UPPER(TRIM(INDEX('ORDER Form'!$L$1:$L$355,$AB34))),2)="BT"),INDEX('ORDER Form'!$AC$1:$AC$355,$AB34),IFERROR(VLOOKUP(INDEX('ORDER Form'!$AC$1:$AC$355,$AB34)&amp;"|"&amp;INDEX('PRODUCT DATA'!$A$2:$A$58,MATCH(INDEX('ORDER Form'!$N$1:$N$355,$AB34),'PRODUCT DATA'!$B$2:$B$58,0)),'PRODUCT DATA'!$NO$2:$NP$25,2,FALSE()),INDEX('ORDER Form'!$AC$1:$AC$355,$AB34)))&amp;"",""))</f>
        <v/>
      </c>
      <c r="B34" s="49"/>
      <c r="C34" s="51" t="str">
        <f>IF($AB34="","",INDEX('ORDER Form'!$C$1:$C$355,$AB34))</f>
        <v/>
      </c>
      <c r="D34" s="49"/>
      <c r="E34" s="49"/>
      <c r="F34" s="49"/>
      <c r="G34" s="49"/>
      <c r="H34" s="49"/>
      <c r="I34" s="49"/>
      <c r="J34" s="50" t="str">
        <f>IF($AB34="","",INDEX('ORDER Form'!$D$1:$D$355,$AB34)&amp;"")</f>
        <v/>
      </c>
      <c r="K34" s="50" t="str">
        <f>IF($AB34="","",INDEX('ORDER Form'!$E$1:$E$355,$AB34)&amp;"")</f>
        <v/>
      </c>
      <c r="L34" s="50" t="str">
        <f>IF($AB34="","",INDEX('ORDER Form'!$F$1:$F$355,$AB34)&amp;"")</f>
        <v/>
      </c>
      <c r="M34" s="50" t="str">
        <f>IF($AB34="","",INDEX('ORDER Form'!$G$1:$G$355,$AB34)&amp;"")</f>
        <v/>
      </c>
      <c r="N34" s="50" t="str">
        <f>IF($AB34="","",INDEX('ORDER Form'!$H$1:$H$355,$AB34)&amp;"")</f>
        <v/>
      </c>
      <c r="O34" s="50" t="str">
        <f>IF($AB34="","",INDEX('ORDER Form'!$I$1:$I$355,$AB34)&amp;"")</f>
        <v/>
      </c>
      <c r="P34" s="50" t="str">
        <f>IF($AB34="","",INDEX('ORDER Form'!$J$1:$J$355,$AB34)&amp;"")</f>
        <v/>
      </c>
      <c r="Q34" s="50" t="str">
        <f>IF($AB34="","",INDEX('ORDER Form'!$AB$1:$AB$355,$AB34)&amp;"")</f>
        <v/>
      </c>
      <c r="R34" s="50" t="str">
        <f>IF($AB34="","",INDEX('ORDER Form'!$L$1:$L$355,$AB34)&amp;"")</f>
        <v/>
      </c>
      <c r="S34" s="50" t="str">
        <f>IF($AB34="","",INDEX('ORDER Form'!$N$1:$N$355,$AB34)&amp;"")</f>
        <v/>
      </c>
      <c r="T34" s="50" t="str">
        <f>IF($AB34="","",IF($AD34,T$3,INDEX('ORDER Form'!$O$1:$O$355,$AB34))&amp;"")</f>
        <v/>
      </c>
      <c r="U34" s="50" t="str">
        <f>IF($AB34="","",IF($AD34,U$3,INDEX('ORDER Form'!$P$1:$P$355,$AB34))&amp;"")</f>
        <v/>
      </c>
      <c r="V34" s="50" t="str">
        <f>IF($AB34="","",IF($AD34,V$3,INDEX('ORDER Form'!$Q$1:$Q$355,$AB34))&amp;"")</f>
        <v/>
      </c>
      <c r="W34" s="50" t="str">
        <f>IF($AB34="","",IF($AD34,W$3,INDEX('ORDER Form'!$R$1:$R$355,$AB34))&amp;"")</f>
        <v/>
      </c>
      <c r="X34" s="50" t="str">
        <f>IF($AB34="","",IF($AD34,X$3,INDEX('ORDER Form'!$S$1:$S$355,$AB34))&amp;"")</f>
        <v/>
      </c>
      <c r="Y34" s="50" t="str">
        <f>IF($AB34="","",IF($AD34,Y$3,INDEX('ORDER Form'!$T$1:$T$355,$AB34))&amp;"")</f>
        <v/>
      </c>
      <c r="Z34" s="50" t="str">
        <f>IF($AB34="","",IF($AD34,Z$3,INDEX('ORDER Form'!$U$1:$U$355,$AB34))&amp;"")</f>
        <v/>
      </c>
      <c r="AB34" s="51" t="str">
        <f>IFERROR(MATCH(30,$AC$5:$AC$354,0)+5,"")</f>
        <v/>
      </c>
      <c r="AC34" s="51" t="str">
        <f>IF('ORDER Form'!$V35="OK",COUNTIF('ORDER Form'!$V$6:$V35,"OK"),"")</f>
        <v/>
      </c>
      <c r="AD34" s="51" t="str">
        <f>IF($AB34="","",(LEN(TRIM(INDEX('ORDER Form'!$O$1:$O$355,$AB34)))+LEN(TRIM(INDEX('ORDER Form'!$P$1:$P$355,$AB34)))+LEN(TRIM(INDEX('ORDER Form'!$Q$1:$Q$355,$AB34)))+LEN(TRIM(INDEX('ORDER Form'!$R$1:$R$355,$AB34)))+LEN(TRIM(INDEX('ORDER Form'!$S$1:$S$355,$AB34)))+LEN(TRIM(INDEX('ORDER Form'!$T$1:$T$355,$AB34)))+LEN(TRIM(INDEX('ORDER Form'!$U$1:$U$355,$AB34))))=0)</f>
        <v/>
      </c>
    </row>
    <row r="35" spans="1:30" ht="15" customHeight="1" x14ac:dyDescent="0.25">
      <c r="A35" s="50" t="str">
        <f>IF($AB35="","",IFERROR(IF(AND(INDEX('ORDER Form'!$N$1:$N$355,$AB35)="GB",LEFT(UPPER(TRIM(INDEX('ORDER Form'!$L$1:$L$355,$AB35))),2)="BT"),INDEX('ORDER Form'!$AC$1:$AC$355,$AB35),IFERROR(VLOOKUP(INDEX('ORDER Form'!$AC$1:$AC$355,$AB35)&amp;"|"&amp;INDEX('PRODUCT DATA'!$A$2:$A$58,MATCH(INDEX('ORDER Form'!$N$1:$N$355,$AB35),'PRODUCT DATA'!$B$2:$B$58,0)),'PRODUCT DATA'!$NO$2:$NP$25,2,FALSE()),INDEX('ORDER Form'!$AC$1:$AC$355,$AB35)))&amp;"",""))</f>
        <v/>
      </c>
      <c r="B35" s="49"/>
      <c r="C35" s="51" t="str">
        <f>IF($AB35="","",INDEX('ORDER Form'!$C$1:$C$355,$AB35))</f>
        <v/>
      </c>
      <c r="D35" s="49"/>
      <c r="E35" s="49"/>
      <c r="F35" s="49"/>
      <c r="G35" s="49"/>
      <c r="H35" s="49"/>
      <c r="I35" s="49"/>
      <c r="J35" s="50" t="str">
        <f>IF($AB35="","",INDEX('ORDER Form'!$D$1:$D$355,$AB35)&amp;"")</f>
        <v/>
      </c>
      <c r="K35" s="50" t="str">
        <f>IF($AB35="","",INDEX('ORDER Form'!$E$1:$E$355,$AB35)&amp;"")</f>
        <v/>
      </c>
      <c r="L35" s="50" t="str">
        <f>IF($AB35="","",INDEX('ORDER Form'!$F$1:$F$355,$AB35)&amp;"")</f>
        <v/>
      </c>
      <c r="M35" s="50" t="str">
        <f>IF($AB35="","",INDEX('ORDER Form'!$G$1:$G$355,$AB35)&amp;"")</f>
        <v/>
      </c>
      <c r="N35" s="50" t="str">
        <f>IF($AB35="","",INDEX('ORDER Form'!$H$1:$H$355,$AB35)&amp;"")</f>
        <v/>
      </c>
      <c r="O35" s="50" t="str">
        <f>IF($AB35="","",INDEX('ORDER Form'!$I$1:$I$355,$AB35)&amp;"")</f>
        <v/>
      </c>
      <c r="P35" s="50" t="str">
        <f>IF($AB35="","",INDEX('ORDER Form'!$J$1:$J$355,$AB35)&amp;"")</f>
        <v/>
      </c>
      <c r="Q35" s="50" t="str">
        <f>IF($AB35="","",INDEX('ORDER Form'!$AB$1:$AB$355,$AB35)&amp;"")</f>
        <v/>
      </c>
      <c r="R35" s="50" t="str">
        <f>IF($AB35="","",INDEX('ORDER Form'!$L$1:$L$355,$AB35)&amp;"")</f>
        <v/>
      </c>
      <c r="S35" s="50" t="str">
        <f>IF($AB35="","",INDEX('ORDER Form'!$N$1:$N$355,$AB35)&amp;"")</f>
        <v/>
      </c>
      <c r="T35" s="50" t="str">
        <f>IF($AB35="","",IF($AD35,T$3,INDEX('ORDER Form'!$O$1:$O$355,$AB35))&amp;"")</f>
        <v/>
      </c>
      <c r="U35" s="50" t="str">
        <f>IF($AB35="","",IF($AD35,U$3,INDEX('ORDER Form'!$P$1:$P$355,$AB35))&amp;"")</f>
        <v/>
      </c>
      <c r="V35" s="50" t="str">
        <f>IF($AB35="","",IF($AD35,V$3,INDEX('ORDER Form'!$Q$1:$Q$355,$AB35))&amp;"")</f>
        <v/>
      </c>
      <c r="W35" s="50" t="str">
        <f>IF($AB35="","",IF($AD35,W$3,INDEX('ORDER Form'!$R$1:$R$355,$AB35))&amp;"")</f>
        <v/>
      </c>
      <c r="X35" s="50" t="str">
        <f>IF($AB35="","",IF($AD35,X$3,INDEX('ORDER Form'!$S$1:$S$355,$AB35))&amp;"")</f>
        <v/>
      </c>
      <c r="Y35" s="50" t="str">
        <f>IF($AB35="","",IF($AD35,Y$3,INDEX('ORDER Form'!$T$1:$T$355,$AB35))&amp;"")</f>
        <v/>
      </c>
      <c r="Z35" s="50" t="str">
        <f>IF($AB35="","",IF($AD35,Z$3,INDEX('ORDER Form'!$U$1:$U$355,$AB35))&amp;"")</f>
        <v/>
      </c>
      <c r="AB35" s="51" t="str">
        <f>IFERROR(MATCH(31,$AC$5:$AC$354,0)+5,"")</f>
        <v/>
      </c>
      <c r="AC35" s="51" t="str">
        <f>IF('ORDER Form'!$V36="OK",COUNTIF('ORDER Form'!$V$6:$V36,"OK"),"")</f>
        <v/>
      </c>
      <c r="AD35" s="51" t="str">
        <f>IF($AB35="","",(LEN(TRIM(INDEX('ORDER Form'!$O$1:$O$355,$AB35)))+LEN(TRIM(INDEX('ORDER Form'!$P$1:$P$355,$AB35)))+LEN(TRIM(INDEX('ORDER Form'!$Q$1:$Q$355,$AB35)))+LEN(TRIM(INDEX('ORDER Form'!$R$1:$R$355,$AB35)))+LEN(TRIM(INDEX('ORDER Form'!$S$1:$S$355,$AB35)))+LEN(TRIM(INDEX('ORDER Form'!$T$1:$T$355,$AB35)))+LEN(TRIM(INDEX('ORDER Form'!$U$1:$U$355,$AB35))))=0)</f>
        <v/>
      </c>
    </row>
    <row r="36" spans="1:30" ht="15" customHeight="1" x14ac:dyDescent="0.25">
      <c r="A36" s="50" t="str">
        <f>IF($AB36="","",IFERROR(IF(AND(INDEX('ORDER Form'!$N$1:$N$355,$AB36)="GB",LEFT(UPPER(TRIM(INDEX('ORDER Form'!$L$1:$L$355,$AB36))),2)="BT"),INDEX('ORDER Form'!$AC$1:$AC$355,$AB36),IFERROR(VLOOKUP(INDEX('ORDER Form'!$AC$1:$AC$355,$AB36)&amp;"|"&amp;INDEX('PRODUCT DATA'!$A$2:$A$58,MATCH(INDEX('ORDER Form'!$N$1:$N$355,$AB36),'PRODUCT DATA'!$B$2:$B$58,0)),'PRODUCT DATA'!$NO$2:$NP$25,2,FALSE()),INDEX('ORDER Form'!$AC$1:$AC$355,$AB36)))&amp;"",""))</f>
        <v/>
      </c>
      <c r="B36" s="49"/>
      <c r="C36" s="51" t="str">
        <f>IF($AB36="","",INDEX('ORDER Form'!$C$1:$C$355,$AB36))</f>
        <v/>
      </c>
      <c r="D36" s="49"/>
      <c r="E36" s="49"/>
      <c r="F36" s="49"/>
      <c r="G36" s="49"/>
      <c r="H36" s="49"/>
      <c r="I36" s="49"/>
      <c r="J36" s="50" t="str">
        <f>IF($AB36="","",INDEX('ORDER Form'!$D$1:$D$355,$AB36)&amp;"")</f>
        <v/>
      </c>
      <c r="K36" s="50" t="str">
        <f>IF($AB36="","",INDEX('ORDER Form'!$E$1:$E$355,$AB36)&amp;"")</f>
        <v/>
      </c>
      <c r="L36" s="50" t="str">
        <f>IF($AB36="","",INDEX('ORDER Form'!$F$1:$F$355,$AB36)&amp;"")</f>
        <v/>
      </c>
      <c r="M36" s="50" t="str">
        <f>IF($AB36="","",INDEX('ORDER Form'!$G$1:$G$355,$AB36)&amp;"")</f>
        <v/>
      </c>
      <c r="N36" s="50" t="str">
        <f>IF($AB36="","",INDEX('ORDER Form'!$H$1:$H$355,$AB36)&amp;"")</f>
        <v/>
      </c>
      <c r="O36" s="50" t="str">
        <f>IF($AB36="","",INDEX('ORDER Form'!$I$1:$I$355,$AB36)&amp;"")</f>
        <v/>
      </c>
      <c r="P36" s="50" t="str">
        <f>IF($AB36="","",INDEX('ORDER Form'!$J$1:$J$355,$AB36)&amp;"")</f>
        <v/>
      </c>
      <c r="Q36" s="50" t="str">
        <f>IF($AB36="","",INDEX('ORDER Form'!$AB$1:$AB$355,$AB36)&amp;"")</f>
        <v/>
      </c>
      <c r="R36" s="50" t="str">
        <f>IF($AB36="","",INDEX('ORDER Form'!$L$1:$L$355,$AB36)&amp;"")</f>
        <v/>
      </c>
      <c r="S36" s="50" t="str">
        <f>IF($AB36="","",INDEX('ORDER Form'!$N$1:$N$355,$AB36)&amp;"")</f>
        <v/>
      </c>
      <c r="T36" s="50" t="str">
        <f>IF($AB36="","",IF($AD36,T$3,INDEX('ORDER Form'!$O$1:$O$355,$AB36))&amp;"")</f>
        <v/>
      </c>
      <c r="U36" s="50" t="str">
        <f>IF($AB36="","",IF($AD36,U$3,INDEX('ORDER Form'!$P$1:$P$355,$AB36))&amp;"")</f>
        <v/>
      </c>
      <c r="V36" s="50" t="str">
        <f>IF($AB36="","",IF($AD36,V$3,INDEX('ORDER Form'!$Q$1:$Q$355,$AB36))&amp;"")</f>
        <v/>
      </c>
      <c r="W36" s="50" t="str">
        <f>IF($AB36="","",IF($AD36,W$3,INDEX('ORDER Form'!$R$1:$R$355,$AB36))&amp;"")</f>
        <v/>
      </c>
      <c r="X36" s="50" t="str">
        <f>IF($AB36="","",IF($AD36,X$3,INDEX('ORDER Form'!$S$1:$S$355,$AB36))&amp;"")</f>
        <v/>
      </c>
      <c r="Y36" s="50" t="str">
        <f>IF($AB36="","",IF($AD36,Y$3,INDEX('ORDER Form'!$T$1:$T$355,$AB36))&amp;"")</f>
        <v/>
      </c>
      <c r="Z36" s="50" t="str">
        <f>IF($AB36="","",IF($AD36,Z$3,INDEX('ORDER Form'!$U$1:$U$355,$AB36))&amp;"")</f>
        <v/>
      </c>
      <c r="AB36" s="51" t="str">
        <f>IFERROR(MATCH(32,$AC$5:$AC$354,0)+5,"")</f>
        <v/>
      </c>
      <c r="AC36" s="51" t="str">
        <f>IF('ORDER Form'!$V37="OK",COUNTIF('ORDER Form'!$V$6:$V37,"OK"),"")</f>
        <v/>
      </c>
      <c r="AD36" s="51" t="str">
        <f>IF($AB36="","",(LEN(TRIM(INDEX('ORDER Form'!$O$1:$O$355,$AB36)))+LEN(TRIM(INDEX('ORDER Form'!$P$1:$P$355,$AB36)))+LEN(TRIM(INDEX('ORDER Form'!$Q$1:$Q$355,$AB36)))+LEN(TRIM(INDEX('ORDER Form'!$R$1:$R$355,$AB36)))+LEN(TRIM(INDEX('ORDER Form'!$S$1:$S$355,$AB36)))+LEN(TRIM(INDEX('ORDER Form'!$T$1:$T$355,$AB36)))+LEN(TRIM(INDEX('ORDER Form'!$U$1:$U$355,$AB36))))=0)</f>
        <v/>
      </c>
    </row>
    <row r="37" spans="1:30" ht="15" customHeight="1" x14ac:dyDescent="0.25">
      <c r="A37" s="50" t="str">
        <f>IF($AB37="","",IFERROR(IF(AND(INDEX('ORDER Form'!$N$1:$N$355,$AB37)="GB",LEFT(UPPER(TRIM(INDEX('ORDER Form'!$L$1:$L$355,$AB37))),2)="BT"),INDEX('ORDER Form'!$AC$1:$AC$355,$AB37),IFERROR(VLOOKUP(INDEX('ORDER Form'!$AC$1:$AC$355,$AB37)&amp;"|"&amp;INDEX('PRODUCT DATA'!$A$2:$A$58,MATCH(INDEX('ORDER Form'!$N$1:$N$355,$AB37),'PRODUCT DATA'!$B$2:$B$58,0)),'PRODUCT DATA'!$NO$2:$NP$25,2,FALSE()),INDEX('ORDER Form'!$AC$1:$AC$355,$AB37)))&amp;"",""))</f>
        <v/>
      </c>
      <c r="B37" s="49"/>
      <c r="C37" s="51" t="str">
        <f>IF($AB37="","",INDEX('ORDER Form'!$C$1:$C$355,$AB37))</f>
        <v/>
      </c>
      <c r="D37" s="49"/>
      <c r="E37" s="49"/>
      <c r="F37" s="49"/>
      <c r="G37" s="49"/>
      <c r="H37" s="49"/>
      <c r="I37" s="49"/>
      <c r="J37" s="50" t="str">
        <f>IF($AB37="","",INDEX('ORDER Form'!$D$1:$D$355,$AB37)&amp;"")</f>
        <v/>
      </c>
      <c r="K37" s="50" t="str">
        <f>IF($AB37="","",INDEX('ORDER Form'!$E$1:$E$355,$AB37)&amp;"")</f>
        <v/>
      </c>
      <c r="L37" s="50" t="str">
        <f>IF($AB37="","",INDEX('ORDER Form'!$F$1:$F$355,$AB37)&amp;"")</f>
        <v/>
      </c>
      <c r="M37" s="50" t="str">
        <f>IF($AB37="","",INDEX('ORDER Form'!$G$1:$G$355,$AB37)&amp;"")</f>
        <v/>
      </c>
      <c r="N37" s="50" t="str">
        <f>IF($AB37="","",INDEX('ORDER Form'!$H$1:$H$355,$AB37)&amp;"")</f>
        <v/>
      </c>
      <c r="O37" s="50" t="str">
        <f>IF($AB37="","",INDEX('ORDER Form'!$I$1:$I$355,$AB37)&amp;"")</f>
        <v/>
      </c>
      <c r="P37" s="50" t="str">
        <f>IF($AB37="","",INDEX('ORDER Form'!$J$1:$J$355,$AB37)&amp;"")</f>
        <v/>
      </c>
      <c r="Q37" s="50" t="str">
        <f>IF($AB37="","",INDEX('ORDER Form'!$AB$1:$AB$355,$AB37)&amp;"")</f>
        <v/>
      </c>
      <c r="R37" s="50" t="str">
        <f>IF($AB37="","",INDEX('ORDER Form'!$L$1:$L$355,$AB37)&amp;"")</f>
        <v/>
      </c>
      <c r="S37" s="50" t="str">
        <f>IF($AB37="","",INDEX('ORDER Form'!$N$1:$N$355,$AB37)&amp;"")</f>
        <v/>
      </c>
      <c r="T37" s="50" t="str">
        <f>IF($AB37="","",IF($AD37,T$3,INDEX('ORDER Form'!$O$1:$O$355,$AB37))&amp;"")</f>
        <v/>
      </c>
      <c r="U37" s="50" t="str">
        <f>IF($AB37="","",IF($AD37,U$3,INDEX('ORDER Form'!$P$1:$P$355,$AB37))&amp;"")</f>
        <v/>
      </c>
      <c r="V37" s="50" t="str">
        <f>IF($AB37="","",IF($AD37,V$3,INDEX('ORDER Form'!$Q$1:$Q$355,$AB37))&amp;"")</f>
        <v/>
      </c>
      <c r="W37" s="50" t="str">
        <f>IF($AB37="","",IF($AD37,W$3,INDEX('ORDER Form'!$R$1:$R$355,$AB37))&amp;"")</f>
        <v/>
      </c>
      <c r="X37" s="50" t="str">
        <f>IF($AB37="","",IF($AD37,X$3,INDEX('ORDER Form'!$S$1:$S$355,$AB37))&amp;"")</f>
        <v/>
      </c>
      <c r="Y37" s="50" t="str">
        <f>IF($AB37="","",IF($AD37,Y$3,INDEX('ORDER Form'!$T$1:$T$355,$AB37))&amp;"")</f>
        <v/>
      </c>
      <c r="Z37" s="50" t="str">
        <f>IF($AB37="","",IF($AD37,Z$3,INDEX('ORDER Form'!$U$1:$U$355,$AB37))&amp;"")</f>
        <v/>
      </c>
      <c r="AB37" s="51" t="str">
        <f>IFERROR(MATCH(33,$AC$5:$AC$354,0)+5,"")</f>
        <v/>
      </c>
      <c r="AC37" s="51" t="str">
        <f>IF('ORDER Form'!$V38="OK",COUNTIF('ORDER Form'!$V$6:$V38,"OK"),"")</f>
        <v/>
      </c>
      <c r="AD37" s="51" t="str">
        <f>IF($AB37="","",(LEN(TRIM(INDEX('ORDER Form'!$O$1:$O$355,$AB37)))+LEN(TRIM(INDEX('ORDER Form'!$P$1:$P$355,$AB37)))+LEN(TRIM(INDEX('ORDER Form'!$Q$1:$Q$355,$AB37)))+LEN(TRIM(INDEX('ORDER Form'!$R$1:$R$355,$AB37)))+LEN(TRIM(INDEX('ORDER Form'!$S$1:$S$355,$AB37)))+LEN(TRIM(INDEX('ORDER Form'!$T$1:$T$355,$AB37)))+LEN(TRIM(INDEX('ORDER Form'!$U$1:$U$355,$AB37))))=0)</f>
        <v/>
      </c>
    </row>
    <row r="38" spans="1:30" ht="15" customHeight="1" x14ac:dyDescent="0.25">
      <c r="A38" s="50" t="str">
        <f>IF($AB38="","",IFERROR(IF(AND(INDEX('ORDER Form'!$N$1:$N$355,$AB38)="GB",LEFT(UPPER(TRIM(INDEX('ORDER Form'!$L$1:$L$355,$AB38))),2)="BT"),INDEX('ORDER Form'!$AC$1:$AC$355,$AB38),IFERROR(VLOOKUP(INDEX('ORDER Form'!$AC$1:$AC$355,$AB38)&amp;"|"&amp;INDEX('PRODUCT DATA'!$A$2:$A$58,MATCH(INDEX('ORDER Form'!$N$1:$N$355,$AB38),'PRODUCT DATA'!$B$2:$B$58,0)),'PRODUCT DATA'!$NO$2:$NP$25,2,FALSE()),INDEX('ORDER Form'!$AC$1:$AC$355,$AB38)))&amp;"",""))</f>
        <v/>
      </c>
      <c r="B38" s="49"/>
      <c r="C38" s="51" t="str">
        <f>IF($AB38="","",INDEX('ORDER Form'!$C$1:$C$355,$AB38))</f>
        <v/>
      </c>
      <c r="D38" s="49"/>
      <c r="E38" s="49"/>
      <c r="F38" s="49"/>
      <c r="G38" s="49"/>
      <c r="H38" s="49"/>
      <c r="I38" s="49"/>
      <c r="J38" s="50" t="str">
        <f>IF($AB38="","",INDEX('ORDER Form'!$D$1:$D$355,$AB38)&amp;"")</f>
        <v/>
      </c>
      <c r="K38" s="50" t="str">
        <f>IF($AB38="","",INDEX('ORDER Form'!$E$1:$E$355,$AB38)&amp;"")</f>
        <v/>
      </c>
      <c r="L38" s="50" t="str">
        <f>IF($AB38="","",INDEX('ORDER Form'!$F$1:$F$355,$AB38)&amp;"")</f>
        <v/>
      </c>
      <c r="M38" s="50" t="str">
        <f>IF($AB38="","",INDEX('ORDER Form'!$G$1:$G$355,$AB38)&amp;"")</f>
        <v/>
      </c>
      <c r="N38" s="50" t="str">
        <f>IF($AB38="","",INDEX('ORDER Form'!$H$1:$H$355,$AB38)&amp;"")</f>
        <v/>
      </c>
      <c r="O38" s="50" t="str">
        <f>IF($AB38="","",INDEX('ORDER Form'!$I$1:$I$355,$AB38)&amp;"")</f>
        <v/>
      </c>
      <c r="P38" s="50" t="str">
        <f>IF($AB38="","",INDEX('ORDER Form'!$J$1:$J$355,$AB38)&amp;"")</f>
        <v/>
      </c>
      <c r="Q38" s="50" t="str">
        <f>IF($AB38="","",INDEX('ORDER Form'!$AB$1:$AB$355,$AB38)&amp;"")</f>
        <v/>
      </c>
      <c r="R38" s="50" t="str">
        <f>IF($AB38="","",INDEX('ORDER Form'!$L$1:$L$355,$AB38)&amp;"")</f>
        <v/>
      </c>
      <c r="S38" s="50" t="str">
        <f>IF($AB38="","",INDEX('ORDER Form'!$N$1:$N$355,$AB38)&amp;"")</f>
        <v/>
      </c>
      <c r="T38" s="50" t="str">
        <f>IF($AB38="","",IF($AD38,T$3,INDEX('ORDER Form'!$O$1:$O$355,$AB38))&amp;"")</f>
        <v/>
      </c>
      <c r="U38" s="50" t="str">
        <f>IF($AB38="","",IF($AD38,U$3,INDEX('ORDER Form'!$P$1:$P$355,$AB38))&amp;"")</f>
        <v/>
      </c>
      <c r="V38" s="50" t="str">
        <f>IF($AB38="","",IF($AD38,V$3,INDEX('ORDER Form'!$Q$1:$Q$355,$AB38))&amp;"")</f>
        <v/>
      </c>
      <c r="W38" s="50" t="str">
        <f>IF($AB38="","",IF($AD38,W$3,INDEX('ORDER Form'!$R$1:$R$355,$AB38))&amp;"")</f>
        <v/>
      </c>
      <c r="X38" s="50" t="str">
        <f>IF($AB38="","",IF($AD38,X$3,INDEX('ORDER Form'!$S$1:$S$355,$AB38))&amp;"")</f>
        <v/>
      </c>
      <c r="Y38" s="50" t="str">
        <f>IF($AB38="","",IF($AD38,Y$3,INDEX('ORDER Form'!$T$1:$T$355,$AB38))&amp;"")</f>
        <v/>
      </c>
      <c r="Z38" s="50" t="str">
        <f>IF($AB38="","",IF($AD38,Z$3,INDEX('ORDER Form'!$U$1:$U$355,$AB38))&amp;"")</f>
        <v/>
      </c>
      <c r="AB38" s="51" t="str">
        <f>IFERROR(MATCH(34,$AC$5:$AC$354,0)+5,"")</f>
        <v/>
      </c>
      <c r="AC38" s="51" t="str">
        <f>IF('ORDER Form'!$V39="OK",COUNTIF('ORDER Form'!$V$6:$V39,"OK"),"")</f>
        <v/>
      </c>
      <c r="AD38" s="51" t="str">
        <f>IF($AB38="","",(LEN(TRIM(INDEX('ORDER Form'!$O$1:$O$355,$AB38)))+LEN(TRIM(INDEX('ORDER Form'!$P$1:$P$355,$AB38)))+LEN(TRIM(INDEX('ORDER Form'!$Q$1:$Q$355,$AB38)))+LEN(TRIM(INDEX('ORDER Form'!$R$1:$R$355,$AB38)))+LEN(TRIM(INDEX('ORDER Form'!$S$1:$S$355,$AB38)))+LEN(TRIM(INDEX('ORDER Form'!$T$1:$T$355,$AB38)))+LEN(TRIM(INDEX('ORDER Form'!$U$1:$U$355,$AB38))))=0)</f>
        <v/>
      </c>
    </row>
    <row r="39" spans="1:30" ht="15" customHeight="1" x14ac:dyDescent="0.25">
      <c r="A39" s="50" t="str">
        <f>IF($AB39="","",IFERROR(IF(AND(INDEX('ORDER Form'!$N$1:$N$355,$AB39)="GB",LEFT(UPPER(TRIM(INDEX('ORDER Form'!$L$1:$L$355,$AB39))),2)="BT"),INDEX('ORDER Form'!$AC$1:$AC$355,$AB39),IFERROR(VLOOKUP(INDEX('ORDER Form'!$AC$1:$AC$355,$AB39)&amp;"|"&amp;INDEX('PRODUCT DATA'!$A$2:$A$58,MATCH(INDEX('ORDER Form'!$N$1:$N$355,$AB39),'PRODUCT DATA'!$B$2:$B$58,0)),'PRODUCT DATA'!$NO$2:$NP$25,2,FALSE()),INDEX('ORDER Form'!$AC$1:$AC$355,$AB39)))&amp;"",""))</f>
        <v/>
      </c>
      <c r="B39" s="49"/>
      <c r="C39" s="51" t="str">
        <f>IF($AB39="","",INDEX('ORDER Form'!$C$1:$C$355,$AB39))</f>
        <v/>
      </c>
      <c r="D39" s="49"/>
      <c r="E39" s="49"/>
      <c r="F39" s="49"/>
      <c r="G39" s="49"/>
      <c r="H39" s="49"/>
      <c r="I39" s="49"/>
      <c r="J39" s="50" t="str">
        <f>IF($AB39="","",INDEX('ORDER Form'!$D$1:$D$355,$AB39)&amp;"")</f>
        <v/>
      </c>
      <c r="K39" s="50" t="str">
        <f>IF($AB39="","",INDEX('ORDER Form'!$E$1:$E$355,$AB39)&amp;"")</f>
        <v/>
      </c>
      <c r="L39" s="50" t="str">
        <f>IF($AB39="","",INDEX('ORDER Form'!$F$1:$F$355,$AB39)&amp;"")</f>
        <v/>
      </c>
      <c r="M39" s="50" t="str">
        <f>IF($AB39="","",INDEX('ORDER Form'!$G$1:$G$355,$AB39)&amp;"")</f>
        <v/>
      </c>
      <c r="N39" s="50" t="str">
        <f>IF($AB39="","",INDEX('ORDER Form'!$H$1:$H$355,$AB39)&amp;"")</f>
        <v/>
      </c>
      <c r="O39" s="50" t="str">
        <f>IF($AB39="","",INDEX('ORDER Form'!$I$1:$I$355,$AB39)&amp;"")</f>
        <v/>
      </c>
      <c r="P39" s="50" t="str">
        <f>IF($AB39="","",INDEX('ORDER Form'!$J$1:$J$355,$AB39)&amp;"")</f>
        <v/>
      </c>
      <c r="Q39" s="50" t="str">
        <f>IF($AB39="","",INDEX('ORDER Form'!$AB$1:$AB$355,$AB39)&amp;"")</f>
        <v/>
      </c>
      <c r="R39" s="50" t="str">
        <f>IF($AB39="","",INDEX('ORDER Form'!$L$1:$L$355,$AB39)&amp;"")</f>
        <v/>
      </c>
      <c r="S39" s="50" t="str">
        <f>IF($AB39="","",INDEX('ORDER Form'!$N$1:$N$355,$AB39)&amp;"")</f>
        <v/>
      </c>
      <c r="T39" s="50" t="str">
        <f>IF($AB39="","",IF($AD39,T$3,INDEX('ORDER Form'!$O$1:$O$355,$AB39))&amp;"")</f>
        <v/>
      </c>
      <c r="U39" s="50" t="str">
        <f>IF($AB39="","",IF($AD39,U$3,INDEX('ORDER Form'!$P$1:$P$355,$AB39))&amp;"")</f>
        <v/>
      </c>
      <c r="V39" s="50" t="str">
        <f>IF($AB39="","",IF($AD39,V$3,INDEX('ORDER Form'!$Q$1:$Q$355,$AB39))&amp;"")</f>
        <v/>
      </c>
      <c r="W39" s="50" t="str">
        <f>IF($AB39="","",IF($AD39,W$3,INDEX('ORDER Form'!$R$1:$R$355,$AB39))&amp;"")</f>
        <v/>
      </c>
      <c r="X39" s="50" t="str">
        <f>IF($AB39="","",IF($AD39,X$3,INDEX('ORDER Form'!$S$1:$S$355,$AB39))&amp;"")</f>
        <v/>
      </c>
      <c r="Y39" s="50" t="str">
        <f>IF($AB39="","",IF($AD39,Y$3,INDEX('ORDER Form'!$T$1:$T$355,$AB39))&amp;"")</f>
        <v/>
      </c>
      <c r="Z39" s="50" t="str">
        <f>IF($AB39="","",IF($AD39,Z$3,INDEX('ORDER Form'!$U$1:$U$355,$AB39))&amp;"")</f>
        <v/>
      </c>
      <c r="AB39" s="51" t="str">
        <f>IFERROR(MATCH(35,$AC$5:$AC$354,0)+5,"")</f>
        <v/>
      </c>
      <c r="AC39" s="51" t="str">
        <f>IF('ORDER Form'!$V40="OK",COUNTIF('ORDER Form'!$V$6:$V40,"OK"),"")</f>
        <v/>
      </c>
      <c r="AD39" s="51" t="str">
        <f>IF($AB39="","",(LEN(TRIM(INDEX('ORDER Form'!$O$1:$O$355,$AB39)))+LEN(TRIM(INDEX('ORDER Form'!$P$1:$P$355,$AB39)))+LEN(TRIM(INDEX('ORDER Form'!$Q$1:$Q$355,$AB39)))+LEN(TRIM(INDEX('ORDER Form'!$R$1:$R$355,$AB39)))+LEN(TRIM(INDEX('ORDER Form'!$S$1:$S$355,$AB39)))+LEN(TRIM(INDEX('ORDER Form'!$T$1:$T$355,$AB39)))+LEN(TRIM(INDEX('ORDER Form'!$U$1:$U$355,$AB39))))=0)</f>
        <v/>
      </c>
    </row>
    <row r="40" spans="1:30" ht="15" customHeight="1" x14ac:dyDescent="0.25">
      <c r="A40" s="50" t="str">
        <f>IF($AB40="","",IFERROR(IF(AND(INDEX('ORDER Form'!$N$1:$N$355,$AB40)="GB",LEFT(UPPER(TRIM(INDEX('ORDER Form'!$L$1:$L$355,$AB40))),2)="BT"),INDEX('ORDER Form'!$AC$1:$AC$355,$AB40),IFERROR(VLOOKUP(INDEX('ORDER Form'!$AC$1:$AC$355,$AB40)&amp;"|"&amp;INDEX('PRODUCT DATA'!$A$2:$A$58,MATCH(INDEX('ORDER Form'!$N$1:$N$355,$AB40),'PRODUCT DATA'!$B$2:$B$58,0)),'PRODUCT DATA'!$NO$2:$NP$25,2,FALSE()),INDEX('ORDER Form'!$AC$1:$AC$355,$AB40)))&amp;"",""))</f>
        <v/>
      </c>
      <c r="B40" s="49"/>
      <c r="C40" s="51" t="str">
        <f>IF($AB40="","",INDEX('ORDER Form'!$C$1:$C$355,$AB40))</f>
        <v/>
      </c>
      <c r="D40" s="49"/>
      <c r="E40" s="49"/>
      <c r="F40" s="49"/>
      <c r="G40" s="49"/>
      <c r="H40" s="49"/>
      <c r="I40" s="49"/>
      <c r="J40" s="50" t="str">
        <f>IF($AB40="","",INDEX('ORDER Form'!$D$1:$D$355,$AB40)&amp;"")</f>
        <v/>
      </c>
      <c r="K40" s="50" t="str">
        <f>IF($AB40="","",INDEX('ORDER Form'!$E$1:$E$355,$AB40)&amp;"")</f>
        <v/>
      </c>
      <c r="L40" s="50" t="str">
        <f>IF($AB40="","",INDEX('ORDER Form'!$F$1:$F$355,$AB40)&amp;"")</f>
        <v/>
      </c>
      <c r="M40" s="50" t="str">
        <f>IF($AB40="","",INDEX('ORDER Form'!$G$1:$G$355,$AB40)&amp;"")</f>
        <v/>
      </c>
      <c r="N40" s="50" t="str">
        <f>IF($AB40="","",INDEX('ORDER Form'!$H$1:$H$355,$AB40)&amp;"")</f>
        <v/>
      </c>
      <c r="O40" s="50" t="str">
        <f>IF($AB40="","",INDEX('ORDER Form'!$I$1:$I$355,$AB40)&amp;"")</f>
        <v/>
      </c>
      <c r="P40" s="50" t="str">
        <f>IF($AB40="","",INDEX('ORDER Form'!$J$1:$J$355,$AB40)&amp;"")</f>
        <v/>
      </c>
      <c r="Q40" s="50" t="str">
        <f>IF($AB40="","",INDEX('ORDER Form'!$AB$1:$AB$355,$AB40)&amp;"")</f>
        <v/>
      </c>
      <c r="R40" s="50" t="str">
        <f>IF($AB40="","",INDEX('ORDER Form'!$L$1:$L$355,$AB40)&amp;"")</f>
        <v/>
      </c>
      <c r="S40" s="50" t="str">
        <f>IF($AB40="","",INDEX('ORDER Form'!$N$1:$N$355,$AB40)&amp;"")</f>
        <v/>
      </c>
      <c r="T40" s="50" t="str">
        <f>IF($AB40="","",IF($AD40,T$3,INDEX('ORDER Form'!$O$1:$O$355,$AB40))&amp;"")</f>
        <v/>
      </c>
      <c r="U40" s="50" t="str">
        <f>IF($AB40="","",IF($AD40,U$3,INDEX('ORDER Form'!$P$1:$P$355,$AB40))&amp;"")</f>
        <v/>
      </c>
      <c r="V40" s="50" t="str">
        <f>IF($AB40="","",IF($AD40,V$3,INDEX('ORDER Form'!$Q$1:$Q$355,$AB40))&amp;"")</f>
        <v/>
      </c>
      <c r="W40" s="50" t="str">
        <f>IF($AB40="","",IF($AD40,W$3,INDEX('ORDER Form'!$R$1:$R$355,$AB40))&amp;"")</f>
        <v/>
      </c>
      <c r="X40" s="50" t="str">
        <f>IF($AB40="","",IF($AD40,X$3,INDEX('ORDER Form'!$S$1:$S$355,$AB40))&amp;"")</f>
        <v/>
      </c>
      <c r="Y40" s="50" t="str">
        <f>IF($AB40="","",IF($AD40,Y$3,INDEX('ORDER Form'!$T$1:$T$355,$AB40))&amp;"")</f>
        <v/>
      </c>
      <c r="Z40" s="50" t="str">
        <f>IF($AB40="","",IF($AD40,Z$3,INDEX('ORDER Form'!$U$1:$U$355,$AB40))&amp;"")</f>
        <v/>
      </c>
      <c r="AB40" s="51" t="str">
        <f>IFERROR(MATCH(36,$AC$5:$AC$354,0)+5,"")</f>
        <v/>
      </c>
      <c r="AC40" s="51" t="str">
        <f>IF('ORDER Form'!$V41="OK",COUNTIF('ORDER Form'!$V$6:$V41,"OK"),"")</f>
        <v/>
      </c>
      <c r="AD40" s="51" t="str">
        <f>IF($AB40="","",(LEN(TRIM(INDEX('ORDER Form'!$O$1:$O$355,$AB40)))+LEN(TRIM(INDEX('ORDER Form'!$P$1:$P$355,$AB40)))+LEN(TRIM(INDEX('ORDER Form'!$Q$1:$Q$355,$AB40)))+LEN(TRIM(INDEX('ORDER Form'!$R$1:$R$355,$AB40)))+LEN(TRIM(INDEX('ORDER Form'!$S$1:$S$355,$AB40)))+LEN(TRIM(INDEX('ORDER Form'!$T$1:$T$355,$AB40)))+LEN(TRIM(INDEX('ORDER Form'!$U$1:$U$355,$AB40))))=0)</f>
        <v/>
      </c>
    </row>
    <row r="41" spans="1:30" ht="15" customHeight="1" x14ac:dyDescent="0.25">
      <c r="A41" s="50" t="str">
        <f>IF($AB41="","",IFERROR(IF(AND(INDEX('ORDER Form'!$N$1:$N$355,$AB41)="GB",LEFT(UPPER(TRIM(INDEX('ORDER Form'!$L$1:$L$355,$AB41))),2)="BT"),INDEX('ORDER Form'!$AC$1:$AC$355,$AB41),IFERROR(VLOOKUP(INDEX('ORDER Form'!$AC$1:$AC$355,$AB41)&amp;"|"&amp;INDEX('PRODUCT DATA'!$A$2:$A$58,MATCH(INDEX('ORDER Form'!$N$1:$N$355,$AB41),'PRODUCT DATA'!$B$2:$B$58,0)),'PRODUCT DATA'!$NO$2:$NP$25,2,FALSE()),INDEX('ORDER Form'!$AC$1:$AC$355,$AB41)))&amp;"",""))</f>
        <v/>
      </c>
      <c r="B41" s="49"/>
      <c r="C41" s="51" t="str">
        <f>IF($AB41="","",INDEX('ORDER Form'!$C$1:$C$355,$AB41))</f>
        <v/>
      </c>
      <c r="D41" s="49"/>
      <c r="E41" s="49"/>
      <c r="F41" s="49"/>
      <c r="G41" s="49"/>
      <c r="H41" s="49"/>
      <c r="I41" s="49"/>
      <c r="J41" s="50" t="str">
        <f>IF($AB41="","",INDEX('ORDER Form'!$D$1:$D$355,$AB41)&amp;"")</f>
        <v/>
      </c>
      <c r="K41" s="50" t="str">
        <f>IF($AB41="","",INDEX('ORDER Form'!$E$1:$E$355,$AB41)&amp;"")</f>
        <v/>
      </c>
      <c r="L41" s="50" t="str">
        <f>IF($AB41="","",INDEX('ORDER Form'!$F$1:$F$355,$AB41)&amp;"")</f>
        <v/>
      </c>
      <c r="M41" s="50" t="str">
        <f>IF($AB41="","",INDEX('ORDER Form'!$G$1:$G$355,$AB41)&amp;"")</f>
        <v/>
      </c>
      <c r="N41" s="50" t="str">
        <f>IF($AB41="","",INDEX('ORDER Form'!$H$1:$H$355,$AB41)&amp;"")</f>
        <v/>
      </c>
      <c r="O41" s="50" t="str">
        <f>IF($AB41="","",INDEX('ORDER Form'!$I$1:$I$355,$AB41)&amp;"")</f>
        <v/>
      </c>
      <c r="P41" s="50" t="str">
        <f>IF($AB41="","",INDEX('ORDER Form'!$J$1:$J$355,$AB41)&amp;"")</f>
        <v/>
      </c>
      <c r="Q41" s="50" t="str">
        <f>IF($AB41="","",INDEX('ORDER Form'!$AB$1:$AB$355,$AB41)&amp;"")</f>
        <v/>
      </c>
      <c r="R41" s="50" t="str">
        <f>IF($AB41="","",INDEX('ORDER Form'!$L$1:$L$355,$AB41)&amp;"")</f>
        <v/>
      </c>
      <c r="S41" s="50" t="str">
        <f>IF($AB41="","",INDEX('ORDER Form'!$N$1:$N$355,$AB41)&amp;"")</f>
        <v/>
      </c>
      <c r="T41" s="50" t="str">
        <f>IF($AB41="","",IF($AD41,T$3,INDEX('ORDER Form'!$O$1:$O$355,$AB41))&amp;"")</f>
        <v/>
      </c>
      <c r="U41" s="50" t="str">
        <f>IF($AB41="","",IF($AD41,U$3,INDEX('ORDER Form'!$P$1:$P$355,$AB41))&amp;"")</f>
        <v/>
      </c>
      <c r="V41" s="50" t="str">
        <f>IF($AB41="","",IF($AD41,V$3,INDEX('ORDER Form'!$Q$1:$Q$355,$AB41))&amp;"")</f>
        <v/>
      </c>
      <c r="W41" s="50" t="str">
        <f>IF($AB41="","",IF($AD41,W$3,INDEX('ORDER Form'!$R$1:$R$355,$AB41))&amp;"")</f>
        <v/>
      </c>
      <c r="X41" s="50" t="str">
        <f>IF($AB41="","",IF($AD41,X$3,INDEX('ORDER Form'!$S$1:$S$355,$AB41))&amp;"")</f>
        <v/>
      </c>
      <c r="Y41" s="50" t="str">
        <f>IF($AB41="","",IF($AD41,Y$3,INDEX('ORDER Form'!$T$1:$T$355,$AB41))&amp;"")</f>
        <v/>
      </c>
      <c r="Z41" s="50" t="str">
        <f>IF($AB41="","",IF($AD41,Z$3,INDEX('ORDER Form'!$U$1:$U$355,$AB41))&amp;"")</f>
        <v/>
      </c>
      <c r="AB41" s="51" t="str">
        <f>IFERROR(MATCH(37,$AC$5:$AC$354,0)+5,"")</f>
        <v/>
      </c>
      <c r="AC41" s="51" t="str">
        <f>IF('ORDER Form'!$V42="OK",COUNTIF('ORDER Form'!$V$6:$V42,"OK"),"")</f>
        <v/>
      </c>
      <c r="AD41" s="51" t="str">
        <f>IF($AB41="","",(LEN(TRIM(INDEX('ORDER Form'!$O$1:$O$355,$AB41)))+LEN(TRIM(INDEX('ORDER Form'!$P$1:$P$355,$AB41)))+LEN(TRIM(INDEX('ORDER Form'!$Q$1:$Q$355,$AB41)))+LEN(TRIM(INDEX('ORDER Form'!$R$1:$R$355,$AB41)))+LEN(TRIM(INDEX('ORDER Form'!$S$1:$S$355,$AB41)))+LEN(TRIM(INDEX('ORDER Form'!$T$1:$T$355,$AB41)))+LEN(TRIM(INDEX('ORDER Form'!$U$1:$U$355,$AB41))))=0)</f>
        <v/>
      </c>
    </row>
    <row r="42" spans="1:30" ht="15" customHeight="1" x14ac:dyDescent="0.25">
      <c r="A42" s="50" t="str">
        <f>IF($AB42="","",IFERROR(IF(AND(INDEX('ORDER Form'!$N$1:$N$355,$AB42)="GB",LEFT(UPPER(TRIM(INDEX('ORDER Form'!$L$1:$L$355,$AB42))),2)="BT"),INDEX('ORDER Form'!$AC$1:$AC$355,$AB42),IFERROR(VLOOKUP(INDEX('ORDER Form'!$AC$1:$AC$355,$AB42)&amp;"|"&amp;INDEX('PRODUCT DATA'!$A$2:$A$58,MATCH(INDEX('ORDER Form'!$N$1:$N$355,$AB42),'PRODUCT DATA'!$B$2:$B$58,0)),'PRODUCT DATA'!$NO$2:$NP$25,2,FALSE()),INDEX('ORDER Form'!$AC$1:$AC$355,$AB42)))&amp;"",""))</f>
        <v/>
      </c>
      <c r="B42" s="49"/>
      <c r="C42" s="51" t="str">
        <f>IF($AB42="","",INDEX('ORDER Form'!$C$1:$C$355,$AB42))</f>
        <v/>
      </c>
      <c r="D42" s="49"/>
      <c r="E42" s="49"/>
      <c r="F42" s="49"/>
      <c r="G42" s="49"/>
      <c r="H42" s="49"/>
      <c r="I42" s="49"/>
      <c r="J42" s="50" t="str">
        <f>IF($AB42="","",INDEX('ORDER Form'!$D$1:$D$355,$AB42)&amp;"")</f>
        <v/>
      </c>
      <c r="K42" s="50" t="str">
        <f>IF($AB42="","",INDEX('ORDER Form'!$E$1:$E$355,$AB42)&amp;"")</f>
        <v/>
      </c>
      <c r="L42" s="50" t="str">
        <f>IF($AB42="","",INDEX('ORDER Form'!$F$1:$F$355,$AB42)&amp;"")</f>
        <v/>
      </c>
      <c r="M42" s="50" t="str">
        <f>IF($AB42="","",INDEX('ORDER Form'!$G$1:$G$355,$AB42)&amp;"")</f>
        <v/>
      </c>
      <c r="N42" s="50" t="str">
        <f>IF($AB42="","",INDEX('ORDER Form'!$H$1:$H$355,$AB42)&amp;"")</f>
        <v/>
      </c>
      <c r="O42" s="50" t="str">
        <f>IF($AB42="","",INDEX('ORDER Form'!$I$1:$I$355,$AB42)&amp;"")</f>
        <v/>
      </c>
      <c r="P42" s="50" t="str">
        <f>IF($AB42="","",INDEX('ORDER Form'!$J$1:$J$355,$AB42)&amp;"")</f>
        <v/>
      </c>
      <c r="Q42" s="50" t="str">
        <f>IF($AB42="","",INDEX('ORDER Form'!$AB$1:$AB$355,$AB42)&amp;"")</f>
        <v/>
      </c>
      <c r="R42" s="50" t="str">
        <f>IF($AB42="","",INDEX('ORDER Form'!$L$1:$L$355,$AB42)&amp;"")</f>
        <v/>
      </c>
      <c r="S42" s="50" t="str">
        <f>IF($AB42="","",INDEX('ORDER Form'!$N$1:$N$355,$AB42)&amp;"")</f>
        <v/>
      </c>
      <c r="T42" s="50" t="str">
        <f>IF($AB42="","",IF($AD42,T$3,INDEX('ORDER Form'!$O$1:$O$355,$AB42))&amp;"")</f>
        <v/>
      </c>
      <c r="U42" s="50" t="str">
        <f>IF($AB42="","",IF($AD42,U$3,INDEX('ORDER Form'!$P$1:$P$355,$AB42))&amp;"")</f>
        <v/>
      </c>
      <c r="V42" s="50" t="str">
        <f>IF($AB42="","",IF($AD42,V$3,INDEX('ORDER Form'!$Q$1:$Q$355,$AB42))&amp;"")</f>
        <v/>
      </c>
      <c r="W42" s="50" t="str">
        <f>IF($AB42="","",IF($AD42,W$3,INDEX('ORDER Form'!$R$1:$R$355,$AB42))&amp;"")</f>
        <v/>
      </c>
      <c r="X42" s="50" t="str">
        <f>IF($AB42="","",IF($AD42,X$3,INDEX('ORDER Form'!$S$1:$S$355,$AB42))&amp;"")</f>
        <v/>
      </c>
      <c r="Y42" s="50" t="str">
        <f>IF($AB42="","",IF($AD42,Y$3,INDEX('ORDER Form'!$T$1:$T$355,$AB42))&amp;"")</f>
        <v/>
      </c>
      <c r="Z42" s="50" t="str">
        <f>IF($AB42="","",IF($AD42,Z$3,INDEX('ORDER Form'!$U$1:$U$355,$AB42))&amp;"")</f>
        <v/>
      </c>
      <c r="AB42" s="51" t="str">
        <f>IFERROR(MATCH(38,$AC$5:$AC$354,0)+5,"")</f>
        <v/>
      </c>
      <c r="AC42" s="51" t="str">
        <f>IF('ORDER Form'!$V43="OK",COUNTIF('ORDER Form'!$V$6:$V43,"OK"),"")</f>
        <v/>
      </c>
      <c r="AD42" s="51" t="str">
        <f>IF($AB42="","",(LEN(TRIM(INDEX('ORDER Form'!$O$1:$O$355,$AB42)))+LEN(TRIM(INDEX('ORDER Form'!$P$1:$P$355,$AB42)))+LEN(TRIM(INDEX('ORDER Form'!$Q$1:$Q$355,$AB42)))+LEN(TRIM(INDEX('ORDER Form'!$R$1:$R$355,$AB42)))+LEN(TRIM(INDEX('ORDER Form'!$S$1:$S$355,$AB42)))+LEN(TRIM(INDEX('ORDER Form'!$T$1:$T$355,$AB42)))+LEN(TRIM(INDEX('ORDER Form'!$U$1:$U$355,$AB42))))=0)</f>
        <v/>
      </c>
    </row>
    <row r="43" spans="1:30" ht="15" customHeight="1" x14ac:dyDescent="0.25">
      <c r="A43" s="50" t="str">
        <f>IF($AB43="","",IFERROR(IF(AND(INDEX('ORDER Form'!$N$1:$N$355,$AB43)="GB",LEFT(UPPER(TRIM(INDEX('ORDER Form'!$L$1:$L$355,$AB43))),2)="BT"),INDEX('ORDER Form'!$AC$1:$AC$355,$AB43),IFERROR(VLOOKUP(INDEX('ORDER Form'!$AC$1:$AC$355,$AB43)&amp;"|"&amp;INDEX('PRODUCT DATA'!$A$2:$A$58,MATCH(INDEX('ORDER Form'!$N$1:$N$355,$AB43),'PRODUCT DATA'!$B$2:$B$58,0)),'PRODUCT DATA'!$NO$2:$NP$25,2,FALSE()),INDEX('ORDER Form'!$AC$1:$AC$355,$AB43)))&amp;"",""))</f>
        <v/>
      </c>
      <c r="B43" s="49"/>
      <c r="C43" s="51" t="str">
        <f>IF($AB43="","",INDEX('ORDER Form'!$C$1:$C$355,$AB43))</f>
        <v/>
      </c>
      <c r="D43" s="49"/>
      <c r="E43" s="49"/>
      <c r="F43" s="49"/>
      <c r="G43" s="49"/>
      <c r="H43" s="49"/>
      <c r="I43" s="49"/>
      <c r="J43" s="50" t="str">
        <f>IF($AB43="","",INDEX('ORDER Form'!$D$1:$D$355,$AB43)&amp;"")</f>
        <v/>
      </c>
      <c r="K43" s="50" t="str">
        <f>IF($AB43="","",INDEX('ORDER Form'!$E$1:$E$355,$AB43)&amp;"")</f>
        <v/>
      </c>
      <c r="L43" s="50" t="str">
        <f>IF($AB43="","",INDEX('ORDER Form'!$F$1:$F$355,$AB43)&amp;"")</f>
        <v/>
      </c>
      <c r="M43" s="50" t="str">
        <f>IF($AB43="","",INDEX('ORDER Form'!$G$1:$G$355,$AB43)&amp;"")</f>
        <v/>
      </c>
      <c r="N43" s="50" t="str">
        <f>IF($AB43="","",INDEX('ORDER Form'!$H$1:$H$355,$AB43)&amp;"")</f>
        <v/>
      </c>
      <c r="O43" s="50" t="str">
        <f>IF($AB43="","",INDEX('ORDER Form'!$I$1:$I$355,$AB43)&amp;"")</f>
        <v/>
      </c>
      <c r="P43" s="50" t="str">
        <f>IF($AB43="","",INDEX('ORDER Form'!$J$1:$J$355,$AB43)&amp;"")</f>
        <v/>
      </c>
      <c r="Q43" s="50" t="str">
        <f>IF($AB43="","",INDEX('ORDER Form'!$AB$1:$AB$355,$AB43)&amp;"")</f>
        <v/>
      </c>
      <c r="R43" s="50" t="str">
        <f>IF($AB43="","",INDEX('ORDER Form'!$L$1:$L$355,$AB43)&amp;"")</f>
        <v/>
      </c>
      <c r="S43" s="50" t="str">
        <f>IF($AB43="","",INDEX('ORDER Form'!$N$1:$N$355,$AB43)&amp;"")</f>
        <v/>
      </c>
      <c r="T43" s="50" t="str">
        <f>IF($AB43="","",IF($AD43,T$3,INDEX('ORDER Form'!$O$1:$O$355,$AB43))&amp;"")</f>
        <v/>
      </c>
      <c r="U43" s="50" t="str">
        <f>IF($AB43="","",IF($AD43,U$3,INDEX('ORDER Form'!$P$1:$P$355,$AB43))&amp;"")</f>
        <v/>
      </c>
      <c r="V43" s="50" t="str">
        <f>IF($AB43="","",IF($AD43,V$3,INDEX('ORDER Form'!$Q$1:$Q$355,$AB43))&amp;"")</f>
        <v/>
      </c>
      <c r="W43" s="50" t="str">
        <f>IF($AB43="","",IF($AD43,W$3,INDEX('ORDER Form'!$R$1:$R$355,$AB43))&amp;"")</f>
        <v/>
      </c>
      <c r="X43" s="50" t="str">
        <f>IF($AB43="","",IF($AD43,X$3,INDEX('ORDER Form'!$S$1:$S$355,$AB43))&amp;"")</f>
        <v/>
      </c>
      <c r="Y43" s="50" t="str">
        <f>IF($AB43="","",IF($AD43,Y$3,INDEX('ORDER Form'!$T$1:$T$355,$AB43))&amp;"")</f>
        <v/>
      </c>
      <c r="Z43" s="50" t="str">
        <f>IF($AB43="","",IF($AD43,Z$3,INDEX('ORDER Form'!$U$1:$U$355,$AB43))&amp;"")</f>
        <v/>
      </c>
      <c r="AB43" s="51" t="str">
        <f>IFERROR(MATCH(39,$AC$5:$AC$354,0)+5,"")</f>
        <v/>
      </c>
      <c r="AC43" s="51" t="str">
        <f>IF('ORDER Form'!$V44="OK",COUNTIF('ORDER Form'!$V$6:$V44,"OK"),"")</f>
        <v/>
      </c>
      <c r="AD43" s="51" t="str">
        <f>IF($AB43="","",(LEN(TRIM(INDEX('ORDER Form'!$O$1:$O$355,$AB43)))+LEN(TRIM(INDEX('ORDER Form'!$P$1:$P$355,$AB43)))+LEN(TRIM(INDEX('ORDER Form'!$Q$1:$Q$355,$AB43)))+LEN(TRIM(INDEX('ORDER Form'!$R$1:$R$355,$AB43)))+LEN(TRIM(INDEX('ORDER Form'!$S$1:$S$355,$AB43)))+LEN(TRIM(INDEX('ORDER Form'!$T$1:$T$355,$AB43)))+LEN(TRIM(INDEX('ORDER Form'!$U$1:$U$355,$AB43))))=0)</f>
        <v/>
      </c>
    </row>
    <row r="44" spans="1:30" ht="15" customHeight="1" x14ac:dyDescent="0.25">
      <c r="A44" s="50" t="str">
        <f>IF($AB44="","",IFERROR(IF(AND(INDEX('ORDER Form'!$N$1:$N$355,$AB44)="GB",LEFT(UPPER(TRIM(INDEX('ORDER Form'!$L$1:$L$355,$AB44))),2)="BT"),INDEX('ORDER Form'!$AC$1:$AC$355,$AB44),IFERROR(VLOOKUP(INDEX('ORDER Form'!$AC$1:$AC$355,$AB44)&amp;"|"&amp;INDEX('PRODUCT DATA'!$A$2:$A$58,MATCH(INDEX('ORDER Form'!$N$1:$N$355,$AB44),'PRODUCT DATA'!$B$2:$B$58,0)),'PRODUCT DATA'!$NO$2:$NP$25,2,FALSE()),INDEX('ORDER Form'!$AC$1:$AC$355,$AB44)))&amp;"",""))</f>
        <v/>
      </c>
      <c r="B44" s="49"/>
      <c r="C44" s="51" t="str">
        <f>IF($AB44="","",INDEX('ORDER Form'!$C$1:$C$355,$AB44))</f>
        <v/>
      </c>
      <c r="D44" s="49"/>
      <c r="E44" s="49"/>
      <c r="F44" s="49"/>
      <c r="G44" s="49"/>
      <c r="H44" s="49"/>
      <c r="I44" s="49"/>
      <c r="J44" s="50" t="str">
        <f>IF($AB44="","",INDEX('ORDER Form'!$D$1:$D$355,$AB44)&amp;"")</f>
        <v/>
      </c>
      <c r="K44" s="50" t="str">
        <f>IF($AB44="","",INDEX('ORDER Form'!$E$1:$E$355,$AB44)&amp;"")</f>
        <v/>
      </c>
      <c r="L44" s="50" t="str">
        <f>IF($AB44="","",INDEX('ORDER Form'!$F$1:$F$355,$AB44)&amp;"")</f>
        <v/>
      </c>
      <c r="M44" s="50" t="str">
        <f>IF($AB44="","",INDEX('ORDER Form'!$G$1:$G$355,$AB44)&amp;"")</f>
        <v/>
      </c>
      <c r="N44" s="50" t="str">
        <f>IF($AB44="","",INDEX('ORDER Form'!$H$1:$H$355,$AB44)&amp;"")</f>
        <v/>
      </c>
      <c r="O44" s="50" t="str">
        <f>IF($AB44="","",INDEX('ORDER Form'!$I$1:$I$355,$AB44)&amp;"")</f>
        <v/>
      </c>
      <c r="P44" s="50" t="str">
        <f>IF($AB44="","",INDEX('ORDER Form'!$J$1:$J$355,$AB44)&amp;"")</f>
        <v/>
      </c>
      <c r="Q44" s="50" t="str">
        <f>IF($AB44="","",INDEX('ORDER Form'!$AB$1:$AB$355,$AB44)&amp;"")</f>
        <v/>
      </c>
      <c r="R44" s="50" t="str">
        <f>IF($AB44="","",INDEX('ORDER Form'!$L$1:$L$355,$AB44)&amp;"")</f>
        <v/>
      </c>
      <c r="S44" s="50" t="str">
        <f>IF($AB44="","",INDEX('ORDER Form'!$N$1:$N$355,$AB44)&amp;"")</f>
        <v/>
      </c>
      <c r="T44" s="50" t="str">
        <f>IF($AB44="","",IF($AD44,T$3,INDEX('ORDER Form'!$O$1:$O$355,$AB44))&amp;"")</f>
        <v/>
      </c>
      <c r="U44" s="50" t="str">
        <f>IF($AB44="","",IF($AD44,U$3,INDEX('ORDER Form'!$P$1:$P$355,$AB44))&amp;"")</f>
        <v/>
      </c>
      <c r="V44" s="50" t="str">
        <f>IF($AB44="","",IF($AD44,V$3,INDEX('ORDER Form'!$Q$1:$Q$355,$AB44))&amp;"")</f>
        <v/>
      </c>
      <c r="W44" s="50" t="str">
        <f>IF($AB44="","",IF($AD44,W$3,INDEX('ORDER Form'!$R$1:$R$355,$AB44))&amp;"")</f>
        <v/>
      </c>
      <c r="X44" s="50" t="str">
        <f>IF($AB44="","",IF($AD44,X$3,INDEX('ORDER Form'!$S$1:$S$355,$AB44))&amp;"")</f>
        <v/>
      </c>
      <c r="Y44" s="50" t="str">
        <f>IF($AB44="","",IF($AD44,Y$3,INDEX('ORDER Form'!$T$1:$T$355,$AB44))&amp;"")</f>
        <v/>
      </c>
      <c r="Z44" s="50" t="str">
        <f>IF($AB44="","",IF($AD44,Z$3,INDEX('ORDER Form'!$U$1:$U$355,$AB44))&amp;"")</f>
        <v/>
      </c>
      <c r="AB44" s="51" t="str">
        <f>IFERROR(MATCH(40,$AC$5:$AC$354,0)+5,"")</f>
        <v/>
      </c>
      <c r="AC44" s="51" t="str">
        <f>IF('ORDER Form'!$V45="OK",COUNTIF('ORDER Form'!$V$6:$V45,"OK"),"")</f>
        <v/>
      </c>
      <c r="AD44" s="51" t="str">
        <f>IF($AB44="","",(LEN(TRIM(INDEX('ORDER Form'!$O$1:$O$355,$AB44)))+LEN(TRIM(INDEX('ORDER Form'!$P$1:$P$355,$AB44)))+LEN(TRIM(INDEX('ORDER Form'!$Q$1:$Q$355,$AB44)))+LEN(TRIM(INDEX('ORDER Form'!$R$1:$R$355,$AB44)))+LEN(TRIM(INDEX('ORDER Form'!$S$1:$S$355,$AB44)))+LEN(TRIM(INDEX('ORDER Form'!$T$1:$T$355,$AB44)))+LEN(TRIM(INDEX('ORDER Form'!$U$1:$U$355,$AB44))))=0)</f>
        <v/>
      </c>
    </row>
    <row r="45" spans="1:30" ht="15" customHeight="1" x14ac:dyDescent="0.25">
      <c r="A45" s="50" t="str">
        <f>IF($AB45="","",IFERROR(IF(AND(INDEX('ORDER Form'!$N$1:$N$355,$AB45)="GB",LEFT(UPPER(TRIM(INDEX('ORDER Form'!$L$1:$L$355,$AB45))),2)="BT"),INDEX('ORDER Form'!$AC$1:$AC$355,$AB45),IFERROR(VLOOKUP(INDEX('ORDER Form'!$AC$1:$AC$355,$AB45)&amp;"|"&amp;INDEX('PRODUCT DATA'!$A$2:$A$58,MATCH(INDEX('ORDER Form'!$N$1:$N$355,$AB45),'PRODUCT DATA'!$B$2:$B$58,0)),'PRODUCT DATA'!$NO$2:$NP$25,2,FALSE()),INDEX('ORDER Form'!$AC$1:$AC$355,$AB45)))&amp;"",""))</f>
        <v/>
      </c>
      <c r="B45" s="49"/>
      <c r="C45" s="51" t="str">
        <f>IF($AB45="","",INDEX('ORDER Form'!$C$1:$C$355,$AB45))</f>
        <v/>
      </c>
      <c r="D45" s="49"/>
      <c r="E45" s="49"/>
      <c r="F45" s="49"/>
      <c r="G45" s="49"/>
      <c r="H45" s="49"/>
      <c r="I45" s="49"/>
      <c r="J45" s="50" t="str">
        <f>IF($AB45="","",INDEX('ORDER Form'!$D$1:$D$355,$AB45)&amp;"")</f>
        <v/>
      </c>
      <c r="K45" s="50" t="str">
        <f>IF($AB45="","",INDEX('ORDER Form'!$E$1:$E$355,$AB45)&amp;"")</f>
        <v/>
      </c>
      <c r="L45" s="50" t="str">
        <f>IF($AB45="","",INDEX('ORDER Form'!$F$1:$F$355,$AB45)&amp;"")</f>
        <v/>
      </c>
      <c r="M45" s="50" t="str">
        <f>IF($AB45="","",INDEX('ORDER Form'!$G$1:$G$355,$AB45)&amp;"")</f>
        <v/>
      </c>
      <c r="N45" s="50" t="str">
        <f>IF($AB45="","",INDEX('ORDER Form'!$H$1:$H$355,$AB45)&amp;"")</f>
        <v/>
      </c>
      <c r="O45" s="50" t="str">
        <f>IF($AB45="","",INDEX('ORDER Form'!$I$1:$I$355,$AB45)&amp;"")</f>
        <v/>
      </c>
      <c r="P45" s="50" t="str">
        <f>IF($AB45="","",INDEX('ORDER Form'!$J$1:$J$355,$AB45)&amp;"")</f>
        <v/>
      </c>
      <c r="Q45" s="50" t="str">
        <f>IF($AB45="","",INDEX('ORDER Form'!$AB$1:$AB$355,$AB45)&amp;"")</f>
        <v/>
      </c>
      <c r="R45" s="50" t="str">
        <f>IF($AB45="","",INDEX('ORDER Form'!$L$1:$L$355,$AB45)&amp;"")</f>
        <v/>
      </c>
      <c r="S45" s="50" t="str">
        <f>IF($AB45="","",INDEX('ORDER Form'!$N$1:$N$355,$AB45)&amp;"")</f>
        <v/>
      </c>
      <c r="T45" s="50" t="str">
        <f>IF($AB45="","",IF($AD45,T$3,INDEX('ORDER Form'!$O$1:$O$355,$AB45))&amp;"")</f>
        <v/>
      </c>
      <c r="U45" s="50" t="str">
        <f>IF($AB45="","",IF($AD45,U$3,INDEX('ORDER Form'!$P$1:$P$355,$AB45))&amp;"")</f>
        <v/>
      </c>
      <c r="V45" s="50" t="str">
        <f>IF($AB45="","",IF($AD45,V$3,INDEX('ORDER Form'!$Q$1:$Q$355,$AB45))&amp;"")</f>
        <v/>
      </c>
      <c r="W45" s="50" t="str">
        <f>IF($AB45="","",IF($AD45,W$3,INDEX('ORDER Form'!$R$1:$R$355,$AB45))&amp;"")</f>
        <v/>
      </c>
      <c r="X45" s="50" t="str">
        <f>IF($AB45="","",IF($AD45,X$3,INDEX('ORDER Form'!$S$1:$S$355,$AB45))&amp;"")</f>
        <v/>
      </c>
      <c r="Y45" s="50" t="str">
        <f>IF($AB45="","",IF($AD45,Y$3,INDEX('ORDER Form'!$T$1:$T$355,$AB45))&amp;"")</f>
        <v/>
      </c>
      <c r="Z45" s="50" t="str">
        <f>IF($AB45="","",IF($AD45,Z$3,INDEX('ORDER Form'!$U$1:$U$355,$AB45))&amp;"")</f>
        <v/>
      </c>
      <c r="AB45" s="51" t="str">
        <f>IFERROR(MATCH(41,$AC$5:$AC$354,0)+5,"")</f>
        <v/>
      </c>
      <c r="AC45" s="51" t="str">
        <f>IF('ORDER Form'!$V46="OK",COUNTIF('ORDER Form'!$V$6:$V46,"OK"),"")</f>
        <v/>
      </c>
      <c r="AD45" s="51" t="str">
        <f>IF($AB45="","",(LEN(TRIM(INDEX('ORDER Form'!$O$1:$O$355,$AB45)))+LEN(TRIM(INDEX('ORDER Form'!$P$1:$P$355,$AB45)))+LEN(TRIM(INDEX('ORDER Form'!$Q$1:$Q$355,$AB45)))+LEN(TRIM(INDEX('ORDER Form'!$R$1:$R$355,$AB45)))+LEN(TRIM(INDEX('ORDER Form'!$S$1:$S$355,$AB45)))+LEN(TRIM(INDEX('ORDER Form'!$T$1:$T$355,$AB45)))+LEN(TRIM(INDEX('ORDER Form'!$U$1:$U$355,$AB45))))=0)</f>
        <v/>
      </c>
    </row>
    <row r="46" spans="1:30" ht="15" customHeight="1" x14ac:dyDescent="0.25">
      <c r="A46" s="50" t="str">
        <f>IF($AB46="","",IFERROR(IF(AND(INDEX('ORDER Form'!$N$1:$N$355,$AB46)="GB",LEFT(UPPER(TRIM(INDEX('ORDER Form'!$L$1:$L$355,$AB46))),2)="BT"),INDEX('ORDER Form'!$AC$1:$AC$355,$AB46),IFERROR(VLOOKUP(INDEX('ORDER Form'!$AC$1:$AC$355,$AB46)&amp;"|"&amp;INDEX('PRODUCT DATA'!$A$2:$A$58,MATCH(INDEX('ORDER Form'!$N$1:$N$355,$AB46),'PRODUCT DATA'!$B$2:$B$58,0)),'PRODUCT DATA'!$NO$2:$NP$25,2,FALSE()),INDEX('ORDER Form'!$AC$1:$AC$355,$AB46)))&amp;"",""))</f>
        <v/>
      </c>
      <c r="B46" s="49"/>
      <c r="C46" s="51" t="str">
        <f>IF($AB46="","",INDEX('ORDER Form'!$C$1:$C$355,$AB46))</f>
        <v/>
      </c>
      <c r="D46" s="49"/>
      <c r="E46" s="49"/>
      <c r="F46" s="49"/>
      <c r="G46" s="49"/>
      <c r="H46" s="49"/>
      <c r="I46" s="49"/>
      <c r="J46" s="50" t="str">
        <f>IF($AB46="","",INDEX('ORDER Form'!$D$1:$D$355,$AB46)&amp;"")</f>
        <v/>
      </c>
      <c r="K46" s="50" t="str">
        <f>IF($AB46="","",INDEX('ORDER Form'!$E$1:$E$355,$AB46)&amp;"")</f>
        <v/>
      </c>
      <c r="L46" s="50" t="str">
        <f>IF($AB46="","",INDEX('ORDER Form'!$F$1:$F$355,$AB46)&amp;"")</f>
        <v/>
      </c>
      <c r="M46" s="50" t="str">
        <f>IF($AB46="","",INDEX('ORDER Form'!$G$1:$G$355,$AB46)&amp;"")</f>
        <v/>
      </c>
      <c r="N46" s="50" t="str">
        <f>IF($AB46="","",INDEX('ORDER Form'!$H$1:$H$355,$AB46)&amp;"")</f>
        <v/>
      </c>
      <c r="O46" s="50" t="str">
        <f>IF($AB46="","",INDEX('ORDER Form'!$I$1:$I$355,$AB46)&amp;"")</f>
        <v/>
      </c>
      <c r="P46" s="50" t="str">
        <f>IF($AB46="","",INDEX('ORDER Form'!$J$1:$J$355,$AB46)&amp;"")</f>
        <v/>
      </c>
      <c r="Q46" s="50" t="str">
        <f>IF($AB46="","",INDEX('ORDER Form'!$AB$1:$AB$355,$AB46)&amp;"")</f>
        <v/>
      </c>
      <c r="R46" s="50" t="str">
        <f>IF($AB46="","",INDEX('ORDER Form'!$L$1:$L$355,$AB46)&amp;"")</f>
        <v/>
      </c>
      <c r="S46" s="50" t="str">
        <f>IF($AB46="","",INDEX('ORDER Form'!$N$1:$N$355,$AB46)&amp;"")</f>
        <v/>
      </c>
      <c r="T46" s="50" t="str">
        <f>IF($AB46="","",IF($AD46,T$3,INDEX('ORDER Form'!$O$1:$O$355,$AB46))&amp;"")</f>
        <v/>
      </c>
      <c r="U46" s="50" t="str">
        <f>IF($AB46="","",IF($AD46,U$3,INDEX('ORDER Form'!$P$1:$P$355,$AB46))&amp;"")</f>
        <v/>
      </c>
      <c r="V46" s="50" t="str">
        <f>IF($AB46="","",IF($AD46,V$3,INDEX('ORDER Form'!$Q$1:$Q$355,$AB46))&amp;"")</f>
        <v/>
      </c>
      <c r="W46" s="50" t="str">
        <f>IF($AB46="","",IF($AD46,W$3,INDEX('ORDER Form'!$R$1:$R$355,$AB46))&amp;"")</f>
        <v/>
      </c>
      <c r="X46" s="50" t="str">
        <f>IF($AB46="","",IF($AD46,X$3,INDEX('ORDER Form'!$S$1:$S$355,$AB46))&amp;"")</f>
        <v/>
      </c>
      <c r="Y46" s="50" t="str">
        <f>IF($AB46="","",IF($AD46,Y$3,INDEX('ORDER Form'!$T$1:$T$355,$AB46))&amp;"")</f>
        <v/>
      </c>
      <c r="Z46" s="50" t="str">
        <f>IF($AB46="","",IF($AD46,Z$3,INDEX('ORDER Form'!$U$1:$U$355,$AB46))&amp;"")</f>
        <v/>
      </c>
      <c r="AB46" s="51" t="str">
        <f>IFERROR(MATCH(42,$AC$5:$AC$354,0)+5,"")</f>
        <v/>
      </c>
      <c r="AC46" s="51" t="str">
        <f>IF('ORDER Form'!$V47="OK",COUNTIF('ORDER Form'!$V$6:$V47,"OK"),"")</f>
        <v/>
      </c>
      <c r="AD46" s="51" t="str">
        <f>IF($AB46="","",(LEN(TRIM(INDEX('ORDER Form'!$O$1:$O$355,$AB46)))+LEN(TRIM(INDEX('ORDER Form'!$P$1:$P$355,$AB46)))+LEN(TRIM(INDEX('ORDER Form'!$Q$1:$Q$355,$AB46)))+LEN(TRIM(INDEX('ORDER Form'!$R$1:$R$355,$AB46)))+LEN(TRIM(INDEX('ORDER Form'!$S$1:$S$355,$AB46)))+LEN(TRIM(INDEX('ORDER Form'!$T$1:$T$355,$AB46)))+LEN(TRIM(INDEX('ORDER Form'!$U$1:$U$355,$AB46))))=0)</f>
        <v/>
      </c>
    </row>
    <row r="47" spans="1:30" ht="15" customHeight="1" x14ac:dyDescent="0.25">
      <c r="A47" s="50" t="str">
        <f>IF($AB47="","",IFERROR(IF(AND(INDEX('ORDER Form'!$N$1:$N$355,$AB47)="GB",LEFT(UPPER(TRIM(INDEX('ORDER Form'!$L$1:$L$355,$AB47))),2)="BT"),INDEX('ORDER Form'!$AC$1:$AC$355,$AB47),IFERROR(VLOOKUP(INDEX('ORDER Form'!$AC$1:$AC$355,$AB47)&amp;"|"&amp;INDEX('PRODUCT DATA'!$A$2:$A$58,MATCH(INDEX('ORDER Form'!$N$1:$N$355,$AB47),'PRODUCT DATA'!$B$2:$B$58,0)),'PRODUCT DATA'!$NO$2:$NP$25,2,FALSE()),INDEX('ORDER Form'!$AC$1:$AC$355,$AB47)))&amp;"",""))</f>
        <v/>
      </c>
      <c r="B47" s="49"/>
      <c r="C47" s="51" t="str">
        <f>IF($AB47="","",INDEX('ORDER Form'!$C$1:$C$355,$AB47))</f>
        <v/>
      </c>
      <c r="D47" s="49"/>
      <c r="E47" s="49"/>
      <c r="F47" s="49"/>
      <c r="G47" s="49"/>
      <c r="H47" s="49"/>
      <c r="I47" s="49"/>
      <c r="J47" s="50" t="str">
        <f>IF($AB47="","",INDEX('ORDER Form'!$D$1:$D$355,$AB47)&amp;"")</f>
        <v/>
      </c>
      <c r="K47" s="50" t="str">
        <f>IF($AB47="","",INDEX('ORDER Form'!$E$1:$E$355,$AB47)&amp;"")</f>
        <v/>
      </c>
      <c r="L47" s="50" t="str">
        <f>IF($AB47="","",INDEX('ORDER Form'!$F$1:$F$355,$AB47)&amp;"")</f>
        <v/>
      </c>
      <c r="M47" s="50" t="str">
        <f>IF($AB47="","",INDEX('ORDER Form'!$G$1:$G$355,$AB47)&amp;"")</f>
        <v/>
      </c>
      <c r="N47" s="50" t="str">
        <f>IF($AB47="","",INDEX('ORDER Form'!$H$1:$H$355,$AB47)&amp;"")</f>
        <v/>
      </c>
      <c r="O47" s="50" t="str">
        <f>IF($AB47="","",INDEX('ORDER Form'!$I$1:$I$355,$AB47)&amp;"")</f>
        <v/>
      </c>
      <c r="P47" s="50" t="str">
        <f>IF($AB47="","",INDEX('ORDER Form'!$J$1:$J$355,$AB47)&amp;"")</f>
        <v/>
      </c>
      <c r="Q47" s="50" t="str">
        <f>IF($AB47="","",INDEX('ORDER Form'!$AB$1:$AB$355,$AB47)&amp;"")</f>
        <v/>
      </c>
      <c r="R47" s="50" t="str">
        <f>IF($AB47="","",INDEX('ORDER Form'!$L$1:$L$355,$AB47)&amp;"")</f>
        <v/>
      </c>
      <c r="S47" s="50" t="str">
        <f>IF($AB47="","",INDEX('ORDER Form'!$N$1:$N$355,$AB47)&amp;"")</f>
        <v/>
      </c>
      <c r="T47" s="50" t="str">
        <f>IF($AB47="","",IF($AD47,T$3,INDEX('ORDER Form'!$O$1:$O$355,$AB47))&amp;"")</f>
        <v/>
      </c>
      <c r="U47" s="50" t="str">
        <f>IF($AB47="","",IF($AD47,U$3,INDEX('ORDER Form'!$P$1:$P$355,$AB47))&amp;"")</f>
        <v/>
      </c>
      <c r="V47" s="50" t="str">
        <f>IF($AB47="","",IF($AD47,V$3,INDEX('ORDER Form'!$Q$1:$Q$355,$AB47))&amp;"")</f>
        <v/>
      </c>
      <c r="W47" s="50" t="str">
        <f>IF($AB47="","",IF($AD47,W$3,INDEX('ORDER Form'!$R$1:$R$355,$AB47))&amp;"")</f>
        <v/>
      </c>
      <c r="X47" s="50" t="str">
        <f>IF($AB47="","",IF($AD47,X$3,INDEX('ORDER Form'!$S$1:$S$355,$AB47))&amp;"")</f>
        <v/>
      </c>
      <c r="Y47" s="50" t="str">
        <f>IF($AB47="","",IF($AD47,Y$3,INDEX('ORDER Form'!$T$1:$T$355,$AB47))&amp;"")</f>
        <v/>
      </c>
      <c r="Z47" s="50" t="str">
        <f>IF($AB47="","",IF($AD47,Z$3,INDEX('ORDER Form'!$U$1:$U$355,$AB47))&amp;"")</f>
        <v/>
      </c>
      <c r="AB47" s="51" t="str">
        <f>IFERROR(MATCH(43,$AC$5:$AC$354,0)+5,"")</f>
        <v/>
      </c>
      <c r="AC47" s="51" t="str">
        <f>IF('ORDER Form'!$V48="OK",COUNTIF('ORDER Form'!$V$6:$V48,"OK"),"")</f>
        <v/>
      </c>
      <c r="AD47" s="51" t="str">
        <f>IF($AB47="","",(LEN(TRIM(INDEX('ORDER Form'!$O$1:$O$355,$AB47)))+LEN(TRIM(INDEX('ORDER Form'!$P$1:$P$355,$AB47)))+LEN(TRIM(INDEX('ORDER Form'!$Q$1:$Q$355,$AB47)))+LEN(TRIM(INDEX('ORDER Form'!$R$1:$R$355,$AB47)))+LEN(TRIM(INDEX('ORDER Form'!$S$1:$S$355,$AB47)))+LEN(TRIM(INDEX('ORDER Form'!$T$1:$T$355,$AB47)))+LEN(TRIM(INDEX('ORDER Form'!$U$1:$U$355,$AB47))))=0)</f>
        <v/>
      </c>
    </row>
    <row r="48" spans="1:30" ht="15" customHeight="1" x14ac:dyDescent="0.25">
      <c r="A48" s="50" t="str">
        <f>IF($AB48="","",IFERROR(IF(AND(INDEX('ORDER Form'!$N$1:$N$355,$AB48)="GB",LEFT(UPPER(TRIM(INDEX('ORDER Form'!$L$1:$L$355,$AB48))),2)="BT"),INDEX('ORDER Form'!$AC$1:$AC$355,$AB48),IFERROR(VLOOKUP(INDEX('ORDER Form'!$AC$1:$AC$355,$AB48)&amp;"|"&amp;INDEX('PRODUCT DATA'!$A$2:$A$58,MATCH(INDEX('ORDER Form'!$N$1:$N$355,$AB48),'PRODUCT DATA'!$B$2:$B$58,0)),'PRODUCT DATA'!$NO$2:$NP$25,2,FALSE()),INDEX('ORDER Form'!$AC$1:$AC$355,$AB48)))&amp;"",""))</f>
        <v/>
      </c>
      <c r="B48" s="49"/>
      <c r="C48" s="51" t="str">
        <f>IF($AB48="","",INDEX('ORDER Form'!$C$1:$C$355,$AB48))</f>
        <v/>
      </c>
      <c r="D48" s="49"/>
      <c r="E48" s="49"/>
      <c r="F48" s="49"/>
      <c r="G48" s="49"/>
      <c r="H48" s="49"/>
      <c r="I48" s="49"/>
      <c r="J48" s="50" t="str">
        <f>IF($AB48="","",INDEX('ORDER Form'!$D$1:$D$355,$AB48)&amp;"")</f>
        <v/>
      </c>
      <c r="K48" s="50" t="str">
        <f>IF($AB48="","",INDEX('ORDER Form'!$E$1:$E$355,$AB48)&amp;"")</f>
        <v/>
      </c>
      <c r="L48" s="50" t="str">
        <f>IF($AB48="","",INDEX('ORDER Form'!$F$1:$F$355,$AB48)&amp;"")</f>
        <v/>
      </c>
      <c r="M48" s="50" t="str">
        <f>IF($AB48="","",INDEX('ORDER Form'!$G$1:$G$355,$AB48)&amp;"")</f>
        <v/>
      </c>
      <c r="N48" s="50" t="str">
        <f>IF($AB48="","",INDEX('ORDER Form'!$H$1:$H$355,$AB48)&amp;"")</f>
        <v/>
      </c>
      <c r="O48" s="50" t="str">
        <f>IF($AB48="","",INDEX('ORDER Form'!$I$1:$I$355,$AB48)&amp;"")</f>
        <v/>
      </c>
      <c r="P48" s="50" t="str">
        <f>IF($AB48="","",INDEX('ORDER Form'!$J$1:$J$355,$AB48)&amp;"")</f>
        <v/>
      </c>
      <c r="Q48" s="50" t="str">
        <f>IF($AB48="","",INDEX('ORDER Form'!$AB$1:$AB$355,$AB48)&amp;"")</f>
        <v/>
      </c>
      <c r="R48" s="50" t="str">
        <f>IF($AB48="","",INDEX('ORDER Form'!$L$1:$L$355,$AB48)&amp;"")</f>
        <v/>
      </c>
      <c r="S48" s="50" t="str">
        <f>IF($AB48="","",INDEX('ORDER Form'!$N$1:$N$355,$AB48)&amp;"")</f>
        <v/>
      </c>
      <c r="T48" s="50" t="str">
        <f>IF($AB48="","",IF($AD48,T$3,INDEX('ORDER Form'!$O$1:$O$355,$AB48))&amp;"")</f>
        <v/>
      </c>
      <c r="U48" s="50" t="str">
        <f>IF($AB48="","",IF($AD48,U$3,INDEX('ORDER Form'!$P$1:$P$355,$AB48))&amp;"")</f>
        <v/>
      </c>
      <c r="V48" s="50" t="str">
        <f>IF($AB48="","",IF($AD48,V$3,INDEX('ORDER Form'!$Q$1:$Q$355,$AB48))&amp;"")</f>
        <v/>
      </c>
      <c r="W48" s="50" t="str">
        <f>IF($AB48="","",IF($AD48,W$3,INDEX('ORDER Form'!$R$1:$R$355,$AB48))&amp;"")</f>
        <v/>
      </c>
      <c r="X48" s="50" t="str">
        <f>IF($AB48="","",IF($AD48,X$3,INDEX('ORDER Form'!$S$1:$S$355,$AB48))&amp;"")</f>
        <v/>
      </c>
      <c r="Y48" s="50" t="str">
        <f>IF($AB48="","",IF($AD48,Y$3,INDEX('ORDER Form'!$T$1:$T$355,$AB48))&amp;"")</f>
        <v/>
      </c>
      <c r="Z48" s="50" t="str">
        <f>IF($AB48="","",IF($AD48,Z$3,INDEX('ORDER Form'!$U$1:$U$355,$AB48))&amp;"")</f>
        <v/>
      </c>
      <c r="AB48" s="51" t="str">
        <f>IFERROR(MATCH(44,$AC$5:$AC$354,0)+5,"")</f>
        <v/>
      </c>
      <c r="AC48" s="51" t="str">
        <f>IF('ORDER Form'!$V49="OK",COUNTIF('ORDER Form'!$V$6:$V49,"OK"),"")</f>
        <v/>
      </c>
      <c r="AD48" s="51" t="str">
        <f>IF($AB48="","",(LEN(TRIM(INDEX('ORDER Form'!$O$1:$O$355,$AB48)))+LEN(TRIM(INDEX('ORDER Form'!$P$1:$P$355,$AB48)))+LEN(TRIM(INDEX('ORDER Form'!$Q$1:$Q$355,$AB48)))+LEN(TRIM(INDEX('ORDER Form'!$R$1:$R$355,$AB48)))+LEN(TRIM(INDEX('ORDER Form'!$S$1:$S$355,$AB48)))+LEN(TRIM(INDEX('ORDER Form'!$T$1:$T$355,$AB48)))+LEN(TRIM(INDEX('ORDER Form'!$U$1:$U$355,$AB48))))=0)</f>
        <v/>
      </c>
    </row>
    <row r="49" spans="1:30" ht="15" customHeight="1" x14ac:dyDescent="0.25">
      <c r="A49" s="50" t="str">
        <f>IF($AB49="","",IFERROR(IF(AND(INDEX('ORDER Form'!$N$1:$N$355,$AB49)="GB",LEFT(UPPER(TRIM(INDEX('ORDER Form'!$L$1:$L$355,$AB49))),2)="BT"),INDEX('ORDER Form'!$AC$1:$AC$355,$AB49),IFERROR(VLOOKUP(INDEX('ORDER Form'!$AC$1:$AC$355,$AB49)&amp;"|"&amp;INDEX('PRODUCT DATA'!$A$2:$A$58,MATCH(INDEX('ORDER Form'!$N$1:$N$355,$AB49),'PRODUCT DATA'!$B$2:$B$58,0)),'PRODUCT DATA'!$NO$2:$NP$25,2,FALSE()),INDEX('ORDER Form'!$AC$1:$AC$355,$AB49)))&amp;"",""))</f>
        <v/>
      </c>
      <c r="B49" s="49"/>
      <c r="C49" s="51" t="str">
        <f>IF($AB49="","",INDEX('ORDER Form'!$C$1:$C$355,$AB49))</f>
        <v/>
      </c>
      <c r="D49" s="49"/>
      <c r="E49" s="49"/>
      <c r="F49" s="49"/>
      <c r="G49" s="49"/>
      <c r="H49" s="49"/>
      <c r="I49" s="49"/>
      <c r="J49" s="50" t="str">
        <f>IF($AB49="","",INDEX('ORDER Form'!$D$1:$D$355,$AB49)&amp;"")</f>
        <v/>
      </c>
      <c r="K49" s="50" t="str">
        <f>IF($AB49="","",INDEX('ORDER Form'!$E$1:$E$355,$AB49)&amp;"")</f>
        <v/>
      </c>
      <c r="L49" s="50" t="str">
        <f>IF($AB49="","",INDEX('ORDER Form'!$F$1:$F$355,$AB49)&amp;"")</f>
        <v/>
      </c>
      <c r="M49" s="50" t="str">
        <f>IF($AB49="","",INDEX('ORDER Form'!$G$1:$G$355,$AB49)&amp;"")</f>
        <v/>
      </c>
      <c r="N49" s="50" t="str">
        <f>IF($AB49="","",INDEX('ORDER Form'!$H$1:$H$355,$AB49)&amp;"")</f>
        <v/>
      </c>
      <c r="O49" s="50" t="str">
        <f>IF($AB49="","",INDEX('ORDER Form'!$I$1:$I$355,$AB49)&amp;"")</f>
        <v/>
      </c>
      <c r="P49" s="50" t="str">
        <f>IF($AB49="","",INDEX('ORDER Form'!$J$1:$J$355,$AB49)&amp;"")</f>
        <v/>
      </c>
      <c r="Q49" s="50" t="str">
        <f>IF($AB49="","",INDEX('ORDER Form'!$AB$1:$AB$355,$AB49)&amp;"")</f>
        <v/>
      </c>
      <c r="R49" s="50" t="str">
        <f>IF($AB49="","",INDEX('ORDER Form'!$L$1:$L$355,$AB49)&amp;"")</f>
        <v/>
      </c>
      <c r="S49" s="50" t="str">
        <f>IF($AB49="","",INDEX('ORDER Form'!$N$1:$N$355,$AB49)&amp;"")</f>
        <v/>
      </c>
      <c r="T49" s="50" t="str">
        <f>IF($AB49="","",IF($AD49,T$3,INDEX('ORDER Form'!$O$1:$O$355,$AB49))&amp;"")</f>
        <v/>
      </c>
      <c r="U49" s="50" t="str">
        <f>IF($AB49="","",IF($AD49,U$3,INDEX('ORDER Form'!$P$1:$P$355,$AB49))&amp;"")</f>
        <v/>
      </c>
      <c r="V49" s="50" t="str">
        <f>IF($AB49="","",IF($AD49,V$3,INDEX('ORDER Form'!$Q$1:$Q$355,$AB49))&amp;"")</f>
        <v/>
      </c>
      <c r="W49" s="50" t="str">
        <f>IF($AB49="","",IF($AD49,W$3,INDEX('ORDER Form'!$R$1:$R$355,$AB49))&amp;"")</f>
        <v/>
      </c>
      <c r="X49" s="50" t="str">
        <f>IF($AB49="","",IF($AD49,X$3,INDEX('ORDER Form'!$S$1:$S$355,$AB49))&amp;"")</f>
        <v/>
      </c>
      <c r="Y49" s="50" t="str">
        <f>IF($AB49="","",IF($AD49,Y$3,INDEX('ORDER Form'!$T$1:$T$355,$AB49))&amp;"")</f>
        <v/>
      </c>
      <c r="Z49" s="50" t="str">
        <f>IF($AB49="","",IF($AD49,Z$3,INDEX('ORDER Form'!$U$1:$U$355,$AB49))&amp;"")</f>
        <v/>
      </c>
      <c r="AB49" s="51" t="str">
        <f>IFERROR(MATCH(45,$AC$5:$AC$354,0)+5,"")</f>
        <v/>
      </c>
      <c r="AC49" s="51" t="str">
        <f>IF('ORDER Form'!$V50="OK",COUNTIF('ORDER Form'!$V$6:$V50,"OK"),"")</f>
        <v/>
      </c>
      <c r="AD49" s="51" t="str">
        <f>IF($AB49="","",(LEN(TRIM(INDEX('ORDER Form'!$O$1:$O$355,$AB49)))+LEN(TRIM(INDEX('ORDER Form'!$P$1:$P$355,$AB49)))+LEN(TRIM(INDEX('ORDER Form'!$Q$1:$Q$355,$AB49)))+LEN(TRIM(INDEX('ORDER Form'!$R$1:$R$355,$AB49)))+LEN(TRIM(INDEX('ORDER Form'!$S$1:$S$355,$AB49)))+LEN(TRIM(INDEX('ORDER Form'!$T$1:$T$355,$AB49)))+LEN(TRIM(INDEX('ORDER Form'!$U$1:$U$355,$AB49))))=0)</f>
        <v/>
      </c>
    </row>
    <row r="50" spans="1:30" ht="15" customHeight="1" x14ac:dyDescent="0.25">
      <c r="A50" s="50" t="str">
        <f>IF($AB50="","",IFERROR(IF(AND(INDEX('ORDER Form'!$N$1:$N$355,$AB50)="GB",LEFT(UPPER(TRIM(INDEX('ORDER Form'!$L$1:$L$355,$AB50))),2)="BT"),INDEX('ORDER Form'!$AC$1:$AC$355,$AB50),IFERROR(VLOOKUP(INDEX('ORDER Form'!$AC$1:$AC$355,$AB50)&amp;"|"&amp;INDEX('PRODUCT DATA'!$A$2:$A$58,MATCH(INDEX('ORDER Form'!$N$1:$N$355,$AB50),'PRODUCT DATA'!$B$2:$B$58,0)),'PRODUCT DATA'!$NO$2:$NP$25,2,FALSE()),INDEX('ORDER Form'!$AC$1:$AC$355,$AB50)))&amp;"",""))</f>
        <v/>
      </c>
      <c r="B50" s="49"/>
      <c r="C50" s="51" t="str">
        <f>IF($AB50="","",INDEX('ORDER Form'!$C$1:$C$355,$AB50))</f>
        <v/>
      </c>
      <c r="D50" s="49"/>
      <c r="E50" s="49"/>
      <c r="F50" s="49"/>
      <c r="G50" s="49"/>
      <c r="H50" s="49"/>
      <c r="I50" s="49"/>
      <c r="J50" s="50" t="str">
        <f>IF($AB50="","",INDEX('ORDER Form'!$D$1:$D$355,$AB50)&amp;"")</f>
        <v/>
      </c>
      <c r="K50" s="50" t="str">
        <f>IF($AB50="","",INDEX('ORDER Form'!$E$1:$E$355,$AB50)&amp;"")</f>
        <v/>
      </c>
      <c r="L50" s="50" t="str">
        <f>IF($AB50="","",INDEX('ORDER Form'!$F$1:$F$355,$AB50)&amp;"")</f>
        <v/>
      </c>
      <c r="M50" s="50" t="str">
        <f>IF($AB50="","",INDEX('ORDER Form'!$G$1:$G$355,$AB50)&amp;"")</f>
        <v/>
      </c>
      <c r="N50" s="50" t="str">
        <f>IF($AB50="","",INDEX('ORDER Form'!$H$1:$H$355,$AB50)&amp;"")</f>
        <v/>
      </c>
      <c r="O50" s="50" t="str">
        <f>IF($AB50="","",INDEX('ORDER Form'!$I$1:$I$355,$AB50)&amp;"")</f>
        <v/>
      </c>
      <c r="P50" s="50" t="str">
        <f>IF($AB50="","",INDEX('ORDER Form'!$J$1:$J$355,$AB50)&amp;"")</f>
        <v/>
      </c>
      <c r="Q50" s="50" t="str">
        <f>IF($AB50="","",INDEX('ORDER Form'!$AB$1:$AB$355,$AB50)&amp;"")</f>
        <v/>
      </c>
      <c r="R50" s="50" t="str">
        <f>IF($AB50="","",INDEX('ORDER Form'!$L$1:$L$355,$AB50)&amp;"")</f>
        <v/>
      </c>
      <c r="S50" s="50" t="str">
        <f>IF($AB50="","",INDEX('ORDER Form'!$N$1:$N$355,$AB50)&amp;"")</f>
        <v/>
      </c>
      <c r="T50" s="50" t="str">
        <f>IF($AB50="","",IF($AD50,T$3,INDEX('ORDER Form'!$O$1:$O$355,$AB50))&amp;"")</f>
        <v/>
      </c>
      <c r="U50" s="50" t="str">
        <f>IF($AB50="","",IF($AD50,U$3,INDEX('ORDER Form'!$P$1:$P$355,$AB50))&amp;"")</f>
        <v/>
      </c>
      <c r="V50" s="50" t="str">
        <f>IF($AB50="","",IF($AD50,V$3,INDEX('ORDER Form'!$Q$1:$Q$355,$AB50))&amp;"")</f>
        <v/>
      </c>
      <c r="W50" s="50" t="str">
        <f>IF($AB50="","",IF($AD50,W$3,INDEX('ORDER Form'!$R$1:$R$355,$AB50))&amp;"")</f>
        <v/>
      </c>
      <c r="X50" s="50" t="str">
        <f>IF($AB50="","",IF($AD50,X$3,INDEX('ORDER Form'!$S$1:$S$355,$AB50))&amp;"")</f>
        <v/>
      </c>
      <c r="Y50" s="50" t="str">
        <f>IF($AB50="","",IF($AD50,Y$3,INDEX('ORDER Form'!$T$1:$T$355,$AB50))&amp;"")</f>
        <v/>
      </c>
      <c r="Z50" s="50" t="str">
        <f>IF($AB50="","",IF($AD50,Z$3,INDEX('ORDER Form'!$U$1:$U$355,$AB50))&amp;"")</f>
        <v/>
      </c>
      <c r="AB50" s="51" t="str">
        <f>IFERROR(MATCH(46,$AC$5:$AC$354,0)+5,"")</f>
        <v/>
      </c>
      <c r="AC50" s="51" t="str">
        <f>IF('ORDER Form'!$V51="OK",COUNTIF('ORDER Form'!$V$6:$V51,"OK"),"")</f>
        <v/>
      </c>
      <c r="AD50" s="51" t="str">
        <f>IF($AB50="","",(LEN(TRIM(INDEX('ORDER Form'!$O$1:$O$355,$AB50)))+LEN(TRIM(INDEX('ORDER Form'!$P$1:$P$355,$AB50)))+LEN(TRIM(INDEX('ORDER Form'!$Q$1:$Q$355,$AB50)))+LEN(TRIM(INDEX('ORDER Form'!$R$1:$R$355,$AB50)))+LEN(TRIM(INDEX('ORDER Form'!$S$1:$S$355,$AB50)))+LEN(TRIM(INDEX('ORDER Form'!$T$1:$T$355,$AB50)))+LEN(TRIM(INDEX('ORDER Form'!$U$1:$U$355,$AB50))))=0)</f>
        <v/>
      </c>
    </row>
    <row r="51" spans="1:30" ht="15" customHeight="1" x14ac:dyDescent="0.25">
      <c r="A51" s="50" t="str">
        <f>IF($AB51="","",IFERROR(IF(AND(INDEX('ORDER Form'!$N$1:$N$355,$AB51)="GB",LEFT(UPPER(TRIM(INDEX('ORDER Form'!$L$1:$L$355,$AB51))),2)="BT"),INDEX('ORDER Form'!$AC$1:$AC$355,$AB51),IFERROR(VLOOKUP(INDEX('ORDER Form'!$AC$1:$AC$355,$AB51)&amp;"|"&amp;INDEX('PRODUCT DATA'!$A$2:$A$58,MATCH(INDEX('ORDER Form'!$N$1:$N$355,$AB51),'PRODUCT DATA'!$B$2:$B$58,0)),'PRODUCT DATA'!$NO$2:$NP$25,2,FALSE()),INDEX('ORDER Form'!$AC$1:$AC$355,$AB51)))&amp;"",""))</f>
        <v/>
      </c>
      <c r="B51" s="49"/>
      <c r="C51" s="51" t="str">
        <f>IF($AB51="","",INDEX('ORDER Form'!$C$1:$C$355,$AB51))</f>
        <v/>
      </c>
      <c r="D51" s="49"/>
      <c r="E51" s="49"/>
      <c r="F51" s="49"/>
      <c r="G51" s="49"/>
      <c r="H51" s="49"/>
      <c r="I51" s="49"/>
      <c r="J51" s="50" t="str">
        <f>IF($AB51="","",INDEX('ORDER Form'!$D$1:$D$355,$AB51)&amp;"")</f>
        <v/>
      </c>
      <c r="K51" s="50" t="str">
        <f>IF($AB51="","",INDEX('ORDER Form'!$E$1:$E$355,$AB51)&amp;"")</f>
        <v/>
      </c>
      <c r="L51" s="50" t="str">
        <f>IF($AB51="","",INDEX('ORDER Form'!$F$1:$F$355,$AB51)&amp;"")</f>
        <v/>
      </c>
      <c r="M51" s="50" t="str">
        <f>IF($AB51="","",INDEX('ORDER Form'!$G$1:$G$355,$AB51)&amp;"")</f>
        <v/>
      </c>
      <c r="N51" s="50" t="str">
        <f>IF($AB51="","",INDEX('ORDER Form'!$H$1:$H$355,$AB51)&amp;"")</f>
        <v/>
      </c>
      <c r="O51" s="50" t="str">
        <f>IF($AB51="","",INDEX('ORDER Form'!$I$1:$I$355,$AB51)&amp;"")</f>
        <v/>
      </c>
      <c r="P51" s="50" t="str">
        <f>IF($AB51="","",INDEX('ORDER Form'!$J$1:$J$355,$AB51)&amp;"")</f>
        <v/>
      </c>
      <c r="Q51" s="50" t="str">
        <f>IF($AB51="","",INDEX('ORDER Form'!$AB$1:$AB$355,$AB51)&amp;"")</f>
        <v/>
      </c>
      <c r="R51" s="50" t="str">
        <f>IF($AB51="","",INDEX('ORDER Form'!$L$1:$L$355,$AB51)&amp;"")</f>
        <v/>
      </c>
      <c r="S51" s="50" t="str">
        <f>IF($AB51="","",INDEX('ORDER Form'!$N$1:$N$355,$AB51)&amp;"")</f>
        <v/>
      </c>
      <c r="T51" s="50" t="str">
        <f>IF($AB51="","",IF($AD51,T$3,INDEX('ORDER Form'!$O$1:$O$355,$AB51))&amp;"")</f>
        <v/>
      </c>
      <c r="U51" s="50" t="str">
        <f>IF($AB51="","",IF($AD51,U$3,INDEX('ORDER Form'!$P$1:$P$355,$AB51))&amp;"")</f>
        <v/>
      </c>
      <c r="V51" s="50" t="str">
        <f>IF($AB51="","",IF($AD51,V$3,INDEX('ORDER Form'!$Q$1:$Q$355,$AB51))&amp;"")</f>
        <v/>
      </c>
      <c r="W51" s="50" t="str">
        <f>IF($AB51="","",IF($AD51,W$3,INDEX('ORDER Form'!$R$1:$R$355,$AB51))&amp;"")</f>
        <v/>
      </c>
      <c r="X51" s="50" t="str">
        <f>IF($AB51="","",IF($AD51,X$3,INDEX('ORDER Form'!$S$1:$S$355,$AB51))&amp;"")</f>
        <v/>
      </c>
      <c r="Y51" s="50" t="str">
        <f>IF($AB51="","",IF($AD51,Y$3,INDEX('ORDER Form'!$T$1:$T$355,$AB51))&amp;"")</f>
        <v/>
      </c>
      <c r="Z51" s="50" t="str">
        <f>IF($AB51="","",IF($AD51,Z$3,INDEX('ORDER Form'!$U$1:$U$355,$AB51))&amp;"")</f>
        <v/>
      </c>
      <c r="AB51" s="51" t="str">
        <f>IFERROR(MATCH(47,$AC$5:$AC$354,0)+5,"")</f>
        <v/>
      </c>
      <c r="AC51" s="51" t="str">
        <f>IF('ORDER Form'!$V52="OK",COUNTIF('ORDER Form'!$V$6:$V52,"OK"),"")</f>
        <v/>
      </c>
      <c r="AD51" s="51" t="str">
        <f>IF($AB51="","",(LEN(TRIM(INDEX('ORDER Form'!$O$1:$O$355,$AB51)))+LEN(TRIM(INDEX('ORDER Form'!$P$1:$P$355,$AB51)))+LEN(TRIM(INDEX('ORDER Form'!$Q$1:$Q$355,$AB51)))+LEN(TRIM(INDEX('ORDER Form'!$R$1:$R$355,$AB51)))+LEN(TRIM(INDEX('ORDER Form'!$S$1:$S$355,$AB51)))+LEN(TRIM(INDEX('ORDER Form'!$T$1:$T$355,$AB51)))+LEN(TRIM(INDEX('ORDER Form'!$U$1:$U$355,$AB51))))=0)</f>
        <v/>
      </c>
    </row>
    <row r="52" spans="1:30" ht="15" customHeight="1" x14ac:dyDescent="0.25">
      <c r="A52" s="50" t="str">
        <f>IF($AB52="","",IFERROR(IF(AND(INDEX('ORDER Form'!$N$1:$N$355,$AB52)="GB",LEFT(UPPER(TRIM(INDEX('ORDER Form'!$L$1:$L$355,$AB52))),2)="BT"),INDEX('ORDER Form'!$AC$1:$AC$355,$AB52),IFERROR(VLOOKUP(INDEX('ORDER Form'!$AC$1:$AC$355,$AB52)&amp;"|"&amp;INDEX('PRODUCT DATA'!$A$2:$A$58,MATCH(INDEX('ORDER Form'!$N$1:$N$355,$AB52),'PRODUCT DATA'!$B$2:$B$58,0)),'PRODUCT DATA'!$NO$2:$NP$25,2,FALSE()),INDEX('ORDER Form'!$AC$1:$AC$355,$AB52)))&amp;"",""))</f>
        <v/>
      </c>
      <c r="B52" s="49"/>
      <c r="C52" s="51" t="str">
        <f>IF($AB52="","",INDEX('ORDER Form'!$C$1:$C$355,$AB52))</f>
        <v/>
      </c>
      <c r="D52" s="49"/>
      <c r="E52" s="49"/>
      <c r="F52" s="49"/>
      <c r="G52" s="49"/>
      <c r="H52" s="49"/>
      <c r="I52" s="49"/>
      <c r="J52" s="50" t="str">
        <f>IF($AB52="","",INDEX('ORDER Form'!$D$1:$D$355,$AB52)&amp;"")</f>
        <v/>
      </c>
      <c r="K52" s="50" t="str">
        <f>IF($AB52="","",INDEX('ORDER Form'!$E$1:$E$355,$AB52)&amp;"")</f>
        <v/>
      </c>
      <c r="L52" s="50" t="str">
        <f>IF($AB52="","",INDEX('ORDER Form'!$F$1:$F$355,$AB52)&amp;"")</f>
        <v/>
      </c>
      <c r="M52" s="50" t="str">
        <f>IF($AB52="","",INDEX('ORDER Form'!$G$1:$G$355,$AB52)&amp;"")</f>
        <v/>
      </c>
      <c r="N52" s="50" t="str">
        <f>IF($AB52="","",INDEX('ORDER Form'!$H$1:$H$355,$AB52)&amp;"")</f>
        <v/>
      </c>
      <c r="O52" s="50" t="str">
        <f>IF($AB52="","",INDEX('ORDER Form'!$I$1:$I$355,$AB52)&amp;"")</f>
        <v/>
      </c>
      <c r="P52" s="50" t="str">
        <f>IF($AB52="","",INDEX('ORDER Form'!$J$1:$J$355,$AB52)&amp;"")</f>
        <v/>
      </c>
      <c r="Q52" s="50" t="str">
        <f>IF($AB52="","",INDEX('ORDER Form'!$AB$1:$AB$355,$AB52)&amp;"")</f>
        <v/>
      </c>
      <c r="R52" s="50" t="str">
        <f>IF($AB52="","",INDEX('ORDER Form'!$L$1:$L$355,$AB52)&amp;"")</f>
        <v/>
      </c>
      <c r="S52" s="50" t="str">
        <f>IF($AB52="","",INDEX('ORDER Form'!$N$1:$N$355,$AB52)&amp;"")</f>
        <v/>
      </c>
      <c r="T52" s="50" t="str">
        <f>IF($AB52="","",IF($AD52,T$3,INDEX('ORDER Form'!$O$1:$O$355,$AB52))&amp;"")</f>
        <v/>
      </c>
      <c r="U52" s="50" t="str">
        <f>IF($AB52="","",IF($AD52,U$3,INDEX('ORDER Form'!$P$1:$P$355,$AB52))&amp;"")</f>
        <v/>
      </c>
      <c r="V52" s="50" t="str">
        <f>IF($AB52="","",IF($AD52,V$3,INDEX('ORDER Form'!$Q$1:$Q$355,$AB52))&amp;"")</f>
        <v/>
      </c>
      <c r="W52" s="50" t="str">
        <f>IF($AB52="","",IF($AD52,W$3,INDEX('ORDER Form'!$R$1:$R$355,$AB52))&amp;"")</f>
        <v/>
      </c>
      <c r="X52" s="50" t="str">
        <f>IF($AB52="","",IF($AD52,X$3,INDEX('ORDER Form'!$S$1:$S$355,$AB52))&amp;"")</f>
        <v/>
      </c>
      <c r="Y52" s="50" t="str">
        <f>IF($AB52="","",IF($AD52,Y$3,INDEX('ORDER Form'!$T$1:$T$355,$AB52))&amp;"")</f>
        <v/>
      </c>
      <c r="Z52" s="50" t="str">
        <f>IF($AB52="","",IF($AD52,Z$3,INDEX('ORDER Form'!$U$1:$U$355,$AB52))&amp;"")</f>
        <v/>
      </c>
      <c r="AB52" s="51" t="str">
        <f>IFERROR(MATCH(48,$AC$5:$AC$354,0)+5,"")</f>
        <v/>
      </c>
      <c r="AC52" s="51" t="str">
        <f>IF('ORDER Form'!$V53="OK",COUNTIF('ORDER Form'!$V$6:$V53,"OK"),"")</f>
        <v/>
      </c>
      <c r="AD52" s="51" t="str">
        <f>IF($AB52="","",(LEN(TRIM(INDEX('ORDER Form'!$O$1:$O$355,$AB52)))+LEN(TRIM(INDEX('ORDER Form'!$P$1:$P$355,$AB52)))+LEN(TRIM(INDEX('ORDER Form'!$Q$1:$Q$355,$AB52)))+LEN(TRIM(INDEX('ORDER Form'!$R$1:$R$355,$AB52)))+LEN(TRIM(INDEX('ORDER Form'!$S$1:$S$355,$AB52)))+LEN(TRIM(INDEX('ORDER Form'!$T$1:$T$355,$AB52)))+LEN(TRIM(INDEX('ORDER Form'!$U$1:$U$355,$AB52))))=0)</f>
        <v/>
      </c>
    </row>
    <row r="53" spans="1:30" ht="15" customHeight="1" x14ac:dyDescent="0.25">
      <c r="A53" s="50" t="str">
        <f>IF($AB53="","",IFERROR(IF(AND(INDEX('ORDER Form'!$N$1:$N$355,$AB53)="GB",LEFT(UPPER(TRIM(INDEX('ORDER Form'!$L$1:$L$355,$AB53))),2)="BT"),INDEX('ORDER Form'!$AC$1:$AC$355,$AB53),IFERROR(VLOOKUP(INDEX('ORDER Form'!$AC$1:$AC$355,$AB53)&amp;"|"&amp;INDEX('PRODUCT DATA'!$A$2:$A$58,MATCH(INDEX('ORDER Form'!$N$1:$N$355,$AB53),'PRODUCT DATA'!$B$2:$B$58,0)),'PRODUCT DATA'!$NO$2:$NP$25,2,FALSE()),INDEX('ORDER Form'!$AC$1:$AC$355,$AB53)))&amp;"",""))</f>
        <v/>
      </c>
      <c r="B53" s="49"/>
      <c r="C53" s="51" t="str">
        <f>IF($AB53="","",INDEX('ORDER Form'!$C$1:$C$355,$AB53))</f>
        <v/>
      </c>
      <c r="D53" s="49"/>
      <c r="E53" s="49"/>
      <c r="F53" s="49"/>
      <c r="G53" s="49"/>
      <c r="H53" s="49"/>
      <c r="I53" s="49"/>
      <c r="J53" s="50" t="str">
        <f>IF($AB53="","",INDEX('ORDER Form'!$D$1:$D$355,$AB53)&amp;"")</f>
        <v/>
      </c>
      <c r="K53" s="50" t="str">
        <f>IF($AB53="","",INDEX('ORDER Form'!$E$1:$E$355,$AB53)&amp;"")</f>
        <v/>
      </c>
      <c r="L53" s="50" t="str">
        <f>IF($AB53="","",INDEX('ORDER Form'!$F$1:$F$355,$AB53)&amp;"")</f>
        <v/>
      </c>
      <c r="M53" s="50" t="str">
        <f>IF($AB53="","",INDEX('ORDER Form'!$G$1:$G$355,$AB53)&amp;"")</f>
        <v/>
      </c>
      <c r="N53" s="50" t="str">
        <f>IF($AB53="","",INDEX('ORDER Form'!$H$1:$H$355,$AB53)&amp;"")</f>
        <v/>
      </c>
      <c r="O53" s="50" t="str">
        <f>IF($AB53="","",INDEX('ORDER Form'!$I$1:$I$355,$AB53)&amp;"")</f>
        <v/>
      </c>
      <c r="P53" s="50" t="str">
        <f>IF($AB53="","",INDEX('ORDER Form'!$J$1:$J$355,$AB53)&amp;"")</f>
        <v/>
      </c>
      <c r="Q53" s="50" t="str">
        <f>IF($AB53="","",INDEX('ORDER Form'!$AB$1:$AB$355,$AB53)&amp;"")</f>
        <v/>
      </c>
      <c r="R53" s="50" t="str">
        <f>IF($AB53="","",INDEX('ORDER Form'!$L$1:$L$355,$AB53)&amp;"")</f>
        <v/>
      </c>
      <c r="S53" s="50" t="str">
        <f>IF($AB53="","",INDEX('ORDER Form'!$N$1:$N$355,$AB53)&amp;"")</f>
        <v/>
      </c>
      <c r="T53" s="50" t="str">
        <f>IF($AB53="","",IF($AD53,T$3,INDEX('ORDER Form'!$O$1:$O$355,$AB53))&amp;"")</f>
        <v/>
      </c>
      <c r="U53" s="50" t="str">
        <f>IF($AB53="","",IF($AD53,U$3,INDEX('ORDER Form'!$P$1:$P$355,$AB53))&amp;"")</f>
        <v/>
      </c>
      <c r="V53" s="50" t="str">
        <f>IF($AB53="","",IF($AD53,V$3,INDEX('ORDER Form'!$Q$1:$Q$355,$AB53))&amp;"")</f>
        <v/>
      </c>
      <c r="W53" s="50" t="str">
        <f>IF($AB53="","",IF($AD53,W$3,INDEX('ORDER Form'!$R$1:$R$355,$AB53))&amp;"")</f>
        <v/>
      </c>
      <c r="X53" s="50" t="str">
        <f>IF($AB53="","",IF($AD53,X$3,INDEX('ORDER Form'!$S$1:$S$355,$AB53))&amp;"")</f>
        <v/>
      </c>
      <c r="Y53" s="50" t="str">
        <f>IF($AB53="","",IF($AD53,Y$3,INDEX('ORDER Form'!$T$1:$T$355,$AB53))&amp;"")</f>
        <v/>
      </c>
      <c r="Z53" s="50" t="str">
        <f>IF($AB53="","",IF($AD53,Z$3,INDEX('ORDER Form'!$U$1:$U$355,$AB53))&amp;"")</f>
        <v/>
      </c>
      <c r="AB53" s="51" t="str">
        <f>IFERROR(MATCH(49,$AC$5:$AC$354,0)+5,"")</f>
        <v/>
      </c>
      <c r="AC53" s="51" t="str">
        <f>IF('ORDER Form'!$V54="OK",COUNTIF('ORDER Form'!$V$6:$V54,"OK"),"")</f>
        <v/>
      </c>
      <c r="AD53" s="51" t="str">
        <f>IF($AB53="","",(LEN(TRIM(INDEX('ORDER Form'!$O$1:$O$355,$AB53)))+LEN(TRIM(INDEX('ORDER Form'!$P$1:$P$355,$AB53)))+LEN(TRIM(INDEX('ORDER Form'!$Q$1:$Q$355,$AB53)))+LEN(TRIM(INDEX('ORDER Form'!$R$1:$R$355,$AB53)))+LEN(TRIM(INDEX('ORDER Form'!$S$1:$S$355,$AB53)))+LEN(TRIM(INDEX('ORDER Form'!$T$1:$T$355,$AB53)))+LEN(TRIM(INDEX('ORDER Form'!$U$1:$U$355,$AB53))))=0)</f>
        <v/>
      </c>
    </row>
    <row r="54" spans="1:30" ht="15" customHeight="1" x14ac:dyDescent="0.25">
      <c r="A54" s="50" t="str">
        <f>IF($AB54="","",IFERROR(IF(AND(INDEX('ORDER Form'!$N$1:$N$355,$AB54)="GB",LEFT(UPPER(TRIM(INDEX('ORDER Form'!$L$1:$L$355,$AB54))),2)="BT"),INDEX('ORDER Form'!$AC$1:$AC$355,$AB54),IFERROR(VLOOKUP(INDEX('ORDER Form'!$AC$1:$AC$355,$AB54)&amp;"|"&amp;INDEX('PRODUCT DATA'!$A$2:$A$58,MATCH(INDEX('ORDER Form'!$N$1:$N$355,$AB54),'PRODUCT DATA'!$B$2:$B$58,0)),'PRODUCT DATA'!$NO$2:$NP$25,2,FALSE()),INDEX('ORDER Form'!$AC$1:$AC$355,$AB54)))&amp;"",""))</f>
        <v/>
      </c>
      <c r="B54" s="49"/>
      <c r="C54" s="51" t="str">
        <f>IF($AB54="","",INDEX('ORDER Form'!$C$1:$C$355,$AB54))</f>
        <v/>
      </c>
      <c r="D54" s="49"/>
      <c r="E54" s="49"/>
      <c r="F54" s="49"/>
      <c r="G54" s="49"/>
      <c r="H54" s="49"/>
      <c r="I54" s="49"/>
      <c r="J54" s="50" t="str">
        <f>IF($AB54="","",INDEX('ORDER Form'!$D$1:$D$355,$AB54)&amp;"")</f>
        <v/>
      </c>
      <c r="K54" s="50" t="str">
        <f>IF($AB54="","",INDEX('ORDER Form'!$E$1:$E$355,$AB54)&amp;"")</f>
        <v/>
      </c>
      <c r="L54" s="50" t="str">
        <f>IF($AB54="","",INDEX('ORDER Form'!$F$1:$F$355,$AB54)&amp;"")</f>
        <v/>
      </c>
      <c r="M54" s="50" t="str">
        <f>IF($AB54="","",INDEX('ORDER Form'!$G$1:$G$355,$AB54)&amp;"")</f>
        <v/>
      </c>
      <c r="N54" s="50" t="str">
        <f>IF($AB54="","",INDEX('ORDER Form'!$H$1:$H$355,$AB54)&amp;"")</f>
        <v/>
      </c>
      <c r="O54" s="50" t="str">
        <f>IF($AB54="","",INDEX('ORDER Form'!$I$1:$I$355,$AB54)&amp;"")</f>
        <v/>
      </c>
      <c r="P54" s="50" t="str">
        <f>IF($AB54="","",INDEX('ORDER Form'!$J$1:$J$355,$AB54)&amp;"")</f>
        <v/>
      </c>
      <c r="Q54" s="50" t="str">
        <f>IF($AB54="","",INDEX('ORDER Form'!$AB$1:$AB$355,$AB54)&amp;"")</f>
        <v/>
      </c>
      <c r="R54" s="50" t="str">
        <f>IF($AB54="","",INDEX('ORDER Form'!$L$1:$L$355,$AB54)&amp;"")</f>
        <v/>
      </c>
      <c r="S54" s="50" t="str">
        <f>IF($AB54="","",INDEX('ORDER Form'!$N$1:$N$355,$AB54)&amp;"")</f>
        <v/>
      </c>
      <c r="T54" s="50" t="str">
        <f>IF($AB54="","",IF($AD54,T$3,INDEX('ORDER Form'!$O$1:$O$355,$AB54))&amp;"")</f>
        <v/>
      </c>
      <c r="U54" s="50" t="str">
        <f>IF($AB54="","",IF($AD54,U$3,INDEX('ORDER Form'!$P$1:$P$355,$AB54))&amp;"")</f>
        <v/>
      </c>
      <c r="V54" s="50" t="str">
        <f>IF($AB54="","",IF($AD54,V$3,INDEX('ORDER Form'!$Q$1:$Q$355,$AB54))&amp;"")</f>
        <v/>
      </c>
      <c r="W54" s="50" t="str">
        <f>IF($AB54="","",IF($AD54,W$3,INDEX('ORDER Form'!$R$1:$R$355,$AB54))&amp;"")</f>
        <v/>
      </c>
      <c r="X54" s="50" t="str">
        <f>IF($AB54="","",IF($AD54,X$3,INDEX('ORDER Form'!$S$1:$S$355,$AB54))&amp;"")</f>
        <v/>
      </c>
      <c r="Y54" s="50" t="str">
        <f>IF($AB54="","",IF($AD54,Y$3,INDEX('ORDER Form'!$T$1:$T$355,$AB54))&amp;"")</f>
        <v/>
      </c>
      <c r="Z54" s="50" t="str">
        <f>IF($AB54="","",IF($AD54,Z$3,INDEX('ORDER Form'!$U$1:$U$355,$AB54))&amp;"")</f>
        <v/>
      </c>
      <c r="AB54" s="51" t="str">
        <f>IFERROR(MATCH(50,$AC$5:$AC$354,0)+5,"")</f>
        <v/>
      </c>
      <c r="AC54" s="51" t="str">
        <f>IF('ORDER Form'!$V55="OK",COUNTIF('ORDER Form'!$V$6:$V55,"OK"),"")</f>
        <v/>
      </c>
      <c r="AD54" s="51" t="str">
        <f>IF($AB54="","",(LEN(TRIM(INDEX('ORDER Form'!$O$1:$O$355,$AB54)))+LEN(TRIM(INDEX('ORDER Form'!$P$1:$P$355,$AB54)))+LEN(TRIM(INDEX('ORDER Form'!$Q$1:$Q$355,$AB54)))+LEN(TRIM(INDEX('ORDER Form'!$R$1:$R$355,$AB54)))+LEN(TRIM(INDEX('ORDER Form'!$S$1:$S$355,$AB54)))+LEN(TRIM(INDEX('ORDER Form'!$T$1:$T$355,$AB54)))+LEN(TRIM(INDEX('ORDER Form'!$U$1:$U$355,$AB54))))=0)</f>
        <v/>
      </c>
    </row>
    <row r="55" spans="1:30" ht="15" customHeight="1" x14ac:dyDescent="0.25">
      <c r="A55" s="50" t="str">
        <f>IF($AB55="","",IFERROR(IF(AND(INDEX('ORDER Form'!$N$1:$N$355,$AB55)="GB",LEFT(UPPER(TRIM(INDEX('ORDER Form'!$L$1:$L$355,$AB55))),2)="BT"),INDEX('ORDER Form'!$AC$1:$AC$355,$AB55),IFERROR(VLOOKUP(INDEX('ORDER Form'!$AC$1:$AC$355,$AB55)&amp;"|"&amp;INDEX('PRODUCT DATA'!$A$2:$A$58,MATCH(INDEX('ORDER Form'!$N$1:$N$355,$AB55),'PRODUCT DATA'!$B$2:$B$58,0)),'PRODUCT DATA'!$NO$2:$NP$25,2,FALSE()),INDEX('ORDER Form'!$AC$1:$AC$355,$AB55)))&amp;"",""))</f>
        <v/>
      </c>
      <c r="B55" s="49"/>
      <c r="C55" s="51" t="str">
        <f>IF($AB55="","",INDEX('ORDER Form'!$C$1:$C$355,$AB55))</f>
        <v/>
      </c>
      <c r="D55" s="49"/>
      <c r="E55" s="49"/>
      <c r="F55" s="49"/>
      <c r="G55" s="49"/>
      <c r="H55" s="49"/>
      <c r="I55" s="49"/>
      <c r="J55" s="50" t="str">
        <f>IF($AB55="","",INDEX('ORDER Form'!$D$1:$D$355,$AB55)&amp;"")</f>
        <v/>
      </c>
      <c r="K55" s="50" t="str">
        <f>IF($AB55="","",INDEX('ORDER Form'!$E$1:$E$355,$AB55)&amp;"")</f>
        <v/>
      </c>
      <c r="L55" s="50" t="str">
        <f>IF($AB55="","",INDEX('ORDER Form'!$F$1:$F$355,$AB55)&amp;"")</f>
        <v/>
      </c>
      <c r="M55" s="50" t="str">
        <f>IF($AB55="","",INDEX('ORDER Form'!$G$1:$G$355,$AB55)&amp;"")</f>
        <v/>
      </c>
      <c r="N55" s="50" t="str">
        <f>IF($AB55="","",INDEX('ORDER Form'!$H$1:$H$355,$AB55)&amp;"")</f>
        <v/>
      </c>
      <c r="O55" s="50" t="str">
        <f>IF($AB55="","",INDEX('ORDER Form'!$I$1:$I$355,$AB55)&amp;"")</f>
        <v/>
      </c>
      <c r="P55" s="50" t="str">
        <f>IF($AB55="","",INDEX('ORDER Form'!$J$1:$J$355,$AB55)&amp;"")</f>
        <v/>
      </c>
      <c r="Q55" s="50" t="str">
        <f>IF($AB55="","",INDEX('ORDER Form'!$AB$1:$AB$355,$AB55)&amp;"")</f>
        <v/>
      </c>
      <c r="R55" s="50" t="str">
        <f>IF($AB55="","",INDEX('ORDER Form'!$L$1:$L$355,$AB55)&amp;"")</f>
        <v/>
      </c>
      <c r="S55" s="50" t="str">
        <f>IF($AB55="","",INDEX('ORDER Form'!$N$1:$N$355,$AB55)&amp;"")</f>
        <v/>
      </c>
      <c r="T55" s="50" t="str">
        <f>IF($AB55="","",IF($AD55,T$3,INDEX('ORDER Form'!$O$1:$O$355,$AB55))&amp;"")</f>
        <v/>
      </c>
      <c r="U55" s="50" t="str">
        <f>IF($AB55="","",IF($AD55,U$3,INDEX('ORDER Form'!$P$1:$P$355,$AB55))&amp;"")</f>
        <v/>
      </c>
      <c r="V55" s="50" t="str">
        <f>IF($AB55="","",IF($AD55,V$3,INDEX('ORDER Form'!$Q$1:$Q$355,$AB55))&amp;"")</f>
        <v/>
      </c>
      <c r="W55" s="50" t="str">
        <f>IF($AB55="","",IF($AD55,W$3,INDEX('ORDER Form'!$R$1:$R$355,$AB55))&amp;"")</f>
        <v/>
      </c>
      <c r="X55" s="50" t="str">
        <f>IF($AB55="","",IF($AD55,X$3,INDEX('ORDER Form'!$S$1:$S$355,$AB55))&amp;"")</f>
        <v/>
      </c>
      <c r="Y55" s="50" t="str">
        <f>IF($AB55="","",IF($AD55,Y$3,INDEX('ORDER Form'!$T$1:$T$355,$AB55))&amp;"")</f>
        <v/>
      </c>
      <c r="Z55" s="50" t="str">
        <f>IF($AB55="","",IF($AD55,Z$3,INDEX('ORDER Form'!$U$1:$U$355,$AB55))&amp;"")</f>
        <v/>
      </c>
      <c r="AB55" s="51" t="str">
        <f>IFERROR(MATCH(51,$AC$5:$AC$354,0)+5,"")</f>
        <v/>
      </c>
      <c r="AC55" s="51" t="str">
        <f>IF('ORDER Form'!$V56="OK",COUNTIF('ORDER Form'!$V$6:$V56,"OK"),"")</f>
        <v/>
      </c>
      <c r="AD55" s="51" t="str">
        <f>IF($AB55="","",(LEN(TRIM(INDEX('ORDER Form'!$O$1:$O$355,$AB55)))+LEN(TRIM(INDEX('ORDER Form'!$P$1:$P$355,$AB55)))+LEN(TRIM(INDEX('ORDER Form'!$Q$1:$Q$355,$AB55)))+LEN(TRIM(INDEX('ORDER Form'!$R$1:$R$355,$AB55)))+LEN(TRIM(INDEX('ORDER Form'!$S$1:$S$355,$AB55)))+LEN(TRIM(INDEX('ORDER Form'!$T$1:$T$355,$AB55)))+LEN(TRIM(INDEX('ORDER Form'!$U$1:$U$355,$AB55))))=0)</f>
        <v/>
      </c>
    </row>
    <row r="56" spans="1:30" ht="15" customHeight="1" x14ac:dyDescent="0.25">
      <c r="A56" s="50" t="str">
        <f>IF($AB56="","",IFERROR(IF(AND(INDEX('ORDER Form'!$N$1:$N$355,$AB56)="GB",LEFT(UPPER(TRIM(INDEX('ORDER Form'!$L$1:$L$355,$AB56))),2)="BT"),INDEX('ORDER Form'!$AC$1:$AC$355,$AB56),IFERROR(VLOOKUP(INDEX('ORDER Form'!$AC$1:$AC$355,$AB56)&amp;"|"&amp;INDEX('PRODUCT DATA'!$A$2:$A$58,MATCH(INDEX('ORDER Form'!$N$1:$N$355,$AB56),'PRODUCT DATA'!$B$2:$B$58,0)),'PRODUCT DATA'!$NO$2:$NP$25,2,FALSE()),INDEX('ORDER Form'!$AC$1:$AC$355,$AB56)))&amp;"",""))</f>
        <v/>
      </c>
      <c r="B56" s="49"/>
      <c r="C56" s="51" t="str">
        <f>IF($AB56="","",INDEX('ORDER Form'!$C$1:$C$355,$AB56))</f>
        <v/>
      </c>
      <c r="D56" s="49"/>
      <c r="E56" s="49"/>
      <c r="F56" s="49"/>
      <c r="G56" s="49"/>
      <c r="H56" s="49"/>
      <c r="I56" s="49"/>
      <c r="J56" s="50" t="str">
        <f>IF($AB56="","",INDEX('ORDER Form'!$D$1:$D$355,$AB56)&amp;"")</f>
        <v/>
      </c>
      <c r="K56" s="50" t="str">
        <f>IF($AB56="","",INDEX('ORDER Form'!$E$1:$E$355,$AB56)&amp;"")</f>
        <v/>
      </c>
      <c r="L56" s="50" t="str">
        <f>IF($AB56="","",INDEX('ORDER Form'!$F$1:$F$355,$AB56)&amp;"")</f>
        <v/>
      </c>
      <c r="M56" s="50" t="str">
        <f>IF($AB56="","",INDEX('ORDER Form'!$G$1:$G$355,$AB56)&amp;"")</f>
        <v/>
      </c>
      <c r="N56" s="50" t="str">
        <f>IF($AB56="","",INDEX('ORDER Form'!$H$1:$H$355,$AB56)&amp;"")</f>
        <v/>
      </c>
      <c r="O56" s="50" t="str">
        <f>IF($AB56="","",INDEX('ORDER Form'!$I$1:$I$355,$AB56)&amp;"")</f>
        <v/>
      </c>
      <c r="P56" s="50" t="str">
        <f>IF($AB56="","",INDEX('ORDER Form'!$J$1:$J$355,$AB56)&amp;"")</f>
        <v/>
      </c>
      <c r="Q56" s="50" t="str">
        <f>IF($AB56="","",INDEX('ORDER Form'!$AB$1:$AB$355,$AB56)&amp;"")</f>
        <v/>
      </c>
      <c r="R56" s="50" t="str">
        <f>IF($AB56="","",INDEX('ORDER Form'!$L$1:$L$355,$AB56)&amp;"")</f>
        <v/>
      </c>
      <c r="S56" s="50" t="str">
        <f>IF($AB56="","",INDEX('ORDER Form'!$N$1:$N$355,$AB56)&amp;"")</f>
        <v/>
      </c>
      <c r="T56" s="50" t="str">
        <f>IF($AB56="","",IF($AD56,T$3,INDEX('ORDER Form'!$O$1:$O$355,$AB56))&amp;"")</f>
        <v/>
      </c>
      <c r="U56" s="50" t="str">
        <f>IF($AB56="","",IF($AD56,U$3,INDEX('ORDER Form'!$P$1:$P$355,$AB56))&amp;"")</f>
        <v/>
      </c>
      <c r="V56" s="50" t="str">
        <f>IF($AB56="","",IF($AD56,V$3,INDEX('ORDER Form'!$Q$1:$Q$355,$AB56))&amp;"")</f>
        <v/>
      </c>
      <c r="W56" s="50" t="str">
        <f>IF($AB56="","",IF($AD56,W$3,INDEX('ORDER Form'!$R$1:$R$355,$AB56))&amp;"")</f>
        <v/>
      </c>
      <c r="X56" s="50" t="str">
        <f>IF($AB56="","",IF($AD56,X$3,INDEX('ORDER Form'!$S$1:$S$355,$AB56))&amp;"")</f>
        <v/>
      </c>
      <c r="Y56" s="50" t="str">
        <f>IF($AB56="","",IF($AD56,Y$3,INDEX('ORDER Form'!$T$1:$T$355,$AB56))&amp;"")</f>
        <v/>
      </c>
      <c r="Z56" s="50" t="str">
        <f>IF($AB56="","",IF($AD56,Z$3,INDEX('ORDER Form'!$U$1:$U$355,$AB56))&amp;"")</f>
        <v/>
      </c>
      <c r="AB56" s="51" t="str">
        <f>IFERROR(MATCH(52,$AC$5:$AC$354,0)+5,"")</f>
        <v/>
      </c>
      <c r="AC56" s="51" t="str">
        <f>IF('ORDER Form'!$V57="OK",COUNTIF('ORDER Form'!$V$6:$V57,"OK"),"")</f>
        <v/>
      </c>
      <c r="AD56" s="51" t="str">
        <f>IF($AB56="","",(LEN(TRIM(INDEX('ORDER Form'!$O$1:$O$355,$AB56)))+LEN(TRIM(INDEX('ORDER Form'!$P$1:$P$355,$AB56)))+LEN(TRIM(INDEX('ORDER Form'!$Q$1:$Q$355,$AB56)))+LEN(TRIM(INDEX('ORDER Form'!$R$1:$R$355,$AB56)))+LEN(TRIM(INDEX('ORDER Form'!$S$1:$S$355,$AB56)))+LEN(TRIM(INDEX('ORDER Form'!$T$1:$T$355,$AB56)))+LEN(TRIM(INDEX('ORDER Form'!$U$1:$U$355,$AB56))))=0)</f>
        <v/>
      </c>
    </row>
    <row r="57" spans="1:30" ht="15" customHeight="1" x14ac:dyDescent="0.25">
      <c r="A57" s="50" t="str">
        <f>IF($AB57="","",IFERROR(IF(AND(INDEX('ORDER Form'!$N$1:$N$355,$AB57)="GB",LEFT(UPPER(TRIM(INDEX('ORDER Form'!$L$1:$L$355,$AB57))),2)="BT"),INDEX('ORDER Form'!$AC$1:$AC$355,$AB57),IFERROR(VLOOKUP(INDEX('ORDER Form'!$AC$1:$AC$355,$AB57)&amp;"|"&amp;INDEX('PRODUCT DATA'!$A$2:$A$58,MATCH(INDEX('ORDER Form'!$N$1:$N$355,$AB57),'PRODUCT DATA'!$B$2:$B$58,0)),'PRODUCT DATA'!$NO$2:$NP$25,2,FALSE()),INDEX('ORDER Form'!$AC$1:$AC$355,$AB57)))&amp;"",""))</f>
        <v/>
      </c>
      <c r="B57" s="49"/>
      <c r="C57" s="51" t="str">
        <f>IF($AB57="","",INDEX('ORDER Form'!$C$1:$C$355,$AB57))</f>
        <v/>
      </c>
      <c r="D57" s="49"/>
      <c r="E57" s="49"/>
      <c r="F57" s="49"/>
      <c r="G57" s="49"/>
      <c r="H57" s="49"/>
      <c r="I57" s="49"/>
      <c r="J57" s="50" t="str">
        <f>IF($AB57="","",INDEX('ORDER Form'!$D$1:$D$355,$AB57)&amp;"")</f>
        <v/>
      </c>
      <c r="K57" s="50" t="str">
        <f>IF($AB57="","",INDEX('ORDER Form'!$E$1:$E$355,$AB57)&amp;"")</f>
        <v/>
      </c>
      <c r="L57" s="50" t="str">
        <f>IF($AB57="","",INDEX('ORDER Form'!$F$1:$F$355,$AB57)&amp;"")</f>
        <v/>
      </c>
      <c r="M57" s="50" t="str">
        <f>IF($AB57="","",INDEX('ORDER Form'!$G$1:$G$355,$AB57)&amp;"")</f>
        <v/>
      </c>
      <c r="N57" s="50" t="str">
        <f>IF($AB57="","",INDEX('ORDER Form'!$H$1:$H$355,$AB57)&amp;"")</f>
        <v/>
      </c>
      <c r="O57" s="50" t="str">
        <f>IF($AB57="","",INDEX('ORDER Form'!$I$1:$I$355,$AB57)&amp;"")</f>
        <v/>
      </c>
      <c r="P57" s="50" t="str">
        <f>IF($AB57="","",INDEX('ORDER Form'!$J$1:$J$355,$AB57)&amp;"")</f>
        <v/>
      </c>
      <c r="Q57" s="50" t="str">
        <f>IF($AB57="","",INDEX('ORDER Form'!$AB$1:$AB$355,$AB57)&amp;"")</f>
        <v/>
      </c>
      <c r="R57" s="50" t="str">
        <f>IF($AB57="","",INDEX('ORDER Form'!$L$1:$L$355,$AB57)&amp;"")</f>
        <v/>
      </c>
      <c r="S57" s="50" t="str">
        <f>IF($AB57="","",INDEX('ORDER Form'!$N$1:$N$355,$AB57)&amp;"")</f>
        <v/>
      </c>
      <c r="T57" s="50" t="str">
        <f>IF($AB57="","",IF($AD57,T$3,INDEX('ORDER Form'!$O$1:$O$355,$AB57))&amp;"")</f>
        <v/>
      </c>
      <c r="U57" s="50" t="str">
        <f>IF($AB57="","",IF($AD57,U$3,INDEX('ORDER Form'!$P$1:$P$355,$AB57))&amp;"")</f>
        <v/>
      </c>
      <c r="V57" s="50" t="str">
        <f>IF($AB57="","",IF($AD57,V$3,INDEX('ORDER Form'!$Q$1:$Q$355,$AB57))&amp;"")</f>
        <v/>
      </c>
      <c r="W57" s="50" t="str">
        <f>IF($AB57="","",IF($AD57,W$3,INDEX('ORDER Form'!$R$1:$R$355,$AB57))&amp;"")</f>
        <v/>
      </c>
      <c r="X57" s="50" t="str">
        <f>IF($AB57="","",IF($AD57,X$3,INDEX('ORDER Form'!$S$1:$S$355,$AB57))&amp;"")</f>
        <v/>
      </c>
      <c r="Y57" s="50" t="str">
        <f>IF($AB57="","",IF($AD57,Y$3,INDEX('ORDER Form'!$T$1:$T$355,$AB57))&amp;"")</f>
        <v/>
      </c>
      <c r="Z57" s="50" t="str">
        <f>IF($AB57="","",IF($AD57,Z$3,INDEX('ORDER Form'!$U$1:$U$355,$AB57))&amp;"")</f>
        <v/>
      </c>
      <c r="AB57" s="51" t="str">
        <f>IFERROR(MATCH(53,$AC$5:$AC$354,0)+5,"")</f>
        <v/>
      </c>
      <c r="AC57" s="51" t="str">
        <f>IF('ORDER Form'!$V58="OK",COUNTIF('ORDER Form'!$V$6:$V58,"OK"),"")</f>
        <v/>
      </c>
      <c r="AD57" s="51" t="str">
        <f>IF($AB57="","",(LEN(TRIM(INDEX('ORDER Form'!$O$1:$O$355,$AB57)))+LEN(TRIM(INDEX('ORDER Form'!$P$1:$P$355,$AB57)))+LEN(TRIM(INDEX('ORDER Form'!$Q$1:$Q$355,$AB57)))+LEN(TRIM(INDEX('ORDER Form'!$R$1:$R$355,$AB57)))+LEN(TRIM(INDEX('ORDER Form'!$S$1:$S$355,$AB57)))+LEN(TRIM(INDEX('ORDER Form'!$T$1:$T$355,$AB57)))+LEN(TRIM(INDEX('ORDER Form'!$U$1:$U$355,$AB57))))=0)</f>
        <v/>
      </c>
    </row>
    <row r="58" spans="1:30" ht="15" customHeight="1" x14ac:dyDescent="0.25">
      <c r="A58" s="50" t="str">
        <f>IF($AB58="","",IFERROR(IF(AND(INDEX('ORDER Form'!$N$1:$N$355,$AB58)="GB",LEFT(UPPER(TRIM(INDEX('ORDER Form'!$L$1:$L$355,$AB58))),2)="BT"),INDEX('ORDER Form'!$AC$1:$AC$355,$AB58),IFERROR(VLOOKUP(INDEX('ORDER Form'!$AC$1:$AC$355,$AB58)&amp;"|"&amp;INDEX('PRODUCT DATA'!$A$2:$A$58,MATCH(INDEX('ORDER Form'!$N$1:$N$355,$AB58),'PRODUCT DATA'!$B$2:$B$58,0)),'PRODUCT DATA'!$NO$2:$NP$25,2,FALSE()),INDEX('ORDER Form'!$AC$1:$AC$355,$AB58)))&amp;"",""))</f>
        <v/>
      </c>
      <c r="B58" s="49"/>
      <c r="C58" s="51" t="str">
        <f>IF($AB58="","",INDEX('ORDER Form'!$C$1:$C$355,$AB58))</f>
        <v/>
      </c>
      <c r="D58" s="49"/>
      <c r="E58" s="49"/>
      <c r="F58" s="49"/>
      <c r="G58" s="49"/>
      <c r="H58" s="49"/>
      <c r="I58" s="49"/>
      <c r="J58" s="50" t="str">
        <f>IF($AB58="","",INDEX('ORDER Form'!$D$1:$D$355,$AB58)&amp;"")</f>
        <v/>
      </c>
      <c r="K58" s="50" t="str">
        <f>IF($AB58="","",INDEX('ORDER Form'!$E$1:$E$355,$AB58)&amp;"")</f>
        <v/>
      </c>
      <c r="L58" s="50" t="str">
        <f>IF($AB58="","",INDEX('ORDER Form'!$F$1:$F$355,$AB58)&amp;"")</f>
        <v/>
      </c>
      <c r="M58" s="50" t="str">
        <f>IF($AB58="","",INDEX('ORDER Form'!$G$1:$G$355,$AB58)&amp;"")</f>
        <v/>
      </c>
      <c r="N58" s="50" t="str">
        <f>IF($AB58="","",INDEX('ORDER Form'!$H$1:$H$355,$AB58)&amp;"")</f>
        <v/>
      </c>
      <c r="O58" s="50" t="str">
        <f>IF($AB58="","",INDEX('ORDER Form'!$I$1:$I$355,$AB58)&amp;"")</f>
        <v/>
      </c>
      <c r="P58" s="50" t="str">
        <f>IF($AB58="","",INDEX('ORDER Form'!$J$1:$J$355,$AB58)&amp;"")</f>
        <v/>
      </c>
      <c r="Q58" s="50" t="str">
        <f>IF($AB58="","",INDEX('ORDER Form'!$AB$1:$AB$355,$AB58)&amp;"")</f>
        <v/>
      </c>
      <c r="R58" s="50" t="str">
        <f>IF($AB58="","",INDEX('ORDER Form'!$L$1:$L$355,$AB58)&amp;"")</f>
        <v/>
      </c>
      <c r="S58" s="50" t="str">
        <f>IF($AB58="","",INDEX('ORDER Form'!$N$1:$N$355,$AB58)&amp;"")</f>
        <v/>
      </c>
      <c r="T58" s="50" t="str">
        <f>IF($AB58="","",IF($AD58,T$3,INDEX('ORDER Form'!$O$1:$O$355,$AB58))&amp;"")</f>
        <v/>
      </c>
      <c r="U58" s="50" t="str">
        <f>IF($AB58="","",IF($AD58,U$3,INDEX('ORDER Form'!$P$1:$P$355,$AB58))&amp;"")</f>
        <v/>
      </c>
      <c r="V58" s="50" t="str">
        <f>IF($AB58="","",IF($AD58,V$3,INDEX('ORDER Form'!$Q$1:$Q$355,$AB58))&amp;"")</f>
        <v/>
      </c>
      <c r="W58" s="50" t="str">
        <f>IF($AB58="","",IF($AD58,W$3,INDEX('ORDER Form'!$R$1:$R$355,$AB58))&amp;"")</f>
        <v/>
      </c>
      <c r="X58" s="50" t="str">
        <f>IF($AB58="","",IF($AD58,X$3,INDEX('ORDER Form'!$S$1:$S$355,$AB58))&amp;"")</f>
        <v/>
      </c>
      <c r="Y58" s="50" t="str">
        <f>IF($AB58="","",IF($AD58,Y$3,INDEX('ORDER Form'!$T$1:$T$355,$AB58))&amp;"")</f>
        <v/>
      </c>
      <c r="Z58" s="50" t="str">
        <f>IF($AB58="","",IF($AD58,Z$3,INDEX('ORDER Form'!$U$1:$U$355,$AB58))&amp;"")</f>
        <v/>
      </c>
      <c r="AB58" s="51" t="str">
        <f>IFERROR(MATCH(54,$AC$5:$AC$354,0)+5,"")</f>
        <v/>
      </c>
      <c r="AC58" s="51" t="str">
        <f>IF('ORDER Form'!$V59="OK",COUNTIF('ORDER Form'!$V$6:$V59,"OK"),"")</f>
        <v/>
      </c>
      <c r="AD58" s="51" t="str">
        <f>IF($AB58="","",(LEN(TRIM(INDEX('ORDER Form'!$O$1:$O$355,$AB58)))+LEN(TRIM(INDEX('ORDER Form'!$P$1:$P$355,$AB58)))+LEN(TRIM(INDEX('ORDER Form'!$Q$1:$Q$355,$AB58)))+LEN(TRIM(INDEX('ORDER Form'!$R$1:$R$355,$AB58)))+LEN(TRIM(INDEX('ORDER Form'!$S$1:$S$355,$AB58)))+LEN(TRIM(INDEX('ORDER Form'!$T$1:$T$355,$AB58)))+LEN(TRIM(INDEX('ORDER Form'!$U$1:$U$355,$AB58))))=0)</f>
        <v/>
      </c>
    </row>
    <row r="59" spans="1:30" ht="15" customHeight="1" x14ac:dyDescent="0.25">
      <c r="A59" s="50" t="str">
        <f>IF($AB59="","",IFERROR(IF(AND(INDEX('ORDER Form'!$N$1:$N$355,$AB59)="GB",LEFT(UPPER(TRIM(INDEX('ORDER Form'!$L$1:$L$355,$AB59))),2)="BT"),INDEX('ORDER Form'!$AC$1:$AC$355,$AB59),IFERROR(VLOOKUP(INDEX('ORDER Form'!$AC$1:$AC$355,$AB59)&amp;"|"&amp;INDEX('PRODUCT DATA'!$A$2:$A$58,MATCH(INDEX('ORDER Form'!$N$1:$N$355,$AB59),'PRODUCT DATA'!$B$2:$B$58,0)),'PRODUCT DATA'!$NO$2:$NP$25,2,FALSE()),INDEX('ORDER Form'!$AC$1:$AC$355,$AB59)))&amp;"",""))</f>
        <v/>
      </c>
      <c r="B59" s="49"/>
      <c r="C59" s="51" t="str">
        <f>IF($AB59="","",INDEX('ORDER Form'!$C$1:$C$355,$AB59))</f>
        <v/>
      </c>
      <c r="D59" s="49"/>
      <c r="E59" s="49"/>
      <c r="F59" s="49"/>
      <c r="G59" s="49"/>
      <c r="H59" s="49"/>
      <c r="I59" s="49"/>
      <c r="J59" s="50" t="str">
        <f>IF($AB59="","",INDEX('ORDER Form'!$D$1:$D$355,$AB59)&amp;"")</f>
        <v/>
      </c>
      <c r="K59" s="50" t="str">
        <f>IF($AB59="","",INDEX('ORDER Form'!$E$1:$E$355,$AB59)&amp;"")</f>
        <v/>
      </c>
      <c r="L59" s="50" t="str">
        <f>IF($AB59="","",INDEX('ORDER Form'!$F$1:$F$355,$AB59)&amp;"")</f>
        <v/>
      </c>
      <c r="M59" s="50" t="str">
        <f>IF($AB59="","",INDEX('ORDER Form'!$G$1:$G$355,$AB59)&amp;"")</f>
        <v/>
      </c>
      <c r="N59" s="50" t="str">
        <f>IF($AB59="","",INDEX('ORDER Form'!$H$1:$H$355,$AB59)&amp;"")</f>
        <v/>
      </c>
      <c r="O59" s="50" t="str">
        <f>IF($AB59="","",INDEX('ORDER Form'!$I$1:$I$355,$AB59)&amp;"")</f>
        <v/>
      </c>
      <c r="P59" s="50" t="str">
        <f>IF($AB59="","",INDEX('ORDER Form'!$J$1:$J$355,$AB59)&amp;"")</f>
        <v/>
      </c>
      <c r="Q59" s="50" t="str">
        <f>IF($AB59="","",INDEX('ORDER Form'!$AB$1:$AB$355,$AB59)&amp;"")</f>
        <v/>
      </c>
      <c r="R59" s="50" t="str">
        <f>IF($AB59="","",INDEX('ORDER Form'!$L$1:$L$355,$AB59)&amp;"")</f>
        <v/>
      </c>
      <c r="S59" s="50" t="str">
        <f>IF($AB59="","",INDEX('ORDER Form'!$N$1:$N$355,$AB59)&amp;"")</f>
        <v/>
      </c>
      <c r="T59" s="50" t="str">
        <f>IF($AB59="","",IF($AD59,T$3,INDEX('ORDER Form'!$O$1:$O$355,$AB59))&amp;"")</f>
        <v/>
      </c>
      <c r="U59" s="50" t="str">
        <f>IF($AB59="","",IF($AD59,U$3,INDEX('ORDER Form'!$P$1:$P$355,$AB59))&amp;"")</f>
        <v/>
      </c>
      <c r="V59" s="50" t="str">
        <f>IF($AB59="","",IF($AD59,V$3,INDEX('ORDER Form'!$Q$1:$Q$355,$AB59))&amp;"")</f>
        <v/>
      </c>
      <c r="W59" s="50" t="str">
        <f>IF($AB59="","",IF($AD59,W$3,INDEX('ORDER Form'!$R$1:$R$355,$AB59))&amp;"")</f>
        <v/>
      </c>
      <c r="X59" s="50" t="str">
        <f>IF($AB59="","",IF($AD59,X$3,INDEX('ORDER Form'!$S$1:$S$355,$AB59))&amp;"")</f>
        <v/>
      </c>
      <c r="Y59" s="50" t="str">
        <f>IF($AB59="","",IF($AD59,Y$3,INDEX('ORDER Form'!$T$1:$T$355,$AB59))&amp;"")</f>
        <v/>
      </c>
      <c r="Z59" s="50" t="str">
        <f>IF($AB59="","",IF($AD59,Z$3,INDEX('ORDER Form'!$U$1:$U$355,$AB59))&amp;"")</f>
        <v/>
      </c>
      <c r="AB59" s="51" t="str">
        <f>IFERROR(MATCH(55,$AC$5:$AC$354,0)+5,"")</f>
        <v/>
      </c>
      <c r="AC59" s="51" t="str">
        <f>IF('ORDER Form'!$V60="OK",COUNTIF('ORDER Form'!$V$6:$V60,"OK"),"")</f>
        <v/>
      </c>
      <c r="AD59" s="51" t="str">
        <f>IF($AB59="","",(LEN(TRIM(INDEX('ORDER Form'!$O$1:$O$355,$AB59)))+LEN(TRIM(INDEX('ORDER Form'!$P$1:$P$355,$AB59)))+LEN(TRIM(INDEX('ORDER Form'!$Q$1:$Q$355,$AB59)))+LEN(TRIM(INDEX('ORDER Form'!$R$1:$R$355,$AB59)))+LEN(TRIM(INDEX('ORDER Form'!$S$1:$S$355,$AB59)))+LEN(TRIM(INDEX('ORDER Form'!$T$1:$T$355,$AB59)))+LEN(TRIM(INDEX('ORDER Form'!$U$1:$U$355,$AB59))))=0)</f>
        <v/>
      </c>
    </row>
    <row r="60" spans="1:30" ht="15" customHeight="1" x14ac:dyDescent="0.25">
      <c r="A60" s="50" t="str">
        <f>IF($AB60="","",IFERROR(IF(AND(INDEX('ORDER Form'!$N$1:$N$355,$AB60)="GB",LEFT(UPPER(TRIM(INDEX('ORDER Form'!$L$1:$L$355,$AB60))),2)="BT"),INDEX('ORDER Form'!$AC$1:$AC$355,$AB60),IFERROR(VLOOKUP(INDEX('ORDER Form'!$AC$1:$AC$355,$AB60)&amp;"|"&amp;INDEX('PRODUCT DATA'!$A$2:$A$58,MATCH(INDEX('ORDER Form'!$N$1:$N$355,$AB60),'PRODUCT DATA'!$B$2:$B$58,0)),'PRODUCT DATA'!$NO$2:$NP$25,2,FALSE()),INDEX('ORDER Form'!$AC$1:$AC$355,$AB60)))&amp;"",""))</f>
        <v/>
      </c>
      <c r="B60" s="49"/>
      <c r="C60" s="51" t="str">
        <f>IF($AB60="","",INDEX('ORDER Form'!$C$1:$C$355,$AB60))</f>
        <v/>
      </c>
      <c r="D60" s="49"/>
      <c r="E60" s="49"/>
      <c r="F60" s="49"/>
      <c r="G60" s="49"/>
      <c r="H60" s="49"/>
      <c r="I60" s="49"/>
      <c r="J60" s="50" t="str">
        <f>IF($AB60="","",INDEX('ORDER Form'!$D$1:$D$355,$AB60)&amp;"")</f>
        <v/>
      </c>
      <c r="K60" s="50" t="str">
        <f>IF($AB60="","",INDEX('ORDER Form'!$E$1:$E$355,$AB60)&amp;"")</f>
        <v/>
      </c>
      <c r="L60" s="50" t="str">
        <f>IF($AB60="","",INDEX('ORDER Form'!$F$1:$F$355,$AB60)&amp;"")</f>
        <v/>
      </c>
      <c r="M60" s="50" t="str">
        <f>IF($AB60="","",INDEX('ORDER Form'!$G$1:$G$355,$AB60)&amp;"")</f>
        <v/>
      </c>
      <c r="N60" s="50" t="str">
        <f>IF($AB60="","",INDEX('ORDER Form'!$H$1:$H$355,$AB60)&amp;"")</f>
        <v/>
      </c>
      <c r="O60" s="50" t="str">
        <f>IF($AB60="","",INDEX('ORDER Form'!$I$1:$I$355,$AB60)&amp;"")</f>
        <v/>
      </c>
      <c r="P60" s="50" t="str">
        <f>IF($AB60="","",INDEX('ORDER Form'!$J$1:$J$355,$AB60)&amp;"")</f>
        <v/>
      </c>
      <c r="Q60" s="50" t="str">
        <f>IF($AB60="","",INDEX('ORDER Form'!$AB$1:$AB$355,$AB60)&amp;"")</f>
        <v/>
      </c>
      <c r="R60" s="50" t="str">
        <f>IF($AB60="","",INDEX('ORDER Form'!$L$1:$L$355,$AB60)&amp;"")</f>
        <v/>
      </c>
      <c r="S60" s="50" t="str">
        <f>IF($AB60="","",INDEX('ORDER Form'!$N$1:$N$355,$AB60)&amp;"")</f>
        <v/>
      </c>
      <c r="T60" s="50" t="str">
        <f>IF($AB60="","",IF($AD60,T$3,INDEX('ORDER Form'!$O$1:$O$355,$AB60))&amp;"")</f>
        <v/>
      </c>
      <c r="U60" s="50" t="str">
        <f>IF($AB60="","",IF($AD60,U$3,INDEX('ORDER Form'!$P$1:$P$355,$AB60))&amp;"")</f>
        <v/>
      </c>
      <c r="V60" s="50" t="str">
        <f>IF($AB60="","",IF($AD60,V$3,INDEX('ORDER Form'!$Q$1:$Q$355,$AB60))&amp;"")</f>
        <v/>
      </c>
      <c r="W60" s="50" t="str">
        <f>IF($AB60="","",IF($AD60,W$3,INDEX('ORDER Form'!$R$1:$R$355,$AB60))&amp;"")</f>
        <v/>
      </c>
      <c r="X60" s="50" t="str">
        <f>IF($AB60="","",IF($AD60,X$3,INDEX('ORDER Form'!$S$1:$S$355,$AB60))&amp;"")</f>
        <v/>
      </c>
      <c r="Y60" s="50" t="str">
        <f>IF($AB60="","",IF($AD60,Y$3,INDEX('ORDER Form'!$T$1:$T$355,$AB60))&amp;"")</f>
        <v/>
      </c>
      <c r="Z60" s="50" t="str">
        <f>IF($AB60="","",IF($AD60,Z$3,INDEX('ORDER Form'!$U$1:$U$355,$AB60))&amp;"")</f>
        <v/>
      </c>
      <c r="AB60" s="51" t="str">
        <f>IFERROR(MATCH(56,$AC$5:$AC$354,0)+5,"")</f>
        <v/>
      </c>
      <c r="AC60" s="51" t="str">
        <f>IF('ORDER Form'!$V61="OK",COUNTIF('ORDER Form'!$V$6:$V61,"OK"),"")</f>
        <v/>
      </c>
      <c r="AD60" s="51" t="str">
        <f>IF($AB60="","",(LEN(TRIM(INDEX('ORDER Form'!$O$1:$O$355,$AB60)))+LEN(TRIM(INDEX('ORDER Form'!$P$1:$P$355,$AB60)))+LEN(TRIM(INDEX('ORDER Form'!$Q$1:$Q$355,$AB60)))+LEN(TRIM(INDEX('ORDER Form'!$R$1:$R$355,$AB60)))+LEN(TRIM(INDEX('ORDER Form'!$S$1:$S$355,$AB60)))+LEN(TRIM(INDEX('ORDER Form'!$T$1:$T$355,$AB60)))+LEN(TRIM(INDEX('ORDER Form'!$U$1:$U$355,$AB60))))=0)</f>
        <v/>
      </c>
    </row>
    <row r="61" spans="1:30" ht="15" customHeight="1" x14ac:dyDescent="0.25">
      <c r="A61" s="50" t="str">
        <f>IF($AB61="","",IFERROR(IF(AND(INDEX('ORDER Form'!$N$1:$N$355,$AB61)="GB",LEFT(UPPER(TRIM(INDEX('ORDER Form'!$L$1:$L$355,$AB61))),2)="BT"),INDEX('ORDER Form'!$AC$1:$AC$355,$AB61),IFERROR(VLOOKUP(INDEX('ORDER Form'!$AC$1:$AC$355,$AB61)&amp;"|"&amp;INDEX('PRODUCT DATA'!$A$2:$A$58,MATCH(INDEX('ORDER Form'!$N$1:$N$355,$AB61),'PRODUCT DATA'!$B$2:$B$58,0)),'PRODUCT DATA'!$NO$2:$NP$25,2,FALSE()),INDEX('ORDER Form'!$AC$1:$AC$355,$AB61)))&amp;"",""))</f>
        <v/>
      </c>
      <c r="B61" s="49"/>
      <c r="C61" s="51" t="str">
        <f>IF($AB61="","",INDEX('ORDER Form'!$C$1:$C$355,$AB61))</f>
        <v/>
      </c>
      <c r="D61" s="49"/>
      <c r="E61" s="49"/>
      <c r="F61" s="49"/>
      <c r="G61" s="49"/>
      <c r="H61" s="49"/>
      <c r="I61" s="49"/>
      <c r="J61" s="50" t="str">
        <f>IF($AB61="","",INDEX('ORDER Form'!$D$1:$D$355,$AB61)&amp;"")</f>
        <v/>
      </c>
      <c r="K61" s="50" t="str">
        <f>IF($AB61="","",INDEX('ORDER Form'!$E$1:$E$355,$AB61)&amp;"")</f>
        <v/>
      </c>
      <c r="L61" s="50" t="str">
        <f>IF($AB61="","",INDEX('ORDER Form'!$F$1:$F$355,$AB61)&amp;"")</f>
        <v/>
      </c>
      <c r="M61" s="50" t="str">
        <f>IF($AB61="","",INDEX('ORDER Form'!$G$1:$G$355,$AB61)&amp;"")</f>
        <v/>
      </c>
      <c r="N61" s="50" t="str">
        <f>IF($AB61="","",INDEX('ORDER Form'!$H$1:$H$355,$AB61)&amp;"")</f>
        <v/>
      </c>
      <c r="O61" s="50" t="str">
        <f>IF($AB61="","",INDEX('ORDER Form'!$I$1:$I$355,$AB61)&amp;"")</f>
        <v/>
      </c>
      <c r="P61" s="50" t="str">
        <f>IF($AB61="","",INDEX('ORDER Form'!$J$1:$J$355,$AB61)&amp;"")</f>
        <v/>
      </c>
      <c r="Q61" s="50" t="str">
        <f>IF($AB61="","",INDEX('ORDER Form'!$AB$1:$AB$355,$AB61)&amp;"")</f>
        <v/>
      </c>
      <c r="R61" s="50" t="str">
        <f>IF($AB61="","",INDEX('ORDER Form'!$L$1:$L$355,$AB61)&amp;"")</f>
        <v/>
      </c>
      <c r="S61" s="50" t="str">
        <f>IF($AB61="","",INDEX('ORDER Form'!$N$1:$N$355,$AB61)&amp;"")</f>
        <v/>
      </c>
      <c r="T61" s="50" t="str">
        <f>IF($AB61="","",IF($AD61,T$3,INDEX('ORDER Form'!$O$1:$O$355,$AB61))&amp;"")</f>
        <v/>
      </c>
      <c r="U61" s="50" t="str">
        <f>IF($AB61="","",IF($AD61,U$3,INDEX('ORDER Form'!$P$1:$P$355,$AB61))&amp;"")</f>
        <v/>
      </c>
      <c r="V61" s="50" t="str">
        <f>IF($AB61="","",IF($AD61,V$3,INDEX('ORDER Form'!$Q$1:$Q$355,$AB61))&amp;"")</f>
        <v/>
      </c>
      <c r="W61" s="50" t="str">
        <f>IF($AB61="","",IF($AD61,W$3,INDEX('ORDER Form'!$R$1:$R$355,$AB61))&amp;"")</f>
        <v/>
      </c>
      <c r="X61" s="50" t="str">
        <f>IF($AB61="","",IF($AD61,X$3,INDEX('ORDER Form'!$S$1:$S$355,$AB61))&amp;"")</f>
        <v/>
      </c>
      <c r="Y61" s="50" t="str">
        <f>IF($AB61="","",IF($AD61,Y$3,INDEX('ORDER Form'!$T$1:$T$355,$AB61))&amp;"")</f>
        <v/>
      </c>
      <c r="Z61" s="50" t="str">
        <f>IF($AB61="","",IF($AD61,Z$3,INDEX('ORDER Form'!$U$1:$U$355,$AB61))&amp;"")</f>
        <v/>
      </c>
      <c r="AB61" s="51" t="str">
        <f>IFERROR(MATCH(57,$AC$5:$AC$354,0)+5,"")</f>
        <v/>
      </c>
      <c r="AC61" s="51" t="str">
        <f>IF('ORDER Form'!$V62="OK",COUNTIF('ORDER Form'!$V$6:$V62,"OK"),"")</f>
        <v/>
      </c>
      <c r="AD61" s="51" t="str">
        <f>IF($AB61="","",(LEN(TRIM(INDEX('ORDER Form'!$O$1:$O$355,$AB61)))+LEN(TRIM(INDEX('ORDER Form'!$P$1:$P$355,$AB61)))+LEN(TRIM(INDEX('ORDER Form'!$Q$1:$Q$355,$AB61)))+LEN(TRIM(INDEX('ORDER Form'!$R$1:$R$355,$AB61)))+LEN(TRIM(INDEX('ORDER Form'!$S$1:$S$355,$AB61)))+LEN(TRIM(INDEX('ORDER Form'!$T$1:$T$355,$AB61)))+LEN(TRIM(INDEX('ORDER Form'!$U$1:$U$355,$AB61))))=0)</f>
        <v/>
      </c>
    </row>
    <row r="62" spans="1:30" ht="15" customHeight="1" x14ac:dyDescent="0.25">
      <c r="A62" s="50" t="str">
        <f>IF($AB62="","",IFERROR(IF(AND(INDEX('ORDER Form'!$N$1:$N$355,$AB62)="GB",LEFT(UPPER(TRIM(INDEX('ORDER Form'!$L$1:$L$355,$AB62))),2)="BT"),INDEX('ORDER Form'!$AC$1:$AC$355,$AB62),IFERROR(VLOOKUP(INDEX('ORDER Form'!$AC$1:$AC$355,$AB62)&amp;"|"&amp;INDEX('PRODUCT DATA'!$A$2:$A$58,MATCH(INDEX('ORDER Form'!$N$1:$N$355,$AB62),'PRODUCT DATA'!$B$2:$B$58,0)),'PRODUCT DATA'!$NO$2:$NP$25,2,FALSE()),INDEX('ORDER Form'!$AC$1:$AC$355,$AB62)))&amp;"",""))</f>
        <v/>
      </c>
      <c r="B62" s="49"/>
      <c r="C62" s="51" t="str">
        <f>IF($AB62="","",INDEX('ORDER Form'!$C$1:$C$355,$AB62))</f>
        <v/>
      </c>
      <c r="D62" s="49"/>
      <c r="E62" s="49"/>
      <c r="F62" s="49"/>
      <c r="G62" s="49"/>
      <c r="H62" s="49"/>
      <c r="I62" s="49"/>
      <c r="J62" s="50" t="str">
        <f>IF($AB62="","",INDEX('ORDER Form'!$D$1:$D$355,$AB62)&amp;"")</f>
        <v/>
      </c>
      <c r="K62" s="50" t="str">
        <f>IF($AB62="","",INDEX('ORDER Form'!$E$1:$E$355,$AB62)&amp;"")</f>
        <v/>
      </c>
      <c r="L62" s="50" t="str">
        <f>IF($AB62="","",INDEX('ORDER Form'!$F$1:$F$355,$AB62)&amp;"")</f>
        <v/>
      </c>
      <c r="M62" s="50" t="str">
        <f>IF($AB62="","",INDEX('ORDER Form'!$G$1:$G$355,$AB62)&amp;"")</f>
        <v/>
      </c>
      <c r="N62" s="50" t="str">
        <f>IF($AB62="","",INDEX('ORDER Form'!$H$1:$H$355,$AB62)&amp;"")</f>
        <v/>
      </c>
      <c r="O62" s="50" t="str">
        <f>IF($AB62="","",INDEX('ORDER Form'!$I$1:$I$355,$AB62)&amp;"")</f>
        <v/>
      </c>
      <c r="P62" s="50" t="str">
        <f>IF($AB62="","",INDEX('ORDER Form'!$J$1:$J$355,$AB62)&amp;"")</f>
        <v/>
      </c>
      <c r="Q62" s="50" t="str">
        <f>IF($AB62="","",INDEX('ORDER Form'!$AB$1:$AB$355,$AB62)&amp;"")</f>
        <v/>
      </c>
      <c r="R62" s="50" t="str">
        <f>IF($AB62="","",INDEX('ORDER Form'!$L$1:$L$355,$AB62)&amp;"")</f>
        <v/>
      </c>
      <c r="S62" s="50" t="str">
        <f>IF($AB62="","",INDEX('ORDER Form'!$N$1:$N$355,$AB62)&amp;"")</f>
        <v/>
      </c>
      <c r="T62" s="50" t="str">
        <f>IF($AB62="","",IF($AD62,T$3,INDEX('ORDER Form'!$O$1:$O$355,$AB62))&amp;"")</f>
        <v/>
      </c>
      <c r="U62" s="50" t="str">
        <f>IF($AB62="","",IF($AD62,U$3,INDEX('ORDER Form'!$P$1:$P$355,$AB62))&amp;"")</f>
        <v/>
      </c>
      <c r="V62" s="50" t="str">
        <f>IF($AB62="","",IF($AD62,V$3,INDEX('ORDER Form'!$Q$1:$Q$355,$AB62))&amp;"")</f>
        <v/>
      </c>
      <c r="W62" s="50" t="str">
        <f>IF($AB62="","",IF($AD62,W$3,INDEX('ORDER Form'!$R$1:$R$355,$AB62))&amp;"")</f>
        <v/>
      </c>
      <c r="X62" s="50" t="str">
        <f>IF($AB62="","",IF($AD62,X$3,INDEX('ORDER Form'!$S$1:$S$355,$AB62))&amp;"")</f>
        <v/>
      </c>
      <c r="Y62" s="50" t="str">
        <f>IF($AB62="","",IF($AD62,Y$3,INDEX('ORDER Form'!$T$1:$T$355,$AB62))&amp;"")</f>
        <v/>
      </c>
      <c r="Z62" s="50" t="str">
        <f>IF($AB62="","",IF($AD62,Z$3,INDEX('ORDER Form'!$U$1:$U$355,$AB62))&amp;"")</f>
        <v/>
      </c>
      <c r="AB62" s="51" t="str">
        <f>IFERROR(MATCH(58,$AC$5:$AC$354,0)+5,"")</f>
        <v/>
      </c>
      <c r="AC62" s="51" t="str">
        <f>IF('ORDER Form'!$V63="OK",COUNTIF('ORDER Form'!$V$6:$V63,"OK"),"")</f>
        <v/>
      </c>
      <c r="AD62" s="51" t="str">
        <f>IF($AB62="","",(LEN(TRIM(INDEX('ORDER Form'!$O$1:$O$355,$AB62)))+LEN(TRIM(INDEX('ORDER Form'!$P$1:$P$355,$AB62)))+LEN(TRIM(INDEX('ORDER Form'!$Q$1:$Q$355,$AB62)))+LEN(TRIM(INDEX('ORDER Form'!$R$1:$R$355,$AB62)))+LEN(TRIM(INDEX('ORDER Form'!$S$1:$S$355,$AB62)))+LEN(TRIM(INDEX('ORDER Form'!$T$1:$T$355,$AB62)))+LEN(TRIM(INDEX('ORDER Form'!$U$1:$U$355,$AB62))))=0)</f>
        <v/>
      </c>
    </row>
    <row r="63" spans="1:30" ht="15" customHeight="1" x14ac:dyDescent="0.25">
      <c r="A63" s="50" t="str">
        <f>IF($AB63="","",IFERROR(IF(AND(INDEX('ORDER Form'!$N$1:$N$355,$AB63)="GB",LEFT(UPPER(TRIM(INDEX('ORDER Form'!$L$1:$L$355,$AB63))),2)="BT"),INDEX('ORDER Form'!$AC$1:$AC$355,$AB63),IFERROR(VLOOKUP(INDEX('ORDER Form'!$AC$1:$AC$355,$AB63)&amp;"|"&amp;INDEX('PRODUCT DATA'!$A$2:$A$58,MATCH(INDEX('ORDER Form'!$N$1:$N$355,$AB63),'PRODUCT DATA'!$B$2:$B$58,0)),'PRODUCT DATA'!$NO$2:$NP$25,2,FALSE()),INDEX('ORDER Form'!$AC$1:$AC$355,$AB63)))&amp;"",""))</f>
        <v/>
      </c>
      <c r="B63" s="49"/>
      <c r="C63" s="51" t="str">
        <f>IF($AB63="","",INDEX('ORDER Form'!$C$1:$C$355,$AB63))</f>
        <v/>
      </c>
      <c r="D63" s="49"/>
      <c r="E63" s="49"/>
      <c r="F63" s="49"/>
      <c r="G63" s="49"/>
      <c r="H63" s="49"/>
      <c r="I63" s="49"/>
      <c r="J63" s="50" t="str">
        <f>IF($AB63="","",INDEX('ORDER Form'!$D$1:$D$355,$AB63)&amp;"")</f>
        <v/>
      </c>
      <c r="K63" s="50" t="str">
        <f>IF($AB63="","",INDEX('ORDER Form'!$E$1:$E$355,$AB63)&amp;"")</f>
        <v/>
      </c>
      <c r="L63" s="50" t="str">
        <f>IF($AB63="","",INDEX('ORDER Form'!$F$1:$F$355,$AB63)&amp;"")</f>
        <v/>
      </c>
      <c r="M63" s="50" t="str">
        <f>IF($AB63="","",INDEX('ORDER Form'!$G$1:$G$355,$AB63)&amp;"")</f>
        <v/>
      </c>
      <c r="N63" s="50" t="str">
        <f>IF($AB63="","",INDEX('ORDER Form'!$H$1:$H$355,$AB63)&amp;"")</f>
        <v/>
      </c>
      <c r="O63" s="50" t="str">
        <f>IF($AB63="","",INDEX('ORDER Form'!$I$1:$I$355,$AB63)&amp;"")</f>
        <v/>
      </c>
      <c r="P63" s="50" t="str">
        <f>IF($AB63="","",INDEX('ORDER Form'!$J$1:$J$355,$AB63)&amp;"")</f>
        <v/>
      </c>
      <c r="Q63" s="50" t="str">
        <f>IF($AB63="","",INDEX('ORDER Form'!$AB$1:$AB$355,$AB63)&amp;"")</f>
        <v/>
      </c>
      <c r="R63" s="50" t="str">
        <f>IF($AB63="","",INDEX('ORDER Form'!$L$1:$L$355,$AB63)&amp;"")</f>
        <v/>
      </c>
      <c r="S63" s="50" t="str">
        <f>IF($AB63="","",INDEX('ORDER Form'!$N$1:$N$355,$AB63)&amp;"")</f>
        <v/>
      </c>
      <c r="T63" s="50" t="str">
        <f>IF($AB63="","",IF($AD63,T$3,INDEX('ORDER Form'!$O$1:$O$355,$AB63))&amp;"")</f>
        <v/>
      </c>
      <c r="U63" s="50" t="str">
        <f>IF($AB63="","",IF($AD63,U$3,INDEX('ORDER Form'!$P$1:$P$355,$AB63))&amp;"")</f>
        <v/>
      </c>
      <c r="V63" s="50" t="str">
        <f>IF($AB63="","",IF($AD63,V$3,INDEX('ORDER Form'!$Q$1:$Q$355,$AB63))&amp;"")</f>
        <v/>
      </c>
      <c r="W63" s="50" t="str">
        <f>IF($AB63="","",IF($AD63,W$3,INDEX('ORDER Form'!$R$1:$R$355,$AB63))&amp;"")</f>
        <v/>
      </c>
      <c r="X63" s="50" t="str">
        <f>IF($AB63="","",IF($AD63,X$3,INDEX('ORDER Form'!$S$1:$S$355,$AB63))&amp;"")</f>
        <v/>
      </c>
      <c r="Y63" s="50" t="str">
        <f>IF($AB63="","",IF($AD63,Y$3,INDEX('ORDER Form'!$T$1:$T$355,$AB63))&amp;"")</f>
        <v/>
      </c>
      <c r="Z63" s="50" t="str">
        <f>IF($AB63="","",IF($AD63,Z$3,INDEX('ORDER Form'!$U$1:$U$355,$AB63))&amp;"")</f>
        <v/>
      </c>
      <c r="AB63" s="51" t="str">
        <f>IFERROR(MATCH(59,$AC$5:$AC$354,0)+5,"")</f>
        <v/>
      </c>
      <c r="AC63" s="51" t="str">
        <f>IF('ORDER Form'!$V64="OK",COUNTIF('ORDER Form'!$V$6:$V64,"OK"),"")</f>
        <v/>
      </c>
      <c r="AD63" s="51" t="str">
        <f>IF($AB63="","",(LEN(TRIM(INDEX('ORDER Form'!$O$1:$O$355,$AB63)))+LEN(TRIM(INDEX('ORDER Form'!$P$1:$P$355,$AB63)))+LEN(TRIM(INDEX('ORDER Form'!$Q$1:$Q$355,$AB63)))+LEN(TRIM(INDEX('ORDER Form'!$R$1:$R$355,$AB63)))+LEN(TRIM(INDEX('ORDER Form'!$S$1:$S$355,$AB63)))+LEN(TRIM(INDEX('ORDER Form'!$T$1:$T$355,$AB63)))+LEN(TRIM(INDEX('ORDER Form'!$U$1:$U$355,$AB63))))=0)</f>
        <v/>
      </c>
    </row>
    <row r="64" spans="1:30" ht="15" customHeight="1" x14ac:dyDescent="0.25">
      <c r="A64" s="50" t="str">
        <f>IF($AB64="","",IFERROR(IF(AND(INDEX('ORDER Form'!$N$1:$N$355,$AB64)="GB",LEFT(UPPER(TRIM(INDEX('ORDER Form'!$L$1:$L$355,$AB64))),2)="BT"),INDEX('ORDER Form'!$AC$1:$AC$355,$AB64),IFERROR(VLOOKUP(INDEX('ORDER Form'!$AC$1:$AC$355,$AB64)&amp;"|"&amp;INDEX('PRODUCT DATA'!$A$2:$A$58,MATCH(INDEX('ORDER Form'!$N$1:$N$355,$AB64),'PRODUCT DATA'!$B$2:$B$58,0)),'PRODUCT DATA'!$NO$2:$NP$25,2,FALSE()),INDEX('ORDER Form'!$AC$1:$AC$355,$AB64)))&amp;"",""))</f>
        <v/>
      </c>
      <c r="B64" s="49"/>
      <c r="C64" s="51" t="str">
        <f>IF($AB64="","",INDEX('ORDER Form'!$C$1:$C$355,$AB64))</f>
        <v/>
      </c>
      <c r="D64" s="49"/>
      <c r="E64" s="49"/>
      <c r="F64" s="49"/>
      <c r="G64" s="49"/>
      <c r="H64" s="49"/>
      <c r="I64" s="49"/>
      <c r="J64" s="50" t="str">
        <f>IF($AB64="","",INDEX('ORDER Form'!$D$1:$D$355,$AB64)&amp;"")</f>
        <v/>
      </c>
      <c r="K64" s="50" t="str">
        <f>IF($AB64="","",INDEX('ORDER Form'!$E$1:$E$355,$AB64)&amp;"")</f>
        <v/>
      </c>
      <c r="L64" s="50" t="str">
        <f>IF($AB64="","",INDEX('ORDER Form'!$F$1:$F$355,$AB64)&amp;"")</f>
        <v/>
      </c>
      <c r="M64" s="50" t="str">
        <f>IF($AB64="","",INDEX('ORDER Form'!$G$1:$G$355,$AB64)&amp;"")</f>
        <v/>
      </c>
      <c r="N64" s="50" t="str">
        <f>IF($AB64="","",INDEX('ORDER Form'!$H$1:$H$355,$AB64)&amp;"")</f>
        <v/>
      </c>
      <c r="O64" s="50" t="str">
        <f>IF($AB64="","",INDEX('ORDER Form'!$I$1:$I$355,$AB64)&amp;"")</f>
        <v/>
      </c>
      <c r="P64" s="50" t="str">
        <f>IF($AB64="","",INDEX('ORDER Form'!$J$1:$J$355,$AB64)&amp;"")</f>
        <v/>
      </c>
      <c r="Q64" s="50" t="str">
        <f>IF($AB64="","",INDEX('ORDER Form'!$AB$1:$AB$355,$AB64)&amp;"")</f>
        <v/>
      </c>
      <c r="R64" s="50" t="str">
        <f>IF($AB64="","",INDEX('ORDER Form'!$L$1:$L$355,$AB64)&amp;"")</f>
        <v/>
      </c>
      <c r="S64" s="50" t="str">
        <f>IF($AB64="","",INDEX('ORDER Form'!$N$1:$N$355,$AB64)&amp;"")</f>
        <v/>
      </c>
      <c r="T64" s="50" t="str">
        <f>IF($AB64="","",IF($AD64,T$3,INDEX('ORDER Form'!$O$1:$O$355,$AB64))&amp;"")</f>
        <v/>
      </c>
      <c r="U64" s="50" t="str">
        <f>IF($AB64="","",IF($AD64,U$3,INDEX('ORDER Form'!$P$1:$P$355,$AB64))&amp;"")</f>
        <v/>
      </c>
      <c r="V64" s="50" t="str">
        <f>IF($AB64="","",IF($AD64,V$3,INDEX('ORDER Form'!$Q$1:$Q$355,$AB64))&amp;"")</f>
        <v/>
      </c>
      <c r="W64" s="50" t="str">
        <f>IF($AB64="","",IF($AD64,W$3,INDEX('ORDER Form'!$R$1:$R$355,$AB64))&amp;"")</f>
        <v/>
      </c>
      <c r="X64" s="50" t="str">
        <f>IF($AB64="","",IF($AD64,X$3,INDEX('ORDER Form'!$S$1:$S$355,$AB64))&amp;"")</f>
        <v/>
      </c>
      <c r="Y64" s="50" t="str">
        <f>IF($AB64="","",IF($AD64,Y$3,INDEX('ORDER Form'!$T$1:$T$355,$AB64))&amp;"")</f>
        <v/>
      </c>
      <c r="Z64" s="50" t="str">
        <f>IF($AB64="","",IF($AD64,Z$3,INDEX('ORDER Form'!$U$1:$U$355,$AB64))&amp;"")</f>
        <v/>
      </c>
      <c r="AB64" s="51" t="str">
        <f>IFERROR(MATCH(60,$AC$5:$AC$354,0)+5,"")</f>
        <v/>
      </c>
      <c r="AC64" s="51" t="str">
        <f>IF('ORDER Form'!$V65="OK",COUNTIF('ORDER Form'!$V$6:$V65,"OK"),"")</f>
        <v/>
      </c>
      <c r="AD64" s="51" t="str">
        <f>IF($AB64="","",(LEN(TRIM(INDEX('ORDER Form'!$O$1:$O$355,$AB64)))+LEN(TRIM(INDEX('ORDER Form'!$P$1:$P$355,$AB64)))+LEN(TRIM(INDEX('ORDER Form'!$Q$1:$Q$355,$AB64)))+LEN(TRIM(INDEX('ORDER Form'!$R$1:$R$355,$AB64)))+LEN(TRIM(INDEX('ORDER Form'!$S$1:$S$355,$AB64)))+LEN(TRIM(INDEX('ORDER Form'!$T$1:$T$355,$AB64)))+LEN(TRIM(INDEX('ORDER Form'!$U$1:$U$355,$AB64))))=0)</f>
        <v/>
      </c>
    </row>
    <row r="65" spans="1:30" ht="15" customHeight="1" x14ac:dyDescent="0.25">
      <c r="A65" s="50" t="str">
        <f>IF($AB65="","",IFERROR(IF(AND(INDEX('ORDER Form'!$N$1:$N$355,$AB65)="GB",LEFT(UPPER(TRIM(INDEX('ORDER Form'!$L$1:$L$355,$AB65))),2)="BT"),INDEX('ORDER Form'!$AC$1:$AC$355,$AB65),IFERROR(VLOOKUP(INDEX('ORDER Form'!$AC$1:$AC$355,$AB65)&amp;"|"&amp;INDEX('PRODUCT DATA'!$A$2:$A$58,MATCH(INDEX('ORDER Form'!$N$1:$N$355,$AB65),'PRODUCT DATA'!$B$2:$B$58,0)),'PRODUCT DATA'!$NO$2:$NP$25,2,FALSE()),INDEX('ORDER Form'!$AC$1:$AC$355,$AB65)))&amp;"",""))</f>
        <v/>
      </c>
      <c r="B65" s="49"/>
      <c r="C65" s="51" t="str">
        <f>IF($AB65="","",INDEX('ORDER Form'!$C$1:$C$355,$AB65))</f>
        <v/>
      </c>
      <c r="D65" s="49"/>
      <c r="E65" s="49"/>
      <c r="F65" s="49"/>
      <c r="G65" s="49"/>
      <c r="H65" s="49"/>
      <c r="I65" s="49"/>
      <c r="J65" s="50" t="str">
        <f>IF($AB65="","",INDEX('ORDER Form'!$D$1:$D$355,$AB65)&amp;"")</f>
        <v/>
      </c>
      <c r="K65" s="50" t="str">
        <f>IF($AB65="","",INDEX('ORDER Form'!$E$1:$E$355,$AB65)&amp;"")</f>
        <v/>
      </c>
      <c r="L65" s="50" t="str">
        <f>IF($AB65="","",INDEX('ORDER Form'!$F$1:$F$355,$AB65)&amp;"")</f>
        <v/>
      </c>
      <c r="M65" s="50" t="str">
        <f>IF($AB65="","",INDEX('ORDER Form'!$G$1:$G$355,$AB65)&amp;"")</f>
        <v/>
      </c>
      <c r="N65" s="50" t="str">
        <f>IF($AB65="","",INDEX('ORDER Form'!$H$1:$H$355,$AB65)&amp;"")</f>
        <v/>
      </c>
      <c r="O65" s="50" t="str">
        <f>IF($AB65="","",INDEX('ORDER Form'!$I$1:$I$355,$AB65)&amp;"")</f>
        <v/>
      </c>
      <c r="P65" s="50" t="str">
        <f>IF($AB65="","",INDEX('ORDER Form'!$J$1:$J$355,$AB65)&amp;"")</f>
        <v/>
      </c>
      <c r="Q65" s="50" t="str">
        <f>IF($AB65="","",INDEX('ORDER Form'!$AB$1:$AB$355,$AB65)&amp;"")</f>
        <v/>
      </c>
      <c r="R65" s="50" t="str">
        <f>IF($AB65="","",INDEX('ORDER Form'!$L$1:$L$355,$AB65)&amp;"")</f>
        <v/>
      </c>
      <c r="S65" s="50" t="str">
        <f>IF($AB65="","",INDEX('ORDER Form'!$N$1:$N$355,$AB65)&amp;"")</f>
        <v/>
      </c>
      <c r="T65" s="50" t="str">
        <f>IF($AB65="","",IF($AD65,T$3,INDEX('ORDER Form'!$O$1:$O$355,$AB65))&amp;"")</f>
        <v/>
      </c>
      <c r="U65" s="50" t="str">
        <f>IF($AB65="","",IF($AD65,U$3,INDEX('ORDER Form'!$P$1:$P$355,$AB65))&amp;"")</f>
        <v/>
      </c>
      <c r="V65" s="50" t="str">
        <f>IF($AB65="","",IF($AD65,V$3,INDEX('ORDER Form'!$Q$1:$Q$355,$AB65))&amp;"")</f>
        <v/>
      </c>
      <c r="W65" s="50" t="str">
        <f>IF($AB65="","",IF($AD65,W$3,INDEX('ORDER Form'!$R$1:$R$355,$AB65))&amp;"")</f>
        <v/>
      </c>
      <c r="X65" s="50" t="str">
        <f>IF($AB65="","",IF($AD65,X$3,INDEX('ORDER Form'!$S$1:$S$355,$AB65))&amp;"")</f>
        <v/>
      </c>
      <c r="Y65" s="50" t="str">
        <f>IF($AB65="","",IF($AD65,Y$3,INDEX('ORDER Form'!$T$1:$T$355,$AB65))&amp;"")</f>
        <v/>
      </c>
      <c r="Z65" s="50" t="str">
        <f>IF($AB65="","",IF($AD65,Z$3,INDEX('ORDER Form'!$U$1:$U$355,$AB65))&amp;"")</f>
        <v/>
      </c>
      <c r="AB65" s="51" t="str">
        <f>IFERROR(MATCH(61,$AC$5:$AC$354,0)+5,"")</f>
        <v/>
      </c>
      <c r="AC65" s="51" t="str">
        <f>IF('ORDER Form'!$V66="OK",COUNTIF('ORDER Form'!$V$6:$V66,"OK"),"")</f>
        <v/>
      </c>
      <c r="AD65" s="51" t="str">
        <f>IF($AB65="","",(LEN(TRIM(INDEX('ORDER Form'!$O$1:$O$355,$AB65)))+LEN(TRIM(INDEX('ORDER Form'!$P$1:$P$355,$AB65)))+LEN(TRIM(INDEX('ORDER Form'!$Q$1:$Q$355,$AB65)))+LEN(TRIM(INDEX('ORDER Form'!$R$1:$R$355,$AB65)))+LEN(TRIM(INDEX('ORDER Form'!$S$1:$S$355,$AB65)))+LEN(TRIM(INDEX('ORDER Form'!$T$1:$T$355,$AB65)))+LEN(TRIM(INDEX('ORDER Form'!$U$1:$U$355,$AB65))))=0)</f>
        <v/>
      </c>
    </row>
    <row r="66" spans="1:30" ht="15" customHeight="1" x14ac:dyDescent="0.25">
      <c r="A66" s="50" t="str">
        <f>IF($AB66="","",IFERROR(IF(AND(INDEX('ORDER Form'!$N$1:$N$355,$AB66)="GB",LEFT(UPPER(TRIM(INDEX('ORDER Form'!$L$1:$L$355,$AB66))),2)="BT"),INDEX('ORDER Form'!$AC$1:$AC$355,$AB66),IFERROR(VLOOKUP(INDEX('ORDER Form'!$AC$1:$AC$355,$AB66)&amp;"|"&amp;INDEX('PRODUCT DATA'!$A$2:$A$58,MATCH(INDEX('ORDER Form'!$N$1:$N$355,$AB66),'PRODUCT DATA'!$B$2:$B$58,0)),'PRODUCT DATA'!$NO$2:$NP$25,2,FALSE()),INDEX('ORDER Form'!$AC$1:$AC$355,$AB66)))&amp;"",""))</f>
        <v/>
      </c>
      <c r="B66" s="49"/>
      <c r="C66" s="51" t="str">
        <f>IF($AB66="","",INDEX('ORDER Form'!$C$1:$C$355,$AB66))</f>
        <v/>
      </c>
      <c r="D66" s="49"/>
      <c r="E66" s="49"/>
      <c r="F66" s="49"/>
      <c r="G66" s="49"/>
      <c r="H66" s="49"/>
      <c r="I66" s="49"/>
      <c r="J66" s="50" t="str">
        <f>IF($AB66="","",INDEX('ORDER Form'!$D$1:$D$355,$AB66)&amp;"")</f>
        <v/>
      </c>
      <c r="K66" s="50" t="str">
        <f>IF($AB66="","",INDEX('ORDER Form'!$E$1:$E$355,$AB66)&amp;"")</f>
        <v/>
      </c>
      <c r="L66" s="50" t="str">
        <f>IF($AB66="","",INDEX('ORDER Form'!$F$1:$F$355,$AB66)&amp;"")</f>
        <v/>
      </c>
      <c r="M66" s="50" t="str">
        <f>IF($AB66="","",INDEX('ORDER Form'!$G$1:$G$355,$AB66)&amp;"")</f>
        <v/>
      </c>
      <c r="N66" s="50" t="str">
        <f>IF($AB66="","",INDEX('ORDER Form'!$H$1:$H$355,$AB66)&amp;"")</f>
        <v/>
      </c>
      <c r="O66" s="50" t="str">
        <f>IF($AB66="","",INDEX('ORDER Form'!$I$1:$I$355,$AB66)&amp;"")</f>
        <v/>
      </c>
      <c r="P66" s="50" t="str">
        <f>IF($AB66="","",INDEX('ORDER Form'!$J$1:$J$355,$AB66)&amp;"")</f>
        <v/>
      </c>
      <c r="Q66" s="50" t="str">
        <f>IF($AB66="","",INDEX('ORDER Form'!$AB$1:$AB$355,$AB66)&amp;"")</f>
        <v/>
      </c>
      <c r="R66" s="50" t="str">
        <f>IF($AB66="","",INDEX('ORDER Form'!$L$1:$L$355,$AB66)&amp;"")</f>
        <v/>
      </c>
      <c r="S66" s="50" t="str">
        <f>IF($AB66="","",INDEX('ORDER Form'!$N$1:$N$355,$AB66)&amp;"")</f>
        <v/>
      </c>
      <c r="T66" s="50" t="str">
        <f>IF($AB66="","",IF($AD66,T$3,INDEX('ORDER Form'!$O$1:$O$355,$AB66))&amp;"")</f>
        <v/>
      </c>
      <c r="U66" s="50" t="str">
        <f>IF($AB66="","",IF($AD66,U$3,INDEX('ORDER Form'!$P$1:$P$355,$AB66))&amp;"")</f>
        <v/>
      </c>
      <c r="V66" s="50" t="str">
        <f>IF($AB66="","",IF($AD66,V$3,INDEX('ORDER Form'!$Q$1:$Q$355,$AB66))&amp;"")</f>
        <v/>
      </c>
      <c r="W66" s="50" t="str">
        <f>IF($AB66="","",IF($AD66,W$3,INDEX('ORDER Form'!$R$1:$R$355,$AB66))&amp;"")</f>
        <v/>
      </c>
      <c r="X66" s="50" t="str">
        <f>IF($AB66="","",IF($AD66,X$3,INDEX('ORDER Form'!$S$1:$S$355,$AB66))&amp;"")</f>
        <v/>
      </c>
      <c r="Y66" s="50" t="str">
        <f>IF($AB66="","",IF($AD66,Y$3,INDEX('ORDER Form'!$T$1:$T$355,$AB66))&amp;"")</f>
        <v/>
      </c>
      <c r="Z66" s="50" t="str">
        <f>IF($AB66="","",IF($AD66,Z$3,INDEX('ORDER Form'!$U$1:$U$355,$AB66))&amp;"")</f>
        <v/>
      </c>
      <c r="AB66" s="51" t="str">
        <f>IFERROR(MATCH(62,$AC$5:$AC$354,0)+5,"")</f>
        <v/>
      </c>
      <c r="AC66" s="51" t="str">
        <f>IF('ORDER Form'!$V67="OK",COUNTIF('ORDER Form'!$V$6:$V67,"OK"),"")</f>
        <v/>
      </c>
      <c r="AD66" s="51" t="str">
        <f>IF($AB66="","",(LEN(TRIM(INDEX('ORDER Form'!$O$1:$O$355,$AB66)))+LEN(TRIM(INDEX('ORDER Form'!$P$1:$P$355,$AB66)))+LEN(TRIM(INDEX('ORDER Form'!$Q$1:$Q$355,$AB66)))+LEN(TRIM(INDEX('ORDER Form'!$R$1:$R$355,$AB66)))+LEN(TRIM(INDEX('ORDER Form'!$S$1:$S$355,$AB66)))+LEN(TRIM(INDEX('ORDER Form'!$T$1:$T$355,$AB66)))+LEN(TRIM(INDEX('ORDER Form'!$U$1:$U$355,$AB66))))=0)</f>
        <v/>
      </c>
    </row>
    <row r="67" spans="1:30" ht="15" customHeight="1" x14ac:dyDescent="0.25">
      <c r="A67" s="50" t="str">
        <f>IF($AB67="","",IFERROR(IF(AND(INDEX('ORDER Form'!$N$1:$N$355,$AB67)="GB",LEFT(UPPER(TRIM(INDEX('ORDER Form'!$L$1:$L$355,$AB67))),2)="BT"),INDEX('ORDER Form'!$AC$1:$AC$355,$AB67),IFERROR(VLOOKUP(INDEX('ORDER Form'!$AC$1:$AC$355,$AB67)&amp;"|"&amp;INDEX('PRODUCT DATA'!$A$2:$A$58,MATCH(INDEX('ORDER Form'!$N$1:$N$355,$AB67),'PRODUCT DATA'!$B$2:$B$58,0)),'PRODUCT DATA'!$NO$2:$NP$25,2,FALSE()),INDEX('ORDER Form'!$AC$1:$AC$355,$AB67)))&amp;"",""))</f>
        <v/>
      </c>
      <c r="B67" s="49"/>
      <c r="C67" s="51" t="str">
        <f>IF($AB67="","",INDEX('ORDER Form'!$C$1:$C$355,$AB67))</f>
        <v/>
      </c>
      <c r="D67" s="49"/>
      <c r="E67" s="49"/>
      <c r="F67" s="49"/>
      <c r="G67" s="49"/>
      <c r="H67" s="49"/>
      <c r="I67" s="49"/>
      <c r="J67" s="50" t="str">
        <f>IF($AB67="","",INDEX('ORDER Form'!$D$1:$D$355,$AB67)&amp;"")</f>
        <v/>
      </c>
      <c r="K67" s="50" t="str">
        <f>IF($AB67="","",INDEX('ORDER Form'!$E$1:$E$355,$AB67)&amp;"")</f>
        <v/>
      </c>
      <c r="L67" s="50" t="str">
        <f>IF($AB67="","",INDEX('ORDER Form'!$F$1:$F$355,$AB67)&amp;"")</f>
        <v/>
      </c>
      <c r="M67" s="50" t="str">
        <f>IF($AB67="","",INDEX('ORDER Form'!$G$1:$G$355,$AB67)&amp;"")</f>
        <v/>
      </c>
      <c r="N67" s="50" t="str">
        <f>IF($AB67="","",INDEX('ORDER Form'!$H$1:$H$355,$AB67)&amp;"")</f>
        <v/>
      </c>
      <c r="O67" s="50" t="str">
        <f>IF($AB67="","",INDEX('ORDER Form'!$I$1:$I$355,$AB67)&amp;"")</f>
        <v/>
      </c>
      <c r="P67" s="50" t="str">
        <f>IF($AB67="","",INDEX('ORDER Form'!$J$1:$J$355,$AB67)&amp;"")</f>
        <v/>
      </c>
      <c r="Q67" s="50" t="str">
        <f>IF($AB67="","",INDEX('ORDER Form'!$AB$1:$AB$355,$AB67)&amp;"")</f>
        <v/>
      </c>
      <c r="R67" s="50" t="str">
        <f>IF($AB67="","",INDEX('ORDER Form'!$L$1:$L$355,$AB67)&amp;"")</f>
        <v/>
      </c>
      <c r="S67" s="50" t="str">
        <f>IF($AB67="","",INDEX('ORDER Form'!$N$1:$N$355,$AB67)&amp;"")</f>
        <v/>
      </c>
      <c r="T67" s="50" t="str">
        <f>IF($AB67="","",IF($AD67,T$3,INDEX('ORDER Form'!$O$1:$O$355,$AB67))&amp;"")</f>
        <v/>
      </c>
      <c r="U67" s="50" t="str">
        <f>IF($AB67="","",IF($AD67,U$3,INDEX('ORDER Form'!$P$1:$P$355,$AB67))&amp;"")</f>
        <v/>
      </c>
      <c r="V67" s="50" t="str">
        <f>IF($AB67="","",IF($AD67,V$3,INDEX('ORDER Form'!$Q$1:$Q$355,$AB67))&amp;"")</f>
        <v/>
      </c>
      <c r="W67" s="50" t="str">
        <f>IF($AB67="","",IF($AD67,W$3,INDEX('ORDER Form'!$R$1:$R$355,$AB67))&amp;"")</f>
        <v/>
      </c>
      <c r="X67" s="50" t="str">
        <f>IF($AB67="","",IF($AD67,X$3,INDEX('ORDER Form'!$S$1:$S$355,$AB67))&amp;"")</f>
        <v/>
      </c>
      <c r="Y67" s="50" t="str">
        <f>IF($AB67="","",IF($AD67,Y$3,INDEX('ORDER Form'!$T$1:$T$355,$AB67))&amp;"")</f>
        <v/>
      </c>
      <c r="Z67" s="50" t="str">
        <f>IF($AB67="","",IF($AD67,Z$3,INDEX('ORDER Form'!$U$1:$U$355,$AB67))&amp;"")</f>
        <v/>
      </c>
      <c r="AB67" s="51" t="str">
        <f>IFERROR(MATCH(63,$AC$5:$AC$354,0)+5,"")</f>
        <v/>
      </c>
      <c r="AC67" s="51" t="str">
        <f>IF('ORDER Form'!$V68="OK",COUNTIF('ORDER Form'!$V$6:$V68,"OK"),"")</f>
        <v/>
      </c>
      <c r="AD67" s="51" t="str">
        <f>IF($AB67="","",(LEN(TRIM(INDEX('ORDER Form'!$O$1:$O$355,$AB67)))+LEN(TRIM(INDEX('ORDER Form'!$P$1:$P$355,$AB67)))+LEN(TRIM(INDEX('ORDER Form'!$Q$1:$Q$355,$AB67)))+LEN(TRIM(INDEX('ORDER Form'!$R$1:$R$355,$AB67)))+LEN(TRIM(INDEX('ORDER Form'!$S$1:$S$355,$AB67)))+LEN(TRIM(INDEX('ORDER Form'!$T$1:$T$355,$AB67)))+LEN(TRIM(INDEX('ORDER Form'!$U$1:$U$355,$AB67))))=0)</f>
        <v/>
      </c>
    </row>
    <row r="68" spans="1:30" ht="15" customHeight="1" x14ac:dyDescent="0.25">
      <c r="A68" s="50" t="str">
        <f>IF($AB68="","",IFERROR(IF(AND(INDEX('ORDER Form'!$N$1:$N$355,$AB68)="GB",LEFT(UPPER(TRIM(INDEX('ORDER Form'!$L$1:$L$355,$AB68))),2)="BT"),INDEX('ORDER Form'!$AC$1:$AC$355,$AB68),IFERROR(VLOOKUP(INDEX('ORDER Form'!$AC$1:$AC$355,$AB68)&amp;"|"&amp;INDEX('PRODUCT DATA'!$A$2:$A$58,MATCH(INDEX('ORDER Form'!$N$1:$N$355,$AB68),'PRODUCT DATA'!$B$2:$B$58,0)),'PRODUCT DATA'!$NO$2:$NP$25,2,FALSE()),INDEX('ORDER Form'!$AC$1:$AC$355,$AB68)))&amp;"",""))</f>
        <v/>
      </c>
      <c r="B68" s="49"/>
      <c r="C68" s="51" t="str">
        <f>IF($AB68="","",INDEX('ORDER Form'!$C$1:$C$355,$AB68))</f>
        <v/>
      </c>
      <c r="D68" s="49"/>
      <c r="E68" s="49"/>
      <c r="F68" s="49"/>
      <c r="G68" s="49"/>
      <c r="H68" s="49"/>
      <c r="I68" s="49"/>
      <c r="J68" s="50" t="str">
        <f>IF($AB68="","",INDEX('ORDER Form'!$D$1:$D$355,$AB68)&amp;"")</f>
        <v/>
      </c>
      <c r="K68" s="50" t="str">
        <f>IF($AB68="","",INDEX('ORDER Form'!$E$1:$E$355,$AB68)&amp;"")</f>
        <v/>
      </c>
      <c r="L68" s="50" t="str">
        <f>IF($AB68="","",INDEX('ORDER Form'!$F$1:$F$355,$AB68)&amp;"")</f>
        <v/>
      </c>
      <c r="M68" s="50" t="str">
        <f>IF($AB68="","",INDEX('ORDER Form'!$G$1:$G$355,$AB68)&amp;"")</f>
        <v/>
      </c>
      <c r="N68" s="50" t="str">
        <f>IF($AB68="","",INDEX('ORDER Form'!$H$1:$H$355,$AB68)&amp;"")</f>
        <v/>
      </c>
      <c r="O68" s="50" t="str">
        <f>IF($AB68="","",INDEX('ORDER Form'!$I$1:$I$355,$AB68)&amp;"")</f>
        <v/>
      </c>
      <c r="P68" s="50" t="str">
        <f>IF($AB68="","",INDEX('ORDER Form'!$J$1:$J$355,$AB68)&amp;"")</f>
        <v/>
      </c>
      <c r="Q68" s="50" t="str">
        <f>IF($AB68="","",INDEX('ORDER Form'!$AB$1:$AB$355,$AB68)&amp;"")</f>
        <v/>
      </c>
      <c r="R68" s="50" t="str">
        <f>IF($AB68="","",INDEX('ORDER Form'!$L$1:$L$355,$AB68)&amp;"")</f>
        <v/>
      </c>
      <c r="S68" s="50" t="str">
        <f>IF($AB68="","",INDEX('ORDER Form'!$N$1:$N$355,$AB68)&amp;"")</f>
        <v/>
      </c>
      <c r="T68" s="50" t="str">
        <f>IF($AB68="","",IF($AD68,T$3,INDEX('ORDER Form'!$O$1:$O$355,$AB68))&amp;"")</f>
        <v/>
      </c>
      <c r="U68" s="50" t="str">
        <f>IF($AB68="","",IF($AD68,U$3,INDEX('ORDER Form'!$P$1:$P$355,$AB68))&amp;"")</f>
        <v/>
      </c>
      <c r="V68" s="50" t="str">
        <f>IF($AB68="","",IF($AD68,V$3,INDEX('ORDER Form'!$Q$1:$Q$355,$AB68))&amp;"")</f>
        <v/>
      </c>
      <c r="W68" s="50" t="str">
        <f>IF($AB68="","",IF($AD68,W$3,INDEX('ORDER Form'!$R$1:$R$355,$AB68))&amp;"")</f>
        <v/>
      </c>
      <c r="X68" s="50" t="str">
        <f>IF($AB68="","",IF($AD68,X$3,INDEX('ORDER Form'!$S$1:$S$355,$AB68))&amp;"")</f>
        <v/>
      </c>
      <c r="Y68" s="50" t="str">
        <f>IF($AB68="","",IF($AD68,Y$3,INDEX('ORDER Form'!$T$1:$T$355,$AB68))&amp;"")</f>
        <v/>
      </c>
      <c r="Z68" s="50" t="str">
        <f>IF($AB68="","",IF($AD68,Z$3,INDEX('ORDER Form'!$U$1:$U$355,$AB68))&amp;"")</f>
        <v/>
      </c>
      <c r="AB68" s="51" t="str">
        <f>IFERROR(MATCH(64,$AC$5:$AC$354,0)+5,"")</f>
        <v/>
      </c>
      <c r="AC68" s="51" t="str">
        <f>IF('ORDER Form'!$V69="OK",COUNTIF('ORDER Form'!$V$6:$V69,"OK"),"")</f>
        <v/>
      </c>
      <c r="AD68" s="51" t="str">
        <f>IF($AB68="","",(LEN(TRIM(INDEX('ORDER Form'!$O$1:$O$355,$AB68)))+LEN(TRIM(INDEX('ORDER Form'!$P$1:$P$355,$AB68)))+LEN(TRIM(INDEX('ORDER Form'!$Q$1:$Q$355,$AB68)))+LEN(TRIM(INDEX('ORDER Form'!$R$1:$R$355,$AB68)))+LEN(TRIM(INDEX('ORDER Form'!$S$1:$S$355,$AB68)))+LEN(TRIM(INDEX('ORDER Form'!$T$1:$T$355,$AB68)))+LEN(TRIM(INDEX('ORDER Form'!$U$1:$U$355,$AB68))))=0)</f>
        <v/>
      </c>
    </row>
    <row r="69" spans="1:30" ht="15" customHeight="1" x14ac:dyDescent="0.25">
      <c r="A69" s="50" t="str">
        <f>IF($AB69="","",IFERROR(IF(AND(INDEX('ORDER Form'!$N$1:$N$355,$AB69)="GB",LEFT(UPPER(TRIM(INDEX('ORDER Form'!$L$1:$L$355,$AB69))),2)="BT"),INDEX('ORDER Form'!$AC$1:$AC$355,$AB69),IFERROR(VLOOKUP(INDEX('ORDER Form'!$AC$1:$AC$355,$AB69)&amp;"|"&amp;INDEX('PRODUCT DATA'!$A$2:$A$58,MATCH(INDEX('ORDER Form'!$N$1:$N$355,$AB69),'PRODUCT DATA'!$B$2:$B$58,0)),'PRODUCT DATA'!$NO$2:$NP$25,2,FALSE()),INDEX('ORDER Form'!$AC$1:$AC$355,$AB69)))&amp;"",""))</f>
        <v/>
      </c>
      <c r="B69" s="49"/>
      <c r="C69" s="51" t="str">
        <f>IF($AB69="","",INDEX('ORDER Form'!$C$1:$C$355,$AB69))</f>
        <v/>
      </c>
      <c r="D69" s="49"/>
      <c r="E69" s="49"/>
      <c r="F69" s="49"/>
      <c r="G69" s="49"/>
      <c r="H69" s="49"/>
      <c r="I69" s="49"/>
      <c r="J69" s="50" t="str">
        <f>IF($AB69="","",INDEX('ORDER Form'!$D$1:$D$355,$AB69)&amp;"")</f>
        <v/>
      </c>
      <c r="K69" s="50" t="str">
        <f>IF($AB69="","",INDEX('ORDER Form'!$E$1:$E$355,$AB69)&amp;"")</f>
        <v/>
      </c>
      <c r="L69" s="50" t="str">
        <f>IF($AB69="","",INDEX('ORDER Form'!$F$1:$F$355,$AB69)&amp;"")</f>
        <v/>
      </c>
      <c r="M69" s="50" t="str">
        <f>IF($AB69="","",INDEX('ORDER Form'!$G$1:$G$355,$AB69)&amp;"")</f>
        <v/>
      </c>
      <c r="N69" s="50" t="str">
        <f>IF($AB69="","",INDEX('ORDER Form'!$H$1:$H$355,$AB69)&amp;"")</f>
        <v/>
      </c>
      <c r="O69" s="50" t="str">
        <f>IF($AB69="","",INDEX('ORDER Form'!$I$1:$I$355,$AB69)&amp;"")</f>
        <v/>
      </c>
      <c r="P69" s="50" t="str">
        <f>IF($AB69="","",INDEX('ORDER Form'!$J$1:$J$355,$AB69)&amp;"")</f>
        <v/>
      </c>
      <c r="Q69" s="50" t="str">
        <f>IF($AB69="","",INDEX('ORDER Form'!$AB$1:$AB$355,$AB69)&amp;"")</f>
        <v/>
      </c>
      <c r="R69" s="50" t="str">
        <f>IF($AB69="","",INDEX('ORDER Form'!$L$1:$L$355,$AB69)&amp;"")</f>
        <v/>
      </c>
      <c r="S69" s="50" t="str">
        <f>IF($AB69="","",INDEX('ORDER Form'!$N$1:$N$355,$AB69)&amp;"")</f>
        <v/>
      </c>
      <c r="T69" s="50" t="str">
        <f>IF($AB69="","",IF($AD69,T$3,INDEX('ORDER Form'!$O$1:$O$355,$AB69))&amp;"")</f>
        <v/>
      </c>
      <c r="U69" s="50" t="str">
        <f>IF($AB69="","",IF($AD69,U$3,INDEX('ORDER Form'!$P$1:$P$355,$AB69))&amp;"")</f>
        <v/>
      </c>
      <c r="V69" s="50" t="str">
        <f>IF($AB69="","",IF($AD69,V$3,INDEX('ORDER Form'!$Q$1:$Q$355,$AB69))&amp;"")</f>
        <v/>
      </c>
      <c r="W69" s="50" t="str">
        <f>IF($AB69="","",IF($AD69,W$3,INDEX('ORDER Form'!$R$1:$R$355,$AB69))&amp;"")</f>
        <v/>
      </c>
      <c r="X69" s="50" t="str">
        <f>IF($AB69="","",IF($AD69,X$3,INDEX('ORDER Form'!$S$1:$S$355,$AB69))&amp;"")</f>
        <v/>
      </c>
      <c r="Y69" s="50" t="str">
        <f>IF($AB69="","",IF($AD69,Y$3,INDEX('ORDER Form'!$T$1:$T$355,$AB69))&amp;"")</f>
        <v/>
      </c>
      <c r="Z69" s="50" t="str">
        <f>IF($AB69="","",IF($AD69,Z$3,INDEX('ORDER Form'!$U$1:$U$355,$AB69))&amp;"")</f>
        <v/>
      </c>
      <c r="AB69" s="51" t="str">
        <f>IFERROR(MATCH(65,$AC$5:$AC$354,0)+5,"")</f>
        <v/>
      </c>
      <c r="AC69" s="51" t="str">
        <f>IF('ORDER Form'!$V70="OK",COUNTIF('ORDER Form'!$V$6:$V70,"OK"),"")</f>
        <v/>
      </c>
      <c r="AD69" s="51" t="str">
        <f>IF($AB69="","",(LEN(TRIM(INDEX('ORDER Form'!$O$1:$O$355,$AB69)))+LEN(TRIM(INDEX('ORDER Form'!$P$1:$P$355,$AB69)))+LEN(TRIM(INDEX('ORDER Form'!$Q$1:$Q$355,$AB69)))+LEN(TRIM(INDEX('ORDER Form'!$R$1:$R$355,$AB69)))+LEN(TRIM(INDEX('ORDER Form'!$S$1:$S$355,$AB69)))+LEN(TRIM(INDEX('ORDER Form'!$T$1:$T$355,$AB69)))+LEN(TRIM(INDEX('ORDER Form'!$U$1:$U$355,$AB69))))=0)</f>
        <v/>
      </c>
    </row>
    <row r="70" spans="1:30" ht="15" customHeight="1" x14ac:dyDescent="0.25">
      <c r="A70" s="50" t="str">
        <f>IF($AB70="","",IFERROR(IF(AND(INDEX('ORDER Form'!$N$1:$N$355,$AB70)="GB",LEFT(UPPER(TRIM(INDEX('ORDER Form'!$L$1:$L$355,$AB70))),2)="BT"),INDEX('ORDER Form'!$AC$1:$AC$355,$AB70),IFERROR(VLOOKUP(INDEX('ORDER Form'!$AC$1:$AC$355,$AB70)&amp;"|"&amp;INDEX('PRODUCT DATA'!$A$2:$A$58,MATCH(INDEX('ORDER Form'!$N$1:$N$355,$AB70),'PRODUCT DATA'!$B$2:$B$58,0)),'PRODUCT DATA'!$NO$2:$NP$25,2,FALSE()),INDEX('ORDER Form'!$AC$1:$AC$355,$AB70)))&amp;"",""))</f>
        <v/>
      </c>
      <c r="B70" s="49"/>
      <c r="C70" s="51" t="str">
        <f>IF($AB70="","",INDEX('ORDER Form'!$C$1:$C$355,$AB70))</f>
        <v/>
      </c>
      <c r="D70" s="49"/>
      <c r="E70" s="49"/>
      <c r="F70" s="49"/>
      <c r="G70" s="49"/>
      <c r="H70" s="49"/>
      <c r="I70" s="49"/>
      <c r="J70" s="50" t="str">
        <f>IF($AB70="","",INDEX('ORDER Form'!$D$1:$D$355,$AB70)&amp;"")</f>
        <v/>
      </c>
      <c r="K70" s="50" t="str">
        <f>IF($AB70="","",INDEX('ORDER Form'!$E$1:$E$355,$AB70)&amp;"")</f>
        <v/>
      </c>
      <c r="L70" s="50" t="str">
        <f>IF($AB70="","",INDEX('ORDER Form'!$F$1:$F$355,$AB70)&amp;"")</f>
        <v/>
      </c>
      <c r="M70" s="50" t="str">
        <f>IF($AB70="","",INDEX('ORDER Form'!$G$1:$G$355,$AB70)&amp;"")</f>
        <v/>
      </c>
      <c r="N70" s="50" t="str">
        <f>IF($AB70="","",INDEX('ORDER Form'!$H$1:$H$355,$AB70)&amp;"")</f>
        <v/>
      </c>
      <c r="O70" s="50" t="str">
        <f>IF($AB70="","",INDEX('ORDER Form'!$I$1:$I$355,$AB70)&amp;"")</f>
        <v/>
      </c>
      <c r="P70" s="50" t="str">
        <f>IF($AB70="","",INDEX('ORDER Form'!$J$1:$J$355,$AB70)&amp;"")</f>
        <v/>
      </c>
      <c r="Q70" s="50" t="str">
        <f>IF($AB70="","",INDEX('ORDER Form'!$AB$1:$AB$355,$AB70)&amp;"")</f>
        <v/>
      </c>
      <c r="R70" s="50" t="str">
        <f>IF($AB70="","",INDEX('ORDER Form'!$L$1:$L$355,$AB70)&amp;"")</f>
        <v/>
      </c>
      <c r="S70" s="50" t="str">
        <f>IF($AB70="","",INDEX('ORDER Form'!$N$1:$N$355,$AB70)&amp;"")</f>
        <v/>
      </c>
      <c r="T70" s="50" t="str">
        <f>IF($AB70="","",IF($AD70,T$3,INDEX('ORDER Form'!$O$1:$O$355,$AB70))&amp;"")</f>
        <v/>
      </c>
      <c r="U70" s="50" t="str">
        <f>IF($AB70="","",IF($AD70,U$3,INDEX('ORDER Form'!$P$1:$P$355,$AB70))&amp;"")</f>
        <v/>
      </c>
      <c r="V70" s="50" t="str">
        <f>IF($AB70="","",IF($AD70,V$3,INDEX('ORDER Form'!$Q$1:$Q$355,$AB70))&amp;"")</f>
        <v/>
      </c>
      <c r="W70" s="50" t="str">
        <f>IF($AB70="","",IF($AD70,W$3,INDEX('ORDER Form'!$R$1:$R$355,$AB70))&amp;"")</f>
        <v/>
      </c>
      <c r="X70" s="50" t="str">
        <f>IF($AB70="","",IF($AD70,X$3,INDEX('ORDER Form'!$S$1:$S$355,$AB70))&amp;"")</f>
        <v/>
      </c>
      <c r="Y70" s="50" t="str">
        <f>IF($AB70="","",IF($AD70,Y$3,INDEX('ORDER Form'!$T$1:$T$355,$AB70))&amp;"")</f>
        <v/>
      </c>
      <c r="Z70" s="50" t="str">
        <f>IF($AB70="","",IF($AD70,Z$3,INDEX('ORDER Form'!$U$1:$U$355,$AB70))&amp;"")</f>
        <v/>
      </c>
      <c r="AB70" s="51" t="str">
        <f>IFERROR(MATCH(66,$AC$5:$AC$354,0)+5,"")</f>
        <v/>
      </c>
      <c r="AC70" s="51" t="str">
        <f>IF('ORDER Form'!$V71="OK",COUNTIF('ORDER Form'!$V$6:$V71,"OK"),"")</f>
        <v/>
      </c>
      <c r="AD70" s="51" t="str">
        <f>IF($AB70="","",(LEN(TRIM(INDEX('ORDER Form'!$O$1:$O$355,$AB70)))+LEN(TRIM(INDEX('ORDER Form'!$P$1:$P$355,$AB70)))+LEN(TRIM(INDEX('ORDER Form'!$Q$1:$Q$355,$AB70)))+LEN(TRIM(INDEX('ORDER Form'!$R$1:$R$355,$AB70)))+LEN(TRIM(INDEX('ORDER Form'!$S$1:$S$355,$AB70)))+LEN(TRIM(INDEX('ORDER Form'!$T$1:$T$355,$AB70)))+LEN(TRIM(INDEX('ORDER Form'!$U$1:$U$355,$AB70))))=0)</f>
        <v/>
      </c>
    </row>
    <row r="71" spans="1:30" ht="15" customHeight="1" x14ac:dyDescent="0.25">
      <c r="A71" s="50" t="str">
        <f>IF($AB71="","",IFERROR(IF(AND(INDEX('ORDER Form'!$N$1:$N$355,$AB71)="GB",LEFT(UPPER(TRIM(INDEX('ORDER Form'!$L$1:$L$355,$AB71))),2)="BT"),INDEX('ORDER Form'!$AC$1:$AC$355,$AB71),IFERROR(VLOOKUP(INDEX('ORDER Form'!$AC$1:$AC$355,$AB71)&amp;"|"&amp;INDEX('PRODUCT DATA'!$A$2:$A$58,MATCH(INDEX('ORDER Form'!$N$1:$N$355,$AB71),'PRODUCT DATA'!$B$2:$B$58,0)),'PRODUCT DATA'!$NO$2:$NP$25,2,FALSE()),INDEX('ORDER Form'!$AC$1:$AC$355,$AB71)))&amp;"",""))</f>
        <v/>
      </c>
      <c r="B71" s="49"/>
      <c r="C71" s="51" t="str">
        <f>IF($AB71="","",INDEX('ORDER Form'!$C$1:$C$355,$AB71))</f>
        <v/>
      </c>
      <c r="D71" s="49"/>
      <c r="E71" s="49"/>
      <c r="F71" s="49"/>
      <c r="G71" s="49"/>
      <c r="H71" s="49"/>
      <c r="I71" s="49"/>
      <c r="J71" s="50" t="str">
        <f>IF($AB71="","",INDEX('ORDER Form'!$D$1:$D$355,$AB71)&amp;"")</f>
        <v/>
      </c>
      <c r="K71" s="50" t="str">
        <f>IF($AB71="","",INDEX('ORDER Form'!$E$1:$E$355,$AB71)&amp;"")</f>
        <v/>
      </c>
      <c r="L71" s="50" t="str">
        <f>IF($AB71="","",INDEX('ORDER Form'!$F$1:$F$355,$AB71)&amp;"")</f>
        <v/>
      </c>
      <c r="M71" s="50" t="str">
        <f>IF($AB71="","",INDEX('ORDER Form'!$G$1:$G$355,$AB71)&amp;"")</f>
        <v/>
      </c>
      <c r="N71" s="50" t="str">
        <f>IF($AB71="","",INDEX('ORDER Form'!$H$1:$H$355,$AB71)&amp;"")</f>
        <v/>
      </c>
      <c r="O71" s="50" t="str">
        <f>IF($AB71="","",INDEX('ORDER Form'!$I$1:$I$355,$AB71)&amp;"")</f>
        <v/>
      </c>
      <c r="P71" s="50" t="str">
        <f>IF($AB71="","",INDEX('ORDER Form'!$J$1:$J$355,$AB71)&amp;"")</f>
        <v/>
      </c>
      <c r="Q71" s="50" t="str">
        <f>IF($AB71="","",INDEX('ORDER Form'!$AB$1:$AB$355,$AB71)&amp;"")</f>
        <v/>
      </c>
      <c r="R71" s="50" t="str">
        <f>IF($AB71="","",INDEX('ORDER Form'!$L$1:$L$355,$AB71)&amp;"")</f>
        <v/>
      </c>
      <c r="S71" s="50" t="str">
        <f>IF($AB71="","",INDEX('ORDER Form'!$N$1:$N$355,$AB71)&amp;"")</f>
        <v/>
      </c>
      <c r="T71" s="50" t="str">
        <f>IF($AB71="","",IF($AD71,T$3,INDEX('ORDER Form'!$O$1:$O$355,$AB71))&amp;"")</f>
        <v/>
      </c>
      <c r="U71" s="50" t="str">
        <f>IF($AB71="","",IF($AD71,U$3,INDEX('ORDER Form'!$P$1:$P$355,$AB71))&amp;"")</f>
        <v/>
      </c>
      <c r="V71" s="50" t="str">
        <f>IF($AB71="","",IF($AD71,V$3,INDEX('ORDER Form'!$Q$1:$Q$355,$AB71))&amp;"")</f>
        <v/>
      </c>
      <c r="W71" s="50" t="str">
        <f>IF($AB71="","",IF($AD71,W$3,INDEX('ORDER Form'!$R$1:$R$355,$AB71))&amp;"")</f>
        <v/>
      </c>
      <c r="X71" s="50" t="str">
        <f>IF($AB71="","",IF($AD71,X$3,INDEX('ORDER Form'!$S$1:$S$355,$AB71))&amp;"")</f>
        <v/>
      </c>
      <c r="Y71" s="50" t="str">
        <f>IF($AB71="","",IF($AD71,Y$3,INDEX('ORDER Form'!$T$1:$T$355,$AB71))&amp;"")</f>
        <v/>
      </c>
      <c r="Z71" s="50" t="str">
        <f>IF($AB71="","",IF($AD71,Z$3,INDEX('ORDER Form'!$U$1:$U$355,$AB71))&amp;"")</f>
        <v/>
      </c>
      <c r="AB71" s="51" t="str">
        <f>IFERROR(MATCH(67,$AC$5:$AC$354,0)+5,"")</f>
        <v/>
      </c>
      <c r="AC71" s="51" t="str">
        <f>IF('ORDER Form'!$V72="OK",COUNTIF('ORDER Form'!$V$6:$V72,"OK"),"")</f>
        <v/>
      </c>
      <c r="AD71" s="51" t="str">
        <f>IF($AB71="","",(LEN(TRIM(INDEX('ORDER Form'!$O$1:$O$355,$AB71)))+LEN(TRIM(INDEX('ORDER Form'!$P$1:$P$355,$AB71)))+LEN(TRIM(INDEX('ORDER Form'!$Q$1:$Q$355,$AB71)))+LEN(TRIM(INDEX('ORDER Form'!$R$1:$R$355,$AB71)))+LEN(TRIM(INDEX('ORDER Form'!$S$1:$S$355,$AB71)))+LEN(TRIM(INDEX('ORDER Form'!$T$1:$T$355,$AB71)))+LEN(TRIM(INDEX('ORDER Form'!$U$1:$U$355,$AB71))))=0)</f>
        <v/>
      </c>
    </row>
    <row r="72" spans="1:30" ht="15" customHeight="1" x14ac:dyDescent="0.25">
      <c r="A72" s="50" t="str">
        <f>IF($AB72="","",IFERROR(IF(AND(INDEX('ORDER Form'!$N$1:$N$355,$AB72)="GB",LEFT(UPPER(TRIM(INDEX('ORDER Form'!$L$1:$L$355,$AB72))),2)="BT"),INDEX('ORDER Form'!$AC$1:$AC$355,$AB72),IFERROR(VLOOKUP(INDEX('ORDER Form'!$AC$1:$AC$355,$AB72)&amp;"|"&amp;INDEX('PRODUCT DATA'!$A$2:$A$58,MATCH(INDEX('ORDER Form'!$N$1:$N$355,$AB72),'PRODUCT DATA'!$B$2:$B$58,0)),'PRODUCT DATA'!$NO$2:$NP$25,2,FALSE()),INDEX('ORDER Form'!$AC$1:$AC$355,$AB72)))&amp;"",""))</f>
        <v/>
      </c>
      <c r="B72" s="49"/>
      <c r="C72" s="51" t="str">
        <f>IF($AB72="","",INDEX('ORDER Form'!$C$1:$C$355,$AB72))</f>
        <v/>
      </c>
      <c r="D72" s="49"/>
      <c r="E72" s="49"/>
      <c r="F72" s="49"/>
      <c r="G72" s="49"/>
      <c r="H72" s="49"/>
      <c r="I72" s="49"/>
      <c r="J72" s="50" t="str">
        <f>IF($AB72="","",INDEX('ORDER Form'!$D$1:$D$355,$AB72)&amp;"")</f>
        <v/>
      </c>
      <c r="K72" s="50" t="str">
        <f>IF($AB72="","",INDEX('ORDER Form'!$E$1:$E$355,$AB72)&amp;"")</f>
        <v/>
      </c>
      <c r="L72" s="50" t="str">
        <f>IF($AB72="","",INDEX('ORDER Form'!$F$1:$F$355,$AB72)&amp;"")</f>
        <v/>
      </c>
      <c r="M72" s="50" t="str">
        <f>IF($AB72="","",INDEX('ORDER Form'!$G$1:$G$355,$AB72)&amp;"")</f>
        <v/>
      </c>
      <c r="N72" s="50" t="str">
        <f>IF($AB72="","",INDEX('ORDER Form'!$H$1:$H$355,$AB72)&amp;"")</f>
        <v/>
      </c>
      <c r="O72" s="50" t="str">
        <f>IF($AB72="","",INDEX('ORDER Form'!$I$1:$I$355,$AB72)&amp;"")</f>
        <v/>
      </c>
      <c r="P72" s="50" t="str">
        <f>IF($AB72="","",INDEX('ORDER Form'!$J$1:$J$355,$AB72)&amp;"")</f>
        <v/>
      </c>
      <c r="Q72" s="50" t="str">
        <f>IF($AB72="","",INDEX('ORDER Form'!$AB$1:$AB$355,$AB72)&amp;"")</f>
        <v/>
      </c>
      <c r="R72" s="50" t="str">
        <f>IF($AB72="","",INDEX('ORDER Form'!$L$1:$L$355,$AB72)&amp;"")</f>
        <v/>
      </c>
      <c r="S72" s="50" t="str">
        <f>IF($AB72="","",INDEX('ORDER Form'!$N$1:$N$355,$AB72)&amp;"")</f>
        <v/>
      </c>
      <c r="T72" s="50" t="str">
        <f>IF($AB72="","",IF($AD72,T$3,INDEX('ORDER Form'!$O$1:$O$355,$AB72))&amp;"")</f>
        <v/>
      </c>
      <c r="U72" s="50" t="str">
        <f>IF($AB72="","",IF($AD72,U$3,INDEX('ORDER Form'!$P$1:$P$355,$AB72))&amp;"")</f>
        <v/>
      </c>
      <c r="V72" s="50" t="str">
        <f>IF($AB72="","",IF($AD72,V$3,INDEX('ORDER Form'!$Q$1:$Q$355,$AB72))&amp;"")</f>
        <v/>
      </c>
      <c r="W72" s="50" t="str">
        <f>IF($AB72="","",IF($AD72,W$3,INDEX('ORDER Form'!$R$1:$R$355,$AB72))&amp;"")</f>
        <v/>
      </c>
      <c r="X72" s="50" t="str">
        <f>IF($AB72="","",IF($AD72,X$3,INDEX('ORDER Form'!$S$1:$S$355,$AB72))&amp;"")</f>
        <v/>
      </c>
      <c r="Y72" s="50" t="str">
        <f>IF($AB72="","",IF($AD72,Y$3,INDEX('ORDER Form'!$T$1:$T$355,$AB72))&amp;"")</f>
        <v/>
      </c>
      <c r="Z72" s="50" t="str">
        <f>IF($AB72="","",IF($AD72,Z$3,INDEX('ORDER Form'!$U$1:$U$355,$AB72))&amp;"")</f>
        <v/>
      </c>
      <c r="AB72" s="51" t="str">
        <f>IFERROR(MATCH(68,$AC$5:$AC$354,0)+5,"")</f>
        <v/>
      </c>
      <c r="AC72" s="51" t="str">
        <f>IF('ORDER Form'!$V73="OK",COUNTIF('ORDER Form'!$V$6:$V73,"OK"),"")</f>
        <v/>
      </c>
      <c r="AD72" s="51" t="str">
        <f>IF($AB72="","",(LEN(TRIM(INDEX('ORDER Form'!$O$1:$O$355,$AB72)))+LEN(TRIM(INDEX('ORDER Form'!$P$1:$P$355,$AB72)))+LEN(TRIM(INDEX('ORDER Form'!$Q$1:$Q$355,$AB72)))+LEN(TRIM(INDEX('ORDER Form'!$R$1:$R$355,$AB72)))+LEN(TRIM(INDEX('ORDER Form'!$S$1:$S$355,$AB72)))+LEN(TRIM(INDEX('ORDER Form'!$T$1:$T$355,$AB72)))+LEN(TRIM(INDEX('ORDER Form'!$U$1:$U$355,$AB72))))=0)</f>
        <v/>
      </c>
    </row>
    <row r="73" spans="1:30" ht="15" customHeight="1" x14ac:dyDescent="0.25">
      <c r="A73" s="50" t="str">
        <f>IF($AB73="","",IFERROR(IF(AND(INDEX('ORDER Form'!$N$1:$N$355,$AB73)="GB",LEFT(UPPER(TRIM(INDEX('ORDER Form'!$L$1:$L$355,$AB73))),2)="BT"),INDEX('ORDER Form'!$AC$1:$AC$355,$AB73),IFERROR(VLOOKUP(INDEX('ORDER Form'!$AC$1:$AC$355,$AB73)&amp;"|"&amp;INDEX('PRODUCT DATA'!$A$2:$A$58,MATCH(INDEX('ORDER Form'!$N$1:$N$355,$AB73),'PRODUCT DATA'!$B$2:$B$58,0)),'PRODUCT DATA'!$NO$2:$NP$25,2,FALSE()),INDEX('ORDER Form'!$AC$1:$AC$355,$AB73)))&amp;"",""))</f>
        <v/>
      </c>
      <c r="B73" s="49"/>
      <c r="C73" s="51" t="str">
        <f>IF($AB73="","",INDEX('ORDER Form'!$C$1:$C$355,$AB73))</f>
        <v/>
      </c>
      <c r="D73" s="49"/>
      <c r="E73" s="49"/>
      <c r="F73" s="49"/>
      <c r="G73" s="49"/>
      <c r="H73" s="49"/>
      <c r="I73" s="49"/>
      <c r="J73" s="50" t="str">
        <f>IF($AB73="","",INDEX('ORDER Form'!$D$1:$D$355,$AB73)&amp;"")</f>
        <v/>
      </c>
      <c r="K73" s="50" t="str">
        <f>IF($AB73="","",INDEX('ORDER Form'!$E$1:$E$355,$AB73)&amp;"")</f>
        <v/>
      </c>
      <c r="L73" s="50" t="str">
        <f>IF($AB73="","",INDEX('ORDER Form'!$F$1:$F$355,$AB73)&amp;"")</f>
        <v/>
      </c>
      <c r="M73" s="50" t="str">
        <f>IF($AB73="","",INDEX('ORDER Form'!$G$1:$G$355,$AB73)&amp;"")</f>
        <v/>
      </c>
      <c r="N73" s="50" t="str">
        <f>IF($AB73="","",INDEX('ORDER Form'!$H$1:$H$355,$AB73)&amp;"")</f>
        <v/>
      </c>
      <c r="O73" s="50" t="str">
        <f>IF($AB73="","",INDEX('ORDER Form'!$I$1:$I$355,$AB73)&amp;"")</f>
        <v/>
      </c>
      <c r="P73" s="50" t="str">
        <f>IF($AB73="","",INDEX('ORDER Form'!$J$1:$J$355,$AB73)&amp;"")</f>
        <v/>
      </c>
      <c r="Q73" s="50" t="str">
        <f>IF($AB73="","",INDEX('ORDER Form'!$AB$1:$AB$355,$AB73)&amp;"")</f>
        <v/>
      </c>
      <c r="R73" s="50" t="str">
        <f>IF($AB73="","",INDEX('ORDER Form'!$L$1:$L$355,$AB73)&amp;"")</f>
        <v/>
      </c>
      <c r="S73" s="50" t="str">
        <f>IF($AB73="","",INDEX('ORDER Form'!$N$1:$N$355,$AB73)&amp;"")</f>
        <v/>
      </c>
      <c r="T73" s="50" t="str">
        <f>IF($AB73="","",IF($AD73,T$3,INDEX('ORDER Form'!$O$1:$O$355,$AB73))&amp;"")</f>
        <v/>
      </c>
      <c r="U73" s="50" t="str">
        <f>IF($AB73="","",IF($AD73,U$3,INDEX('ORDER Form'!$P$1:$P$355,$AB73))&amp;"")</f>
        <v/>
      </c>
      <c r="V73" s="50" t="str">
        <f>IF($AB73="","",IF($AD73,V$3,INDEX('ORDER Form'!$Q$1:$Q$355,$AB73))&amp;"")</f>
        <v/>
      </c>
      <c r="W73" s="50" t="str">
        <f>IF($AB73="","",IF($AD73,W$3,INDEX('ORDER Form'!$R$1:$R$355,$AB73))&amp;"")</f>
        <v/>
      </c>
      <c r="X73" s="50" t="str">
        <f>IF($AB73="","",IF($AD73,X$3,INDEX('ORDER Form'!$S$1:$S$355,$AB73))&amp;"")</f>
        <v/>
      </c>
      <c r="Y73" s="50" t="str">
        <f>IF($AB73="","",IF($AD73,Y$3,INDEX('ORDER Form'!$T$1:$T$355,$AB73))&amp;"")</f>
        <v/>
      </c>
      <c r="Z73" s="50" t="str">
        <f>IF($AB73="","",IF($AD73,Z$3,INDEX('ORDER Form'!$U$1:$U$355,$AB73))&amp;"")</f>
        <v/>
      </c>
      <c r="AB73" s="51" t="str">
        <f>IFERROR(MATCH(69,$AC$5:$AC$354,0)+5,"")</f>
        <v/>
      </c>
      <c r="AC73" s="51" t="str">
        <f>IF('ORDER Form'!$V74="OK",COUNTIF('ORDER Form'!$V$6:$V74,"OK"),"")</f>
        <v/>
      </c>
      <c r="AD73" s="51" t="str">
        <f>IF($AB73="","",(LEN(TRIM(INDEX('ORDER Form'!$O$1:$O$355,$AB73)))+LEN(TRIM(INDEX('ORDER Form'!$P$1:$P$355,$AB73)))+LEN(TRIM(INDEX('ORDER Form'!$Q$1:$Q$355,$AB73)))+LEN(TRIM(INDEX('ORDER Form'!$R$1:$R$355,$AB73)))+LEN(TRIM(INDEX('ORDER Form'!$S$1:$S$355,$AB73)))+LEN(TRIM(INDEX('ORDER Form'!$T$1:$T$355,$AB73)))+LEN(TRIM(INDEX('ORDER Form'!$U$1:$U$355,$AB73))))=0)</f>
        <v/>
      </c>
    </row>
    <row r="74" spans="1:30" ht="15" customHeight="1" x14ac:dyDescent="0.25">
      <c r="A74" s="50" t="str">
        <f>IF($AB74="","",IFERROR(IF(AND(INDEX('ORDER Form'!$N$1:$N$355,$AB74)="GB",LEFT(UPPER(TRIM(INDEX('ORDER Form'!$L$1:$L$355,$AB74))),2)="BT"),INDEX('ORDER Form'!$AC$1:$AC$355,$AB74),IFERROR(VLOOKUP(INDEX('ORDER Form'!$AC$1:$AC$355,$AB74)&amp;"|"&amp;INDEX('PRODUCT DATA'!$A$2:$A$58,MATCH(INDEX('ORDER Form'!$N$1:$N$355,$AB74),'PRODUCT DATA'!$B$2:$B$58,0)),'PRODUCT DATA'!$NO$2:$NP$25,2,FALSE()),INDEX('ORDER Form'!$AC$1:$AC$355,$AB74)))&amp;"",""))</f>
        <v/>
      </c>
      <c r="B74" s="49"/>
      <c r="C74" s="51" t="str">
        <f>IF($AB74="","",INDEX('ORDER Form'!$C$1:$C$355,$AB74))</f>
        <v/>
      </c>
      <c r="D74" s="49"/>
      <c r="E74" s="49"/>
      <c r="F74" s="49"/>
      <c r="G74" s="49"/>
      <c r="H74" s="49"/>
      <c r="I74" s="49"/>
      <c r="J74" s="50" t="str">
        <f>IF($AB74="","",INDEX('ORDER Form'!$D$1:$D$355,$AB74)&amp;"")</f>
        <v/>
      </c>
      <c r="K74" s="50" t="str">
        <f>IF($AB74="","",INDEX('ORDER Form'!$E$1:$E$355,$AB74)&amp;"")</f>
        <v/>
      </c>
      <c r="L74" s="50" t="str">
        <f>IF($AB74="","",INDEX('ORDER Form'!$F$1:$F$355,$AB74)&amp;"")</f>
        <v/>
      </c>
      <c r="M74" s="50" t="str">
        <f>IF($AB74="","",INDEX('ORDER Form'!$G$1:$G$355,$AB74)&amp;"")</f>
        <v/>
      </c>
      <c r="N74" s="50" t="str">
        <f>IF($AB74="","",INDEX('ORDER Form'!$H$1:$H$355,$AB74)&amp;"")</f>
        <v/>
      </c>
      <c r="O74" s="50" t="str">
        <f>IF($AB74="","",INDEX('ORDER Form'!$I$1:$I$355,$AB74)&amp;"")</f>
        <v/>
      </c>
      <c r="P74" s="50" t="str">
        <f>IF($AB74="","",INDEX('ORDER Form'!$J$1:$J$355,$AB74)&amp;"")</f>
        <v/>
      </c>
      <c r="Q74" s="50" t="str">
        <f>IF($AB74="","",INDEX('ORDER Form'!$AB$1:$AB$355,$AB74)&amp;"")</f>
        <v/>
      </c>
      <c r="R74" s="50" t="str">
        <f>IF($AB74="","",INDEX('ORDER Form'!$L$1:$L$355,$AB74)&amp;"")</f>
        <v/>
      </c>
      <c r="S74" s="50" t="str">
        <f>IF($AB74="","",INDEX('ORDER Form'!$N$1:$N$355,$AB74)&amp;"")</f>
        <v/>
      </c>
      <c r="T74" s="50" t="str">
        <f>IF($AB74="","",IF($AD74,T$3,INDEX('ORDER Form'!$O$1:$O$355,$AB74))&amp;"")</f>
        <v/>
      </c>
      <c r="U74" s="50" t="str">
        <f>IF($AB74="","",IF($AD74,U$3,INDEX('ORDER Form'!$P$1:$P$355,$AB74))&amp;"")</f>
        <v/>
      </c>
      <c r="V74" s="50" t="str">
        <f>IF($AB74="","",IF($AD74,V$3,INDEX('ORDER Form'!$Q$1:$Q$355,$AB74))&amp;"")</f>
        <v/>
      </c>
      <c r="W74" s="50" t="str">
        <f>IF($AB74="","",IF($AD74,W$3,INDEX('ORDER Form'!$R$1:$R$355,$AB74))&amp;"")</f>
        <v/>
      </c>
      <c r="X74" s="50" t="str">
        <f>IF($AB74="","",IF($AD74,X$3,INDEX('ORDER Form'!$S$1:$S$355,$AB74))&amp;"")</f>
        <v/>
      </c>
      <c r="Y74" s="50" t="str">
        <f>IF($AB74="","",IF($AD74,Y$3,INDEX('ORDER Form'!$T$1:$T$355,$AB74))&amp;"")</f>
        <v/>
      </c>
      <c r="Z74" s="50" t="str">
        <f>IF($AB74="","",IF($AD74,Z$3,INDEX('ORDER Form'!$U$1:$U$355,$AB74))&amp;"")</f>
        <v/>
      </c>
      <c r="AB74" s="51" t="str">
        <f>IFERROR(MATCH(70,$AC$5:$AC$354,0)+5,"")</f>
        <v/>
      </c>
      <c r="AC74" s="51" t="str">
        <f>IF('ORDER Form'!$V75="OK",COUNTIF('ORDER Form'!$V$6:$V75,"OK"),"")</f>
        <v/>
      </c>
      <c r="AD74" s="51" t="str">
        <f>IF($AB74="","",(LEN(TRIM(INDEX('ORDER Form'!$O$1:$O$355,$AB74)))+LEN(TRIM(INDEX('ORDER Form'!$P$1:$P$355,$AB74)))+LEN(TRIM(INDEX('ORDER Form'!$Q$1:$Q$355,$AB74)))+LEN(TRIM(INDEX('ORDER Form'!$R$1:$R$355,$AB74)))+LEN(TRIM(INDEX('ORDER Form'!$S$1:$S$355,$AB74)))+LEN(TRIM(INDEX('ORDER Form'!$T$1:$T$355,$AB74)))+LEN(TRIM(INDEX('ORDER Form'!$U$1:$U$355,$AB74))))=0)</f>
        <v/>
      </c>
    </row>
    <row r="75" spans="1:30" ht="15" customHeight="1" x14ac:dyDescent="0.25">
      <c r="A75" s="50" t="str">
        <f>IF($AB75="","",IFERROR(IF(AND(INDEX('ORDER Form'!$N$1:$N$355,$AB75)="GB",LEFT(UPPER(TRIM(INDEX('ORDER Form'!$L$1:$L$355,$AB75))),2)="BT"),INDEX('ORDER Form'!$AC$1:$AC$355,$AB75),IFERROR(VLOOKUP(INDEX('ORDER Form'!$AC$1:$AC$355,$AB75)&amp;"|"&amp;INDEX('PRODUCT DATA'!$A$2:$A$58,MATCH(INDEX('ORDER Form'!$N$1:$N$355,$AB75),'PRODUCT DATA'!$B$2:$B$58,0)),'PRODUCT DATA'!$NO$2:$NP$25,2,FALSE()),INDEX('ORDER Form'!$AC$1:$AC$355,$AB75)))&amp;"",""))</f>
        <v/>
      </c>
      <c r="B75" s="49"/>
      <c r="C75" s="51" t="str">
        <f>IF($AB75="","",INDEX('ORDER Form'!$C$1:$C$355,$AB75))</f>
        <v/>
      </c>
      <c r="D75" s="49"/>
      <c r="E75" s="49"/>
      <c r="F75" s="49"/>
      <c r="G75" s="49"/>
      <c r="H75" s="49"/>
      <c r="I75" s="49"/>
      <c r="J75" s="50" t="str">
        <f>IF($AB75="","",INDEX('ORDER Form'!$D$1:$D$355,$AB75)&amp;"")</f>
        <v/>
      </c>
      <c r="K75" s="50" t="str">
        <f>IF($AB75="","",INDEX('ORDER Form'!$E$1:$E$355,$AB75)&amp;"")</f>
        <v/>
      </c>
      <c r="L75" s="50" t="str">
        <f>IF($AB75="","",INDEX('ORDER Form'!$F$1:$F$355,$AB75)&amp;"")</f>
        <v/>
      </c>
      <c r="M75" s="50" t="str">
        <f>IF($AB75="","",INDEX('ORDER Form'!$G$1:$G$355,$AB75)&amp;"")</f>
        <v/>
      </c>
      <c r="N75" s="50" t="str">
        <f>IF($AB75="","",INDEX('ORDER Form'!$H$1:$H$355,$AB75)&amp;"")</f>
        <v/>
      </c>
      <c r="O75" s="50" t="str">
        <f>IF($AB75="","",INDEX('ORDER Form'!$I$1:$I$355,$AB75)&amp;"")</f>
        <v/>
      </c>
      <c r="P75" s="50" t="str">
        <f>IF($AB75="","",INDEX('ORDER Form'!$J$1:$J$355,$AB75)&amp;"")</f>
        <v/>
      </c>
      <c r="Q75" s="50" t="str">
        <f>IF($AB75="","",INDEX('ORDER Form'!$AB$1:$AB$355,$AB75)&amp;"")</f>
        <v/>
      </c>
      <c r="R75" s="50" t="str">
        <f>IF($AB75="","",INDEX('ORDER Form'!$L$1:$L$355,$AB75)&amp;"")</f>
        <v/>
      </c>
      <c r="S75" s="50" t="str">
        <f>IF($AB75="","",INDEX('ORDER Form'!$N$1:$N$355,$AB75)&amp;"")</f>
        <v/>
      </c>
      <c r="T75" s="50" t="str">
        <f>IF($AB75="","",IF($AD75,T$3,INDEX('ORDER Form'!$O$1:$O$355,$AB75))&amp;"")</f>
        <v/>
      </c>
      <c r="U75" s="50" t="str">
        <f>IF($AB75="","",IF($AD75,U$3,INDEX('ORDER Form'!$P$1:$P$355,$AB75))&amp;"")</f>
        <v/>
      </c>
      <c r="V75" s="50" t="str">
        <f>IF($AB75="","",IF($AD75,V$3,INDEX('ORDER Form'!$Q$1:$Q$355,$AB75))&amp;"")</f>
        <v/>
      </c>
      <c r="W75" s="50" t="str">
        <f>IF($AB75="","",IF($AD75,W$3,INDEX('ORDER Form'!$R$1:$R$355,$AB75))&amp;"")</f>
        <v/>
      </c>
      <c r="X75" s="50" t="str">
        <f>IF($AB75="","",IF($AD75,X$3,INDEX('ORDER Form'!$S$1:$S$355,$AB75))&amp;"")</f>
        <v/>
      </c>
      <c r="Y75" s="50" t="str">
        <f>IF($AB75="","",IF($AD75,Y$3,INDEX('ORDER Form'!$T$1:$T$355,$AB75))&amp;"")</f>
        <v/>
      </c>
      <c r="Z75" s="50" t="str">
        <f>IF($AB75="","",IF($AD75,Z$3,INDEX('ORDER Form'!$U$1:$U$355,$AB75))&amp;"")</f>
        <v/>
      </c>
      <c r="AB75" s="51" t="str">
        <f>IFERROR(MATCH(71,$AC$5:$AC$354,0)+5,"")</f>
        <v/>
      </c>
      <c r="AC75" s="51" t="str">
        <f>IF('ORDER Form'!$V76="OK",COUNTIF('ORDER Form'!$V$6:$V76,"OK"),"")</f>
        <v/>
      </c>
      <c r="AD75" s="51" t="str">
        <f>IF($AB75="","",(LEN(TRIM(INDEX('ORDER Form'!$O$1:$O$355,$AB75)))+LEN(TRIM(INDEX('ORDER Form'!$P$1:$P$355,$AB75)))+LEN(TRIM(INDEX('ORDER Form'!$Q$1:$Q$355,$AB75)))+LEN(TRIM(INDEX('ORDER Form'!$R$1:$R$355,$AB75)))+LEN(TRIM(INDEX('ORDER Form'!$S$1:$S$355,$AB75)))+LEN(TRIM(INDEX('ORDER Form'!$T$1:$T$355,$AB75)))+LEN(TRIM(INDEX('ORDER Form'!$U$1:$U$355,$AB75))))=0)</f>
        <v/>
      </c>
    </row>
    <row r="76" spans="1:30" ht="15" customHeight="1" x14ac:dyDescent="0.25">
      <c r="A76" s="50" t="str">
        <f>IF($AB76="","",IFERROR(IF(AND(INDEX('ORDER Form'!$N$1:$N$355,$AB76)="GB",LEFT(UPPER(TRIM(INDEX('ORDER Form'!$L$1:$L$355,$AB76))),2)="BT"),INDEX('ORDER Form'!$AC$1:$AC$355,$AB76),IFERROR(VLOOKUP(INDEX('ORDER Form'!$AC$1:$AC$355,$AB76)&amp;"|"&amp;INDEX('PRODUCT DATA'!$A$2:$A$58,MATCH(INDEX('ORDER Form'!$N$1:$N$355,$AB76),'PRODUCT DATA'!$B$2:$B$58,0)),'PRODUCT DATA'!$NO$2:$NP$25,2,FALSE()),INDEX('ORDER Form'!$AC$1:$AC$355,$AB76)))&amp;"",""))</f>
        <v/>
      </c>
      <c r="B76" s="49"/>
      <c r="C76" s="51" t="str">
        <f>IF($AB76="","",INDEX('ORDER Form'!$C$1:$C$355,$AB76))</f>
        <v/>
      </c>
      <c r="D76" s="49"/>
      <c r="E76" s="49"/>
      <c r="F76" s="49"/>
      <c r="G76" s="49"/>
      <c r="H76" s="49"/>
      <c r="I76" s="49"/>
      <c r="J76" s="50" t="str">
        <f>IF($AB76="","",INDEX('ORDER Form'!$D$1:$D$355,$AB76)&amp;"")</f>
        <v/>
      </c>
      <c r="K76" s="50" t="str">
        <f>IF($AB76="","",INDEX('ORDER Form'!$E$1:$E$355,$AB76)&amp;"")</f>
        <v/>
      </c>
      <c r="L76" s="50" t="str">
        <f>IF($AB76="","",INDEX('ORDER Form'!$F$1:$F$355,$AB76)&amp;"")</f>
        <v/>
      </c>
      <c r="M76" s="50" t="str">
        <f>IF($AB76="","",INDEX('ORDER Form'!$G$1:$G$355,$AB76)&amp;"")</f>
        <v/>
      </c>
      <c r="N76" s="50" t="str">
        <f>IF($AB76="","",INDEX('ORDER Form'!$H$1:$H$355,$AB76)&amp;"")</f>
        <v/>
      </c>
      <c r="O76" s="50" t="str">
        <f>IF($AB76="","",INDEX('ORDER Form'!$I$1:$I$355,$AB76)&amp;"")</f>
        <v/>
      </c>
      <c r="P76" s="50" t="str">
        <f>IF($AB76="","",INDEX('ORDER Form'!$J$1:$J$355,$AB76)&amp;"")</f>
        <v/>
      </c>
      <c r="Q76" s="50" t="str">
        <f>IF($AB76="","",INDEX('ORDER Form'!$AB$1:$AB$355,$AB76)&amp;"")</f>
        <v/>
      </c>
      <c r="R76" s="50" t="str">
        <f>IF($AB76="","",INDEX('ORDER Form'!$L$1:$L$355,$AB76)&amp;"")</f>
        <v/>
      </c>
      <c r="S76" s="50" t="str">
        <f>IF($AB76="","",INDEX('ORDER Form'!$N$1:$N$355,$AB76)&amp;"")</f>
        <v/>
      </c>
      <c r="T76" s="50" t="str">
        <f>IF($AB76="","",IF($AD76,T$3,INDEX('ORDER Form'!$O$1:$O$355,$AB76))&amp;"")</f>
        <v/>
      </c>
      <c r="U76" s="50" t="str">
        <f>IF($AB76="","",IF($AD76,U$3,INDEX('ORDER Form'!$P$1:$P$355,$AB76))&amp;"")</f>
        <v/>
      </c>
      <c r="V76" s="50" t="str">
        <f>IF($AB76="","",IF($AD76,V$3,INDEX('ORDER Form'!$Q$1:$Q$355,$AB76))&amp;"")</f>
        <v/>
      </c>
      <c r="W76" s="50" t="str">
        <f>IF($AB76="","",IF($AD76,W$3,INDEX('ORDER Form'!$R$1:$R$355,$AB76))&amp;"")</f>
        <v/>
      </c>
      <c r="X76" s="50" t="str">
        <f>IF($AB76="","",IF($AD76,X$3,INDEX('ORDER Form'!$S$1:$S$355,$AB76))&amp;"")</f>
        <v/>
      </c>
      <c r="Y76" s="50" t="str">
        <f>IF($AB76="","",IF($AD76,Y$3,INDEX('ORDER Form'!$T$1:$T$355,$AB76))&amp;"")</f>
        <v/>
      </c>
      <c r="Z76" s="50" t="str">
        <f>IF($AB76="","",IF($AD76,Z$3,INDEX('ORDER Form'!$U$1:$U$355,$AB76))&amp;"")</f>
        <v/>
      </c>
      <c r="AB76" s="51" t="str">
        <f>IFERROR(MATCH(72,$AC$5:$AC$354,0)+5,"")</f>
        <v/>
      </c>
      <c r="AC76" s="51" t="str">
        <f>IF('ORDER Form'!$V77="OK",COUNTIF('ORDER Form'!$V$6:$V77,"OK"),"")</f>
        <v/>
      </c>
      <c r="AD76" s="51" t="str">
        <f>IF($AB76="","",(LEN(TRIM(INDEX('ORDER Form'!$O$1:$O$355,$AB76)))+LEN(TRIM(INDEX('ORDER Form'!$P$1:$P$355,$AB76)))+LEN(TRIM(INDEX('ORDER Form'!$Q$1:$Q$355,$AB76)))+LEN(TRIM(INDEX('ORDER Form'!$R$1:$R$355,$AB76)))+LEN(TRIM(INDEX('ORDER Form'!$S$1:$S$355,$AB76)))+LEN(TRIM(INDEX('ORDER Form'!$T$1:$T$355,$AB76)))+LEN(TRIM(INDEX('ORDER Form'!$U$1:$U$355,$AB76))))=0)</f>
        <v/>
      </c>
    </row>
    <row r="77" spans="1:30" ht="15" customHeight="1" x14ac:dyDescent="0.25">
      <c r="A77" s="50" t="str">
        <f>IF($AB77="","",IFERROR(IF(AND(INDEX('ORDER Form'!$N$1:$N$355,$AB77)="GB",LEFT(UPPER(TRIM(INDEX('ORDER Form'!$L$1:$L$355,$AB77))),2)="BT"),INDEX('ORDER Form'!$AC$1:$AC$355,$AB77),IFERROR(VLOOKUP(INDEX('ORDER Form'!$AC$1:$AC$355,$AB77)&amp;"|"&amp;INDEX('PRODUCT DATA'!$A$2:$A$58,MATCH(INDEX('ORDER Form'!$N$1:$N$355,$AB77),'PRODUCT DATA'!$B$2:$B$58,0)),'PRODUCT DATA'!$NO$2:$NP$25,2,FALSE()),INDEX('ORDER Form'!$AC$1:$AC$355,$AB77)))&amp;"",""))</f>
        <v/>
      </c>
      <c r="B77" s="49"/>
      <c r="C77" s="51" t="str">
        <f>IF($AB77="","",INDEX('ORDER Form'!$C$1:$C$355,$AB77))</f>
        <v/>
      </c>
      <c r="D77" s="49"/>
      <c r="E77" s="49"/>
      <c r="F77" s="49"/>
      <c r="G77" s="49"/>
      <c r="H77" s="49"/>
      <c r="I77" s="49"/>
      <c r="J77" s="50" t="str">
        <f>IF($AB77="","",INDEX('ORDER Form'!$D$1:$D$355,$AB77)&amp;"")</f>
        <v/>
      </c>
      <c r="K77" s="50" t="str">
        <f>IF($AB77="","",INDEX('ORDER Form'!$E$1:$E$355,$AB77)&amp;"")</f>
        <v/>
      </c>
      <c r="L77" s="50" t="str">
        <f>IF($AB77="","",INDEX('ORDER Form'!$F$1:$F$355,$AB77)&amp;"")</f>
        <v/>
      </c>
      <c r="M77" s="50" t="str">
        <f>IF($AB77="","",INDEX('ORDER Form'!$G$1:$G$355,$AB77)&amp;"")</f>
        <v/>
      </c>
      <c r="N77" s="50" t="str">
        <f>IF($AB77="","",INDEX('ORDER Form'!$H$1:$H$355,$AB77)&amp;"")</f>
        <v/>
      </c>
      <c r="O77" s="50" t="str">
        <f>IF($AB77="","",INDEX('ORDER Form'!$I$1:$I$355,$AB77)&amp;"")</f>
        <v/>
      </c>
      <c r="P77" s="50" t="str">
        <f>IF($AB77="","",INDEX('ORDER Form'!$J$1:$J$355,$AB77)&amp;"")</f>
        <v/>
      </c>
      <c r="Q77" s="50" t="str">
        <f>IF($AB77="","",INDEX('ORDER Form'!$AB$1:$AB$355,$AB77)&amp;"")</f>
        <v/>
      </c>
      <c r="R77" s="50" t="str">
        <f>IF($AB77="","",INDEX('ORDER Form'!$L$1:$L$355,$AB77)&amp;"")</f>
        <v/>
      </c>
      <c r="S77" s="50" t="str">
        <f>IF($AB77="","",INDEX('ORDER Form'!$N$1:$N$355,$AB77)&amp;"")</f>
        <v/>
      </c>
      <c r="T77" s="50" t="str">
        <f>IF($AB77="","",IF($AD77,T$3,INDEX('ORDER Form'!$O$1:$O$355,$AB77))&amp;"")</f>
        <v/>
      </c>
      <c r="U77" s="50" t="str">
        <f>IF($AB77="","",IF($AD77,U$3,INDEX('ORDER Form'!$P$1:$P$355,$AB77))&amp;"")</f>
        <v/>
      </c>
      <c r="V77" s="50" t="str">
        <f>IF($AB77="","",IF($AD77,V$3,INDEX('ORDER Form'!$Q$1:$Q$355,$AB77))&amp;"")</f>
        <v/>
      </c>
      <c r="W77" s="50" t="str">
        <f>IF($AB77="","",IF($AD77,W$3,INDEX('ORDER Form'!$R$1:$R$355,$AB77))&amp;"")</f>
        <v/>
      </c>
      <c r="X77" s="50" t="str">
        <f>IF($AB77="","",IF($AD77,X$3,INDEX('ORDER Form'!$S$1:$S$355,$AB77))&amp;"")</f>
        <v/>
      </c>
      <c r="Y77" s="50" t="str">
        <f>IF($AB77="","",IF($AD77,Y$3,INDEX('ORDER Form'!$T$1:$T$355,$AB77))&amp;"")</f>
        <v/>
      </c>
      <c r="Z77" s="50" t="str">
        <f>IF($AB77="","",IF($AD77,Z$3,INDEX('ORDER Form'!$U$1:$U$355,$AB77))&amp;"")</f>
        <v/>
      </c>
      <c r="AB77" s="51" t="str">
        <f>IFERROR(MATCH(73,$AC$5:$AC$354,0)+5,"")</f>
        <v/>
      </c>
      <c r="AC77" s="51" t="str">
        <f>IF('ORDER Form'!$V78="OK",COUNTIF('ORDER Form'!$V$6:$V78,"OK"),"")</f>
        <v/>
      </c>
      <c r="AD77" s="51" t="str">
        <f>IF($AB77="","",(LEN(TRIM(INDEX('ORDER Form'!$O$1:$O$355,$AB77)))+LEN(TRIM(INDEX('ORDER Form'!$P$1:$P$355,$AB77)))+LEN(TRIM(INDEX('ORDER Form'!$Q$1:$Q$355,$AB77)))+LEN(TRIM(INDEX('ORDER Form'!$R$1:$R$355,$AB77)))+LEN(TRIM(INDEX('ORDER Form'!$S$1:$S$355,$AB77)))+LEN(TRIM(INDEX('ORDER Form'!$T$1:$T$355,$AB77)))+LEN(TRIM(INDEX('ORDER Form'!$U$1:$U$355,$AB77))))=0)</f>
        <v/>
      </c>
    </row>
    <row r="78" spans="1:30" ht="15" customHeight="1" x14ac:dyDescent="0.25">
      <c r="A78" s="50" t="str">
        <f>IF($AB78="","",IFERROR(IF(AND(INDEX('ORDER Form'!$N$1:$N$355,$AB78)="GB",LEFT(UPPER(TRIM(INDEX('ORDER Form'!$L$1:$L$355,$AB78))),2)="BT"),INDEX('ORDER Form'!$AC$1:$AC$355,$AB78),IFERROR(VLOOKUP(INDEX('ORDER Form'!$AC$1:$AC$355,$AB78)&amp;"|"&amp;INDEX('PRODUCT DATA'!$A$2:$A$58,MATCH(INDEX('ORDER Form'!$N$1:$N$355,$AB78),'PRODUCT DATA'!$B$2:$B$58,0)),'PRODUCT DATA'!$NO$2:$NP$25,2,FALSE()),INDEX('ORDER Form'!$AC$1:$AC$355,$AB78)))&amp;"",""))</f>
        <v/>
      </c>
      <c r="B78" s="49"/>
      <c r="C78" s="51" t="str">
        <f>IF($AB78="","",INDEX('ORDER Form'!$C$1:$C$355,$AB78))</f>
        <v/>
      </c>
      <c r="D78" s="49"/>
      <c r="E78" s="49"/>
      <c r="F78" s="49"/>
      <c r="G78" s="49"/>
      <c r="H78" s="49"/>
      <c r="I78" s="49"/>
      <c r="J78" s="50" t="str">
        <f>IF($AB78="","",INDEX('ORDER Form'!$D$1:$D$355,$AB78)&amp;"")</f>
        <v/>
      </c>
      <c r="K78" s="50" t="str">
        <f>IF($AB78="","",INDEX('ORDER Form'!$E$1:$E$355,$AB78)&amp;"")</f>
        <v/>
      </c>
      <c r="L78" s="50" t="str">
        <f>IF($AB78="","",INDEX('ORDER Form'!$F$1:$F$355,$AB78)&amp;"")</f>
        <v/>
      </c>
      <c r="M78" s="50" t="str">
        <f>IF($AB78="","",INDEX('ORDER Form'!$G$1:$G$355,$AB78)&amp;"")</f>
        <v/>
      </c>
      <c r="N78" s="50" t="str">
        <f>IF($AB78="","",INDEX('ORDER Form'!$H$1:$H$355,$AB78)&amp;"")</f>
        <v/>
      </c>
      <c r="O78" s="50" t="str">
        <f>IF($AB78="","",INDEX('ORDER Form'!$I$1:$I$355,$AB78)&amp;"")</f>
        <v/>
      </c>
      <c r="P78" s="50" t="str">
        <f>IF($AB78="","",INDEX('ORDER Form'!$J$1:$J$355,$AB78)&amp;"")</f>
        <v/>
      </c>
      <c r="Q78" s="50" t="str">
        <f>IF($AB78="","",INDEX('ORDER Form'!$AB$1:$AB$355,$AB78)&amp;"")</f>
        <v/>
      </c>
      <c r="R78" s="50" t="str">
        <f>IF($AB78="","",INDEX('ORDER Form'!$L$1:$L$355,$AB78)&amp;"")</f>
        <v/>
      </c>
      <c r="S78" s="50" t="str">
        <f>IF($AB78="","",INDEX('ORDER Form'!$N$1:$N$355,$AB78)&amp;"")</f>
        <v/>
      </c>
      <c r="T78" s="50" t="str">
        <f>IF($AB78="","",IF($AD78,T$3,INDEX('ORDER Form'!$O$1:$O$355,$AB78))&amp;"")</f>
        <v/>
      </c>
      <c r="U78" s="50" t="str">
        <f>IF($AB78="","",IF($AD78,U$3,INDEX('ORDER Form'!$P$1:$P$355,$AB78))&amp;"")</f>
        <v/>
      </c>
      <c r="V78" s="50" t="str">
        <f>IF($AB78="","",IF($AD78,V$3,INDEX('ORDER Form'!$Q$1:$Q$355,$AB78))&amp;"")</f>
        <v/>
      </c>
      <c r="W78" s="50" t="str">
        <f>IF($AB78="","",IF($AD78,W$3,INDEX('ORDER Form'!$R$1:$R$355,$AB78))&amp;"")</f>
        <v/>
      </c>
      <c r="X78" s="50" t="str">
        <f>IF($AB78="","",IF($AD78,X$3,INDEX('ORDER Form'!$S$1:$S$355,$AB78))&amp;"")</f>
        <v/>
      </c>
      <c r="Y78" s="50" t="str">
        <f>IF($AB78="","",IF($AD78,Y$3,INDEX('ORDER Form'!$T$1:$T$355,$AB78))&amp;"")</f>
        <v/>
      </c>
      <c r="Z78" s="50" t="str">
        <f>IF($AB78="","",IF($AD78,Z$3,INDEX('ORDER Form'!$U$1:$U$355,$AB78))&amp;"")</f>
        <v/>
      </c>
      <c r="AB78" s="51" t="str">
        <f>IFERROR(MATCH(74,$AC$5:$AC$354,0)+5,"")</f>
        <v/>
      </c>
      <c r="AC78" s="51" t="str">
        <f>IF('ORDER Form'!$V79="OK",COUNTIF('ORDER Form'!$V$6:$V79,"OK"),"")</f>
        <v/>
      </c>
      <c r="AD78" s="51" t="str">
        <f>IF($AB78="","",(LEN(TRIM(INDEX('ORDER Form'!$O$1:$O$355,$AB78)))+LEN(TRIM(INDEX('ORDER Form'!$P$1:$P$355,$AB78)))+LEN(TRIM(INDEX('ORDER Form'!$Q$1:$Q$355,$AB78)))+LEN(TRIM(INDEX('ORDER Form'!$R$1:$R$355,$AB78)))+LEN(TRIM(INDEX('ORDER Form'!$S$1:$S$355,$AB78)))+LEN(TRIM(INDEX('ORDER Form'!$T$1:$T$355,$AB78)))+LEN(TRIM(INDEX('ORDER Form'!$U$1:$U$355,$AB78))))=0)</f>
        <v/>
      </c>
    </row>
    <row r="79" spans="1:30" ht="15" customHeight="1" x14ac:dyDescent="0.25">
      <c r="A79" s="50" t="str">
        <f>IF($AB79="","",IFERROR(IF(AND(INDEX('ORDER Form'!$N$1:$N$355,$AB79)="GB",LEFT(UPPER(TRIM(INDEX('ORDER Form'!$L$1:$L$355,$AB79))),2)="BT"),INDEX('ORDER Form'!$AC$1:$AC$355,$AB79),IFERROR(VLOOKUP(INDEX('ORDER Form'!$AC$1:$AC$355,$AB79)&amp;"|"&amp;INDEX('PRODUCT DATA'!$A$2:$A$58,MATCH(INDEX('ORDER Form'!$N$1:$N$355,$AB79),'PRODUCT DATA'!$B$2:$B$58,0)),'PRODUCT DATA'!$NO$2:$NP$25,2,FALSE()),INDEX('ORDER Form'!$AC$1:$AC$355,$AB79)))&amp;"",""))</f>
        <v/>
      </c>
      <c r="B79" s="49"/>
      <c r="C79" s="51" t="str">
        <f>IF($AB79="","",INDEX('ORDER Form'!$C$1:$C$355,$AB79))</f>
        <v/>
      </c>
      <c r="D79" s="49"/>
      <c r="E79" s="49"/>
      <c r="F79" s="49"/>
      <c r="G79" s="49"/>
      <c r="H79" s="49"/>
      <c r="I79" s="49"/>
      <c r="J79" s="50" t="str">
        <f>IF($AB79="","",INDEX('ORDER Form'!$D$1:$D$355,$AB79)&amp;"")</f>
        <v/>
      </c>
      <c r="K79" s="50" t="str">
        <f>IF($AB79="","",INDEX('ORDER Form'!$E$1:$E$355,$AB79)&amp;"")</f>
        <v/>
      </c>
      <c r="L79" s="50" t="str">
        <f>IF($AB79="","",INDEX('ORDER Form'!$F$1:$F$355,$AB79)&amp;"")</f>
        <v/>
      </c>
      <c r="M79" s="50" t="str">
        <f>IF($AB79="","",INDEX('ORDER Form'!$G$1:$G$355,$AB79)&amp;"")</f>
        <v/>
      </c>
      <c r="N79" s="50" t="str">
        <f>IF($AB79="","",INDEX('ORDER Form'!$H$1:$H$355,$AB79)&amp;"")</f>
        <v/>
      </c>
      <c r="O79" s="50" t="str">
        <f>IF($AB79="","",INDEX('ORDER Form'!$I$1:$I$355,$AB79)&amp;"")</f>
        <v/>
      </c>
      <c r="P79" s="50" t="str">
        <f>IF($AB79="","",INDEX('ORDER Form'!$J$1:$J$355,$AB79)&amp;"")</f>
        <v/>
      </c>
      <c r="Q79" s="50" t="str">
        <f>IF($AB79="","",INDEX('ORDER Form'!$AB$1:$AB$355,$AB79)&amp;"")</f>
        <v/>
      </c>
      <c r="R79" s="50" t="str">
        <f>IF($AB79="","",INDEX('ORDER Form'!$L$1:$L$355,$AB79)&amp;"")</f>
        <v/>
      </c>
      <c r="S79" s="50" t="str">
        <f>IF($AB79="","",INDEX('ORDER Form'!$N$1:$N$355,$AB79)&amp;"")</f>
        <v/>
      </c>
      <c r="T79" s="50" t="str">
        <f>IF($AB79="","",IF($AD79,T$3,INDEX('ORDER Form'!$O$1:$O$355,$AB79))&amp;"")</f>
        <v/>
      </c>
      <c r="U79" s="50" t="str">
        <f>IF($AB79="","",IF($AD79,U$3,INDEX('ORDER Form'!$P$1:$P$355,$AB79))&amp;"")</f>
        <v/>
      </c>
      <c r="V79" s="50" t="str">
        <f>IF($AB79="","",IF($AD79,V$3,INDEX('ORDER Form'!$Q$1:$Q$355,$AB79))&amp;"")</f>
        <v/>
      </c>
      <c r="W79" s="50" t="str">
        <f>IF($AB79="","",IF($AD79,W$3,INDEX('ORDER Form'!$R$1:$R$355,$AB79))&amp;"")</f>
        <v/>
      </c>
      <c r="X79" s="50" t="str">
        <f>IF($AB79="","",IF($AD79,X$3,INDEX('ORDER Form'!$S$1:$S$355,$AB79))&amp;"")</f>
        <v/>
      </c>
      <c r="Y79" s="50" t="str">
        <f>IF($AB79="","",IF($AD79,Y$3,INDEX('ORDER Form'!$T$1:$T$355,$AB79))&amp;"")</f>
        <v/>
      </c>
      <c r="Z79" s="50" t="str">
        <f>IF($AB79="","",IF($AD79,Z$3,INDEX('ORDER Form'!$U$1:$U$355,$AB79))&amp;"")</f>
        <v/>
      </c>
      <c r="AB79" s="51" t="str">
        <f>IFERROR(MATCH(75,$AC$5:$AC$354,0)+5,"")</f>
        <v/>
      </c>
      <c r="AC79" s="51" t="str">
        <f>IF('ORDER Form'!$V80="OK",COUNTIF('ORDER Form'!$V$6:$V80,"OK"),"")</f>
        <v/>
      </c>
      <c r="AD79" s="51" t="str">
        <f>IF($AB79="","",(LEN(TRIM(INDEX('ORDER Form'!$O$1:$O$355,$AB79)))+LEN(TRIM(INDEX('ORDER Form'!$P$1:$P$355,$AB79)))+LEN(TRIM(INDEX('ORDER Form'!$Q$1:$Q$355,$AB79)))+LEN(TRIM(INDEX('ORDER Form'!$R$1:$R$355,$AB79)))+LEN(TRIM(INDEX('ORDER Form'!$S$1:$S$355,$AB79)))+LEN(TRIM(INDEX('ORDER Form'!$T$1:$T$355,$AB79)))+LEN(TRIM(INDEX('ORDER Form'!$U$1:$U$355,$AB79))))=0)</f>
        <v/>
      </c>
    </row>
    <row r="80" spans="1:30" ht="15" customHeight="1" x14ac:dyDescent="0.25">
      <c r="A80" s="50" t="str">
        <f>IF($AB80="","",IFERROR(IF(AND(INDEX('ORDER Form'!$N$1:$N$355,$AB80)="GB",LEFT(UPPER(TRIM(INDEX('ORDER Form'!$L$1:$L$355,$AB80))),2)="BT"),INDEX('ORDER Form'!$AC$1:$AC$355,$AB80),IFERROR(VLOOKUP(INDEX('ORDER Form'!$AC$1:$AC$355,$AB80)&amp;"|"&amp;INDEX('PRODUCT DATA'!$A$2:$A$58,MATCH(INDEX('ORDER Form'!$N$1:$N$355,$AB80),'PRODUCT DATA'!$B$2:$B$58,0)),'PRODUCT DATA'!$NO$2:$NP$25,2,FALSE()),INDEX('ORDER Form'!$AC$1:$AC$355,$AB80)))&amp;"",""))</f>
        <v/>
      </c>
      <c r="B80" s="49"/>
      <c r="C80" s="51" t="str">
        <f>IF($AB80="","",INDEX('ORDER Form'!$C$1:$C$355,$AB80))</f>
        <v/>
      </c>
      <c r="D80" s="49"/>
      <c r="E80" s="49"/>
      <c r="F80" s="49"/>
      <c r="G80" s="49"/>
      <c r="H80" s="49"/>
      <c r="I80" s="49"/>
      <c r="J80" s="50" t="str">
        <f>IF($AB80="","",INDEX('ORDER Form'!$D$1:$D$355,$AB80)&amp;"")</f>
        <v/>
      </c>
      <c r="K80" s="50" t="str">
        <f>IF($AB80="","",INDEX('ORDER Form'!$E$1:$E$355,$AB80)&amp;"")</f>
        <v/>
      </c>
      <c r="L80" s="50" t="str">
        <f>IF($AB80="","",INDEX('ORDER Form'!$F$1:$F$355,$AB80)&amp;"")</f>
        <v/>
      </c>
      <c r="M80" s="50" t="str">
        <f>IF($AB80="","",INDEX('ORDER Form'!$G$1:$G$355,$AB80)&amp;"")</f>
        <v/>
      </c>
      <c r="N80" s="50" t="str">
        <f>IF($AB80="","",INDEX('ORDER Form'!$H$1:$H$355,$AB80)&amp;"")</f>
        <v/>
      </c>
      <c r="O80" s="50" t="str">
        <f>IF($AB80="","",INDEX('ORDER Form'!$I$1:$I$355,$AB80)&amp;"")</f>
        <v/>
      </c>
      <c r="P80" s="50" t="str">
        <f>IF($AB80="","",INDEX('ORDER Form'!$J$1:$J$355,$AB80)&amp;"")</f>
        <v/>
      </c>
      <c r="Q80" s="50" t="str">
        <f>IF($AB80="","",INDEX('ORDER Form'!$AB$1:$AB$355,$AB80)&amp;"")</f>
        <v/>
      </c>
      <c r="R80" s="50" t="str">
        <f>IF($AB80="","",INDEX('ORDER Form'!$L$1:$L$355,$AB80)&amp;"")</f>
        <v/>
      </c>
      <c r="S80" s="50" t="str">
        <f>IF($AB80="","",INDEX('ORDER Form'!$N$1:$N$355,$AB80)&amp;"")</f>
        <v/>
      </c>
      <c r="T80" s="50" t="str">
        <f>IF($AB80="","",IF($AD80,T$3,INDEX('ORDER Form'!$O$1:$O$355,$AB80))&amp;"")</f>
        <v/>
      </c>
      <c r="U80" s="50" t="str">
        <f>IF($AB80="","",IF($AD80,U$3,INDEX('ORDER Form'!$P$1:$P$355,$AB80))&amp;"")</f>
        <v/>
      </c>
      <c r="V80" s="50" t="str">
        <f>IF($AB80="","",IF($AD80,V$3,INDEX('ORDER Form'!$Q$1:$Q$355,$AB80))&amp;"")</f>
        <v/>
      </c>
      <c r="W80" s="50" t="str">
        <f>IF($AB80="","",IF($AD80,W$3,INDEX('ORDER Form'!$R$1:$R$355,$AB80))&amp;"")</f>
        <v/>
      </c>
      <c r="X80" s="50" t="str">
        <f>IF($AB80="","",IF($AD80,X$3,INDEX('ORDER Form'!$S$1:$S$355,$AB80))&amp;"")</f>
        <v/>
      </c>
      <c r="Y80" s="50" t="str">
        <f>IF($AB80="","",IF($AD80,Y$3,INDEX('ORDER Form'!$T$1:$T$355,$AB80))&amp;"")</f>
        <v/>
      </c>
      <c r="Z80" s="50" t="str">
        <f>IF($AB80="","",IF($AD80,Z$3,INDEX('ORDER Form'!$U$1:$U$355,$AB80))&amp;"")</f>
        <v/>
      </c>
      <c r="AB80" s="51" t="str">
        <f>IFERROR(MATCH(76,$AC$5:$AC$354,0)+5,"")</f>
        <v/>
      </c>
      <c r="AC80" s="51" t="str">
        <f>IF('ORDER Form'!$V81="OK",COUNTIF('ORDER Form'!$V$6:$V81,"OK"),"")</f>
        <v/>
      </c>
      <c r="AD80" s="51" t="str">
        <f>IF($AB80="","",(LEN(TRIM(INDEX('ORDER Form'!$O$1:$O$355,$AB80)))+LEN(TRIM(INDEX('ORDER Form'!$P$1:$P$355,$AB80)))+LEN(TRIM(INDEX('ORDER Form'!$Q$1:$Q$355,$AB80)))+LEN(TRIM(INDEX('ORDER Form'!$R$1:$R$355,$AB80)))+LEN(TRIM(INDEX('ORDER Form'!$S$1:$S$355,$AB80)))+LEN(TRIM(INDEX('ORDER Form'!$T$1:$T$355,$AB80)))+LEN(TRIM(INDEX('ORDER Form'!$U$1:$U$355,$AB80))))=0)</f>
        <v/>
      </c>
    </row>
    <row r="81" spans="1:30" ht="15" customHeight="1" x14ac:dyDescent="0.25">
      <c r="A81" s="50" t="str">
        <f>IF($AB81="","",IFERROR(IF(AND(INDEX('ORDER Form'!$N$1:$N$355,$AB81)="GB",LEFT(UPPER(TRIM(INDEX('ORDER Form'!$L$1:$L$355,$AB81))),2)="BT"),INDEX('ORDER Form'!$AC$1:$AC$355,$AB81),IFERROR(VLOOKUP(INDEX('ORDER Form'!$AC$1:$AC$355,$AB81)&amp;"|"&amp;INDEX('PRODUCT DATA'!$A$2:$A$58,MATCH(INDEX('ORDER Form'!$N$1:$N$355,$AB81),'PRODUCT DATA'!$B$2:$B$58,0)),'PRODUCT DATA'!$NO$2:$NP$25,2,FALSE()),INDEX('ORDER Form'!$AC$1:$AC$355,$AB81)))&amp;"",""))</f>
        <v/>
      </c>
      <c r="B81" s="49"/>
      <c r="C81" s="51" t="str">
        <f>IF($AB81="","",INDEX('ORDER Form'!$C$1:$C$355,$AB81))</f>
        <v/>
      </c>
      <c r="D81" s="49"/>
      <c r="E81" s="49"/>
      <c r="F81" s="49"/>
      <c r="G81" s="49"/>
      <c r="H81" s="49"/>
      <c r="I81" s="49"/>
      <c r="J81" s="50" t="str">
        <f>IF($AB81="","",INDEX('ORDER Form'!$D$1:$D$355,$AB81)&amp;"")</f>
        <v/>
      </c>
      <c r="K81" s="50" t="str">
        <f>IF($AB81="","",INDEX('ORDER Form'!$E$1:$E$355,$AB81)&amp;"")</f>
        <v/>
      </c>
      <c r="L81" s="50" t="str">
        <f>IF($AB81="","",INDEX('ORDER Form'!$F$1:$F$355,$AB81)&amp;"")</f>
        <v/>
      </c>
      <c r="M81" s="50" t="str">
        <f>IF($AB81="","",INDEX('ORDER Form'!$G$1:$G$355,$AB81)&amp;"")</f>
        <v/>
      </c>
      <c r="N81" s="50" t="str">
        <f>IF($AB81="","",INDEX('ORDER Form'!$H$1:$H$355,$AB81)&amp;"")</f>
        <v/>
      </c>
      <c r="O81" s="50" t="str">
        <f>IF($AB81="","",INDEX('ORDER Form'!$I$1:$I$355,$AB81)&amp;"")</f>
        <v/>
      </c>
      <c r="P81" s="50" t="str">
        <f>IF($AB81="","",INDEX('ORDER Form'!$J$1:$J$355,$AB81)&amp;"")</f>
        <v/>
      </c>
      <c r="Q81" s="50" t="str">
        <f>IF($AB81="","",INDEX('ORDER Form'!$AB$1:$AB$355,$AB81)&amp;"")</f>
        <v/>
      </c>
      <c r="R81" s="50" t="str">
        <f>IF($AB81="","",INDEX('ORDER Form'!$L$1:$L$355,$AB81)&amp;"")</f>
        <v/>
      </c>
      <c r="S81" s="50" t="str">
        <f>IF($AB81="","",INDEX('ORDER Form'!$N$1:$N$355,$AB81)&amp;"")</f>
        <v/>
      </c>
      <c r="T81" s="50" t="str">
        <f>IF($AB81="","",IF($AD81,T$3,INDEX('ORDER Form'!$O$1:$O$355,$AB81))&amp;"")</f>
        <v/>
      </c>
      <c r="U81" s="50" t="str">
        <f>IF($AB81="","",IF($AD81,U$3,INDEX('ORDER Form'!$P$1:$P$355,$AB81))&amp;"")</f>
        <v/>
      </c>
      <c r="V81" s="50" t="str">
        <f>IF($AB81="","",IF($AD81,V$3,INDEX('ORDER Form'!$Q$1:$Q$355,$AB81))&amp;"")</f>
        <v/>
      </c>
      <c r="W81" s="50" t="str">
        <f>IF($AB81="","",IF($AD81,W$3,INDEX('ORDER Form'!$R$1:$R$355,$AB81))&amp;"")</f>
        <v/>
      </c>
      <c r="X81" s="50" t="str">
        <f>IF($AB81="","",IF($AD81,X$3,INDEX('ORDER Form'!$S$1:$S$355,$AB81))&amp;"")</f>
        <v/>
      </c>
      <c r="Y81" s="50" t="str">
        <f>IF($AB81="","",IF($AD81,Y$3,INDEX('ORDER Form'!$T$1:$T$355,$AB81))&amp;"")</f>
        <v/>
      </c>
      <c r="Z81" s="50" t="str">
        <f>IF($AB81="","",IF($AD81,Z$3,INDEX('ORDER Form'!$U$1:$U$355,$AB81))&amp;"")</f>
        <v/>
      </c>
      <c r="AB81" s="51" t="str">
        <f>IFERROR(MATCH(77,$AC$5:$AC$354,0)+5,"")</f>
        <v/>
      </c>
      <c r="AC81" s="51" t="str">
        <f>IF('ORDER Form'!$V82="OK",COUNTIF('ORDER Form'!$V$6:$V82,"OK"),"")</f>
        <v/>
      </c>
      <c r="AD81" s="51" t="str">
        <f>IF($AB81="","",(LEN(TRIM(INDEX('ORDER Form'!$O$1:$O$355,$AB81)))+LEN(TRIM(INDEX('ORDER Form'!$P$1:$P$355,$AB81)))+LEN(TRIM(INDEX('ORDER Form'!$Q$1:$Q$355,$AB81)))+LEN(TRIM(INDEX('ORDER Form'!$R$1:$R$355,$AB81)))+LEN(TRIM(INDEX('ORDER Form'!$S$1:$S$355,$AB81)))+LEN(TRIM(INDEX('ORDER Form'!$T$1:$T$355,$AB81)))+LEN(TRIM(INDEX('ORDER Form'!$U$1:$U$355,$AB81))))=0)</f>
        <v/>
      </c>
    </row>
    <row r="82" spans="1:30" ht="15" customHeight="1" x14ac:dyDescent="0.25">
      <c r="A82" s="50" t="str">
        <f>IF($AB82="","",IFERROR(IF(AND(INDEX('ORDER Form'!$N$1:$N$355,$AB82)="GB",LEFT(UPPER(TRIM(INDEX('ORDER Form'!$L$1:$L$355,$AB82))),2)="BT"),INDEX('ORDER Form'!$AC$1:$AC$355,$AB82),IFERROR(VLOOKUP(INDEX('ORDER Form'!$AC$1:$AC$355,$AB82)&amp;"|"&amp;INDEX('PRODUCT DATA'!$A$2:$A$58,MATCH(INDEX('ORDER Form'!$N$1:$N$355,$AB82),'PRODUCT DATA'!$B$2:$B$58,0)),'PRODUCT DATA'!$NO$2:$NP$25,2,FALSE()),INDEX('ORDER Form'!$AC$1:$AC$355,$AB82)))&amp;"",""))</f>
        <v/>
      </c>
      <c r="B82" s="49"/>
      <c r="C82" s="51" t="str">
        <f>IF($AB82="","",INDEX('ORDER Form'!$C$1:$C$355,$AB82))</f>
        <v/>
      </c>
      <c r="D82" s="49"/>
      <c r="E82" s="49"/>
      <c r="F82" s="49"/>
      <c r="G82" s="49"/>
      <c r="H82" s="49"/>
      <c r="I82" s="49"/>
      <c r="J82" s="50" t="str">
        <f>IF($AB82="","",INDEX('ORDER Form'!$D$1:$D$355,$AB82)&amp;"")</f>
        <v/>
      </c>
      <c r="K82" s="50" t="str">
        <f>IF($AB82="","",INDEX('ORDER Form'!$E$1:$E$355,$AB82)&amp;"")</f>
        <v/>
      </c>
      <c r="L82" s="50" t="str">
        <f>IF($AB82="","",INDEX('ORDER Form'!$F$1:$F$355,$AB82)&amp;"")</f>
        <v/>
      </c>
      <c r="M82" s="50" t="str">
        <f>IF($AB82="","",INDEX('ORDER Form'!$G$1:$G$355,$AB82)&amp;"")</f>
        <v/>
      </c>
      <c r="N82" s="50" t="str">
        <f>IF($AB82="","",INDEX('ORDER Form'!$H$1:$H$355,$AB82)&amp;"")</f>
        <v/>
      </c>
      <c r="O82" s="50" t="str">
        <f>IF($AB82="","",INDEX('ORDER Form'!$I$1:$I$355,$AB82)&amp;"")</f>
        <v/>
      </c>
      <c r="P82" s="50" t="str">
        <f>IF($AB82="","",INDEX('ORDER Form'!$J$1:$J$355,$AB82)&amp;"")</f>
        <v/>
      </c>
      <c r="Q82" s="50" t="str">
        <f>IF($AB82="","",INDEX('ORDER Form'!$AB$1:$AB$355,$AB82)&amp;"")</f>
        <v/>
      </c>
      <c r="R82" s="50" t="str">
        <f>IF($AB82="","",INDEX('ORDER Form'!$L$1:$L$355,$AB82)&amp;"")</f>
        <v/>
      </c>
      <c r="S82" s="50" t="str">
        <f>IF($AB82="","",INDEX('ORDER Form'!$N$1:$N$355,$AB82)&amp;"")</f>
        <v/>
      </c>
      <c r="T82" s="50" t="str">
        <f>IF($AB82="","",IF($AD82,T$3,INDEX('ORDER Form'!$O$1:$O$355,$AB82))&amp;"")</f>
        <v/>
      </c>
      <c r="U82" s="50" t="str">
        <f>IF($AB82="","",IF($AD82,U$3,INDEX('ORDER Form'!$P$1:$P$355,$AB82))&amp;"")</f>
        <v/>
      </c>
      <c r="V82" s="50" t="str">
        <f>IF($AB82="","",IF($AD82,V$3,INDEX('ORDER Form'!$Q$1:$Q$355,$AB82))&amp;"")</f>
        <v/>
      </c>
      <c r="W82" s="50" t="str">
        <f>IF($AB82="","",IF($AD82,W$3,INDEX('ORDER Form'!$R$1:$R$355,$AB82))&amp;"")</f>
        <v/>
      </c>
      <c r="X82" s="50" t="str">
        <f>IF($AB82="","",IF($AD82,X$3,INDEX('ORDER Form'!$S$1:$S$355,$AB82))&amp;"")</f>
        <v/>
      </c>
      <c r="Y82" s="50" t="str">
        <f>IF($AB82="","",IF($AD82,Y$3,INDEX('ORDER Form'!$T$1:$T$355,$AB82))&amp;"")</f>
        <v/>
      </c>
      <c r="Z82" s="50" t="str">
        <f>IF($AB82="","",IF($AD82,Z$3,INDEX('ORDER Form'!$U$1:$U$355,$AB82))&amp;"")</f>
        <v/>
      </c>
      <c r="AB82" s="51" t="str">
        <f>IFERROR(MATCH(78,$AC$5:$AC$354,0)+5,"")</f>
        <v/>
      </c>
      <c r="AC82" s="51" t="str">
        <f>IF('ORDER Form'!$V83="OK",COUNTIF('ORDER Form'!$V$6:$V83,"OK"),"")</f>
        <v/>
      </c>
      <c r="AD82" s="51" t="str">
        <f>IF($AB82="","",(LEN(TRIM(INDEX('ORDER Form'!$O$1:$O$355,$AB82)))+LEN(TRIM(INDEX('ORDER Form'!$P$1:$P$355,$AB82)))+LEN(TRIM(INDEX('ORDER Form'!$Q$1:$Q$355,$AB82)))+LEN(TRIM(INDEX('ORDER Form'!$R$1:$R$355,$AB82)))+LEN(TRIM(INDEX('ORDER Form'!$S$1:$S$355,$AB82)))+LEN(TRIM(INDEX('ORDER Form'!$T$1:$T$355,$AB82)))+LEN(TRIM(INDEX('ORDER Form'!$U$1:$U$355,$AB82))))=0)</f>
        <v/>
      </c>
    </row>
    <row r="83" spans="1:30" ht="15" customHeight="1" x14ac:dyDescent="0.25">
      <c r="A83" s="50" t="str">
        <f>IF($AB83="","",IFERROR(IF(AND(INDEX('ORDER Form'!$N$1:$N$355,$AB83)="GB",LEFT(UPPER(TRIM(INDEX('ORDER Form'!$L$1:$L$355,$AB83))),2)="BT"),INDEX('ORDER Form'!$AC$1:$AC$355,$AB83),IFERROR(VLOOKUP(INDEX('ORDER Form'!$AC$1:$AC$355,$AB83)&amp;"|"&amp;INDEX('PRODUCT DATA'!$A$2:$A$58,MATCH(INDEX('ORDER Form'!$N$1:$N$355,$AB83),'PRODUCT DATA'!$B$2:$B$58,0)),'PRODUCT DATA'!$NO$2:$NP$25,2,FALSE()),INDEX('ORDER Form'!$AC$1:$AC$355,$AB83)))&amp;"",""))</f>
        <v/>
      </c>
      <c r="B83" s="49"/>
      <c r="C83" s="51" t="str">
        <f>IF($AB83="","",INDEX('ORDER Form'!$C$1:$C$355,$AB83))</f>
        <v/>
      </c>
      <c r="D83" s="49"/>
      <c r="E83" s="49"/>
      <c r="F83" s="49"/>
      <c r="G83" s="49"/>
      <c r="H83" s="49"/>
      <c r="I83" s="49"/>
      <c r="J83" s="50" t="str">
        <f>IF($AB83="","",INDEX('ORDER Form'!$D$1:$D$355,$AB83)&amp;"")</f>
        <v/>
      </c>
      <c r="K83" s="50" t="str">
        <f>IF($AB83="","",INDEX('ORDER Form'!$E$1:$E$355,$AB83)&amp;"")</f>
        <v/>
      </c>
      <c r="L83" s="50" t="str">
        <f>IF($AB83="","",INDEX('ORDER Form'!$F$1:$F$355,$AB83)&amp;"")</f>
        <v/>
      </c>
      <c r="M83" s="50" t="str">
        <f>IF($AB83="","",INDEX('ORDER Form'!$G$1:$G$355,$AB83)&amp;"")</f>
        <v/>
      </c>
      <c r="N83" s="50" t="str">
        <f>IF($AB83="","",INDEX('ORDER Form'!$H$1:$H$355,$AB83)&amp;"")</f>
        <v/>
      </c>
      <c r="O83" s="50" t="str">
        <f>IF($AB83="","",INDEX('ORDER Form'!$I$1:$I$355,$AB83)&amp;"")</f>
        <v/>
      </c>
      <c r="P83" s="50" t="str">
        <f>IF($AB83="","",INDEX('ORDER Form'!$J$1:$J$355,$AB83)&amp;"")</f>
        <v/>
      </c>
      <c r="Q83" s="50" t="str">
        <f>IF($AB83="","",INDEX('ORDER Form'!$AB$1:$AB$355,$AB83)&amp;"")</f>
        <v/>
      </c>
      <c r="R83" s="50" t="str">
        <f>IF($AB83="","",INDEX('ORDER Form'!$L$1:$L$355,$AB83)&amp;"")</f>
        <v/>
      </c>
      <c r="S83" s="50" t="str">
        <f>IF($AB83="","",INDEX('ORDER Form'!$N$1:$N$355,$AB83)&amp;"")</f>
        <v/>
      </c>
      <c r="T83" s="50" t="str">
        <f>IF($AB83="","",IF($AD83,T$3,INDEX('ORDER Form'!$O$1:$O$355,$AB83))&amp;"")</f>
        <v/>
      </c>
      <c r="U83" s="50" t="str">
        <f>IF($AB83="","",IF($AD83,U$3,INDEX('ORDER Form'!$P$1:$P$355,$AB83))&amp;"")</f>
        <v/>
      </c>
      <c r="V83" s="50" t="str">
        <f>IF($AB83="","",IF($AD83,V$3,INDEX('ORDER Form'!$Q$1:$Q$355,$AB83))&amp;"")</f>
        <v/>
      </c>
      <c r="W83" s="50" t="str">
        <f>IF($AB83="","",IF($AD83,W$3,INDEX('ORDER Form'!$R$1:$R$355,$AB83))&amp;"")</f>
        <v/>
      </c>
      <c r="X83" s="50" t="str">
        <f>IF($AB83="","",IF($AD83,X$3,INDEX('ORDER Form'!$S$1:$S$355,$AB83))&amp;"")</f>
        <v/>
      </c>
      <c r="Y83" s="50" t="str">
        <f>IF($AB83="","",IF($AD83,Y$3,INDEX('ORDER Form'!$T$1:$T$355,$AB83))&amp;"")</f>
        <v/>
      </c>
      <c r="Z83" s="50" t="str">
        <f>IF($AB83="","",IF($AD83,Z$3,INDEX('ORDER Form'!$U$1:$U$355,$AB83))&amp;"")</f>
        <v/>
      </c>
      <c r="AB83" s="51" t="str">
        <f>IFERROR(MATCH(79,$AC$5:$AC$354,0)+5,"")</f>
        <v/>
      </c>
      <c r="AC83" s="51" t="str">
        <f>IF('ORDER Form'!$V84="OK",COUNTIF('ORDER Form'!$V$6:$V84,"OK"),"")</f>
        <v/>
      </c>
      <c r="AD83" s="51" t="str">
        <f>IF($AB83="","",(LEN(TRIM(INDEX('ORDER Form'!$O$1:$O$355,$AB83)))+LEN(TRIM(INDEX('ORDER Form'!$P$1:$P$355,$AB83)))+LEN(TRIM(INDEX('ORDER Form'!$Q$1:$Q$355,$AB83)))+LEN(TRIM(INDEX('ORDER Form'!$R$1:$R$355,$AB83)))+LEN(TRIM(INDEX('ORDER Form'!$S$1:$S$355,$AB83)))+LEN(TRIM(INDEX('ORDER Form'!$T$1:$T$355,$AB83)))+LEN(TRIM(INDEX('ORDER Form'!$U$1:$U$355,$AB83))))=0)</f>
        <v/>
      </c>
    </row>
    <row r="84" spans="1:30" ht="15" customHeight="1" x14ac:dyDescent="0.25">
      <c r="A84" s="50" t="str">
        <f>IF($AB84="","",IFERROR(IF(AND(INDEX('ORDER Form'!$N$1:$N$355,$AB84)="GB",LEFT(UPPER(TRIM(INDEX('ORDER Form'!$L$1:$L$355,$AB84))),2)="BT"),INDEX('ORDER Form'!$AC$1:$AC$355,$AB84),IFERROR(VLOOKUP(INDEX('ORDER Form'!$AC$1:$AC$355,$AB84)&amp;"|"&amp;INDEX('PRODUCT DATA'!$A$2:$A$58,MATCH(INDEX('ORDER Form'!$N$1:$N$355,$AB84),'PRODUCT DATA'!$B$2:$B$58,0)),'PRODUCT DATA'!$NO$2:$NP$25,2,FALSE()),INDEX('ORDER Form'!$AC$1:$AC$355,$AB84)))&amp;"",""))</f>
        <v/>
      </c>
      <c r="B84" s="49"/>
      <c r="C84" s="51" t="str">
        <f>IF($AB84="","",INDEX('ORDER Form'!$C$1:$C$355,$AB84))</f>
        <v/>
      </c>
      <c r="D84" s="49"/>
      <c r="E84" s="49"/>
      <c r="F84" s="49"/>
      <c r="G84" s="49"/>
      <c r="H84" s="49"/>
      <c r="I84" s="49"/>
      <c r="J84" s="50" t="str">
        <f>IF($AB84="","",INDEX('ORDER Form'!$D$1:$D$355,$AB84)&amp;"")</f>
        <v/>
      </c>
      <c r="K84" s="50" t="str">
        <f>IF($AB84="","",INDEX('ORDER Form'!$E$1:$E$355,$AB84)&amp;"")</f>
        <v/>
      </c>
      <c r="L84" s="50" t="str">
        <f>IF($AB84="","",INDEX('ORDER Form'!$F$1:$F$355,$AB84)&amp;"")</f>
        <v/>
      </c>
      <c r="M84" s="50" t="str">
        <f>IF($AB84="","",INDEX('ORDER Form'!$G$1:$G$355,$AB84)&amp;"")</f>
        <v/>
      </c>
      <c r="N84" s="50" t="str">
        <f>IF($AB84="","",INDEX('ORDER Form'!$H$1:$H$355,$AB84)&amp;"")</f>
        <v/>
      </c>
      <c r="O84" s="50" t="str">
        <f>IF($AB84="","",INDEX('ORDER Form'!$I$1:$I$355,$AB84)&amp;"")</f>
        <v/>
      </c>
      <c r="P84" s="50" t="str">
        <f>IF($AB84="","",INDEX('ORDER Form'!$J$1:$J$355,$AB84)&amp;"")</f>
        <v/>
      </c>
      <c r="Q84" s="50" t="str">
        <f>IF($AB84="","",INDEX('ORDER Form'!$AB$1:$AB$355,$AB84)&amp;"")</f>
        <v/>
      </c>
      <c r="R84" s="50" t="str">
        <f>IF($AB84="","",INDEX('ORDER Form'!$L$1:$L$355,$AB84)&amp;"")</f>
        <v/>
      </c>
      <c r="S84" s="50" t="str">
        <f>IF($AB84="","",INDEX('ORDER Form'!$N$1:$N$355,$AB84)&amp;"")</f>
        <v/>
      </c>
      <c r="T84" s="50" t="str">
        <f>IF($AB84="","",IF($AD84,T$3,INDEX('ORDER Form'!$O$1:$O$355,$AB84))&amp;"")</f>
        <v/>
      </c>
      <c r="U84" s="50" t="str">
        <f>IF($AB84="","",IF($AD84,U$3,INDEX('ORDER Form'!$P$1:$P$355,$AB84))&amp;"")</f>
        <v/>
      </c>
      <c r="V84" s="50" t="str">
        <f>IF($AB84="","",IF($AD84,V$3,INDEX('ORDER Form'!$Q$1:$Q$355,$AB84))&amp;"")</f>
        <v/>
      </c>
      <c r="W84" s="50" t="str">
        <f>IF($AB84="","",IF($AD84,W$3,INDEX('ORDER Form'!$R$1:$R$355,$AB84))&amp;"")</f>
        <v/>
      </c>
      <c r="X84" s="50" t="str">
        <f>IF($AB84="","",IF($AD84,X$3,INDEX('ORDER Form'!$S$1:$S$355,$AB84))&amp;"")</f>
        <v/>
      </c>
      <c r="Y84" s="50" t="str">
        <f>IF($AB84="","",IF($AD84,Y$3,INDEX('ORDER Form'!$T$1:$T$355,$AB84))&amp;"")</f>
        <v/>
      </c>
      <c r="Z84" s="50" t="str">
        <f>IF($AB84="","",IF($AD84,Z$3,INDEX('ORDER Form'!$U$1:$U$355,$AB84))&amp;"")</f>
        <v/>
      </c>
      <c r="AB84" s="51" t="str">
        <f>IFERROR(MATCH(80,$AC$5:$AC$354,0)+5,"")</f>
        <v/>
      </c>
      <c r="AC84" s="51" t="str">
        <f>IF('ORDER Form'!$V85="OK",COUNTIF('ORDER Form'!$V$6:$V85,"OK"),"")</f>
        <v/>
      </c>
      <c r="AD84" s="51" t="str">
        <f>IF($AB84="","",(LEN(TRIM(INDEX('ORDER Form'!$O$1:$O$355,$AB84)))+LEN(TRIM(INDEX('ORDER Form'!$P$1:$P$355,$AB84)))+LEN(TRIM(INDEX('ORDER Form'!$Q$1:$Q$355,$AB84)))+LEN(TRIM(INDEX('ORDER Form'!$R$1:$R$355,$AB84)))+LEN(TRIM(INDEX('ORDER Form'!$S$1:$S$355,$AB84)))+LEN(TRIM(INDEX('ORDER Form'!$T$1:$T$355,$AB84)))+LEN(TRIM(INDEX('ORDER Form'!$U$1:$U$355,$AB84))))=0)</f>
        <v/>
      </c>
    </row>
    <row r="85" spans="1:30" ht="15" customHeight="1" x14ac:dyDescent="0.25">
      <c r="A85" s="50" t="str">
        <f>IF($AB85="","",IFERROR(IF(AND(INDEX('ORDER Form'!$N$1:$N$355,$AB85)="GB",LEFT(UPPER(TRIM(INDEX('ORDER Form'!$L$1:$L$355,$AB85))),2)="BT"),INDEX('ORDER Form'!$AC$1:$AC$355,$AB85),IFERROR(VLOOKUP(INDEX('ORDER Form'!$AC$1:$AC$355,$AB85)&amp;"|"&amp;INDEX('PRODUCT DATA'!$A$2:$A$58,MATCH(INDEX('ORDER Form'!$N$1:$N$355,$AB85),'PRODUCT DATA'!$B$2:$B$58,0)),'PRODUCT DATA'!$NO$2:$NP$25,2,FALSE()),INDEX('ORDER Form'!$AC$1:$AC$355,$AB85)))&amp;"",""))</f>
        <v/>
      </c>
      <c r="B85" s="49"/>
      <c r="C85" s="51" t="str">
        <f>IF($AB85="","",INDEX('ORDER Form'!$C$1:$C$355,$AB85))</f>
        <v/>
      </c>
      <c r="D85" s="49"/>
      <c r="E85" s="49"/>
      <c r="F85" s="49"/>
      <c r="G85" s="49"/>
      <c r="H85" s="49"/>
      <c r="I85" s="49"/>
      <c r="J85" s="50" t="str">
        <f>IF($AB85="","",INDEX('ORDER Form'!$D$1:$D$355,$AB85)&amp;"")</f>
        <v/>
      </c>
      <c r="K85" s="50" t="str">
        <f>IF($AB85="","",INDEX('ORDER Form'!$E$1:$E$355,$AB85)&amp;"")</f>
        <v/>
      </c>
      <c r="L85" s="50" t="str">
        <f>IF($AB85="","",INDEX('ORDER Form'!$F$1:$F$355,$AB85)&amp;"")</f>
        <v/>
      </c>
      <c r="M85" s="50" t="str">
        <f>IF($AB85="","",INDEX('ORDER Form'!$G$1:$G$355,$AB85)&amp;"")</f>
        <v/>
      </c>
      <c r="N85" s="50" t="str">
        <f>IF($AB85="","",INDEX('ORDER Form'!$H$1:$H$355,$AB85)&amp;"")</f>
        <v/>
      </c>
      <c r="O85" s="50" t="str">
        <f>IF($AB85="","",INDEX('ORDER Form'!$I$1:$I$355,$AB85)&amp;"")</f>
        <v/>
      </c>
      <c r="P85" s="50" t="str">
        <f>IF($AB85="","",INDEX('ORDER Form'!$J$1:$J$355,$AB85)&amp;"")</f>
        <v/>
      </c>
      <c r="Q85" s="50" t="str">
        <f>IF($AB85="","",INDEX('ORDER Form'!$AB$1:$AB$355,$AB85)&amp;"")</f>
        <v/>
      </c>
      <c r="R85" s="50" t="str">
        <f>IF($AB85="","",INDEX('ORDER Form'!$L$1:$L$355,$AB85)&amp;"")</f>
        <v/>
      </c>
      <c r="S85" s="50" t="str">
        <f>IF($AB85="","",INDEX('ORDER Form'!$N$1:$N$355,$AB85)&amp;"")</f>
        <v/>
      </c>
      <c r="T85" s="50" t="str">
        <f>IF($AB85="","",IF($AD85,T$3,INDEX('ORDER Form'!$O$1:$O$355,$AB85))&amp;"")</f>
        <v/>
      </c>
      <c r="U85" s="50" t="str">
        <f>IF($AB85="","",IF($AD85,U$3,INDEX('ORDER Form'!$P$1:$P$355,$AB85))&amp;"")</f>
        <v/>
      </c>
      <c r="V85" s="50" t="str">
        <f>IF($AB85="","",IF($AD85,V$3,INDEX('ORDER Form'!$Q$1:$Q$355,$AB85))&amp;"")</f>
        <v/>
      </c>
      <c r="W85" s="50" t="str">
        <f>IF($AB85="","",IF($AD85,W$3,INDEX('ORDER Form'!$R$1:$R$355,$AB85))&amp;"")</f>
        <v/>
      </c>
      <c r="X85" s="50" t="str">
        <f>IF($AB85="","",IF($AD85,X$3,INDEX('ORDER Form'!$S$1:$S$355,$AB85))&amp;"")</f>
        <v/>
      </c>
      <c r="Y85" s="50" t="str">
        <f>IF($AB85="","",IF($AD85,Y$3,INDEX('ORDER Form'!$T$1:$T$355,$AB85))&amp;"")</f>
        <v/>
      </c>
      <c r="Z85" s="50" t="str">
        <f>IF($AB85="","",IF($AD85,Z$3,INDEX('ORDER Form'!$U$1:$U$355,$AB85))&amp;"")</f>
        <v/>
      </c>
      <c r="AB85" s="51" t="str">
        <f>IFERROR(MATCH(81,$AC$5:$AC$354,0)+5,"")</f>
        <v/>
      </c>
      <c r="AC85" s="51" t="str">
        <f>IF('ORDER Form'!$V86="OK",COUNTIF('ORDER Form'!$V$6:$V86,"OK"),"")</f>
        <v/>
      </c>
      <c r="AD85" s="51" t="str">
        <f>IF($AB85="","",(LEN(TRIM(INDEX('ORDER Form'!$O$1:$O$355,$AB85)))+LEN(TRIM(INDEX('ORDER Form'!$P$1:$P$355,$AB85)))+LEN(TRIM(INDEX('ORDER Form'!$Q$1:$Q$355,$AB85)))+LEN(TRIM(INDEX('ORDER Form'!$R$1:$R$355,$AB85)))+LEN(TRIM(INDEX('ORDER Form'!$S$1:$S$355,$AB85)))+LEN(TRIM(INDEX('ORDER Form'!$T$1:$T$355,$AB85)))+LEN(TRIM(INDEX('ORDER Form'!$U$1:$U$355,$AB85))))=0)</f>
        <v/>
      </c>
    </row>
    <row r="86" spans="1:30" ht="15" customHeight="1" x14ac:dyDescent="0.25">
      <c r="A86" s="50" t="str">
        <f>IF($AB86="","",IFERROR(IF(AND(INDEX('ORDER Form'!$N$1:$N$355,$AB86)="GB",LEFT(UPPER(TRIM(INDEX('ORDER Form'!$L$1:$L$355,$AB86))),2)="BT"),INDEX('ORDER Form'!$AC$1:$AC$355,$AB86),IFERROR(VLOOKUP(INDEX('ORDER Form'!$AC$1:$AC$355,$AB86)&amp;"|"&amp;INDEX('PRODUCT DATA'!$A$2:$A$58,MATCH(INDEX('ORDER Form'!$N$1:$N$355,$AB86),'PRODUCT DATA'!$B$2:$B$58,0)),'PRODUCT DATA'!$NO$2:$NP$25,2,FALSE()),INDEX('ORDER Form'!$AC$1:$AC$355,$AB86)))&amp;"",""))</f>
        <v/>
      </c>
      <c r="B86" s="49"/>
      <c r="C86" s="51" t="str">
        <f>IF($AB86="","",INDEX('ORDER Form'!$C$1:$C$355,$AB86))</f>
        <v/>
      </c>
      <c r="D86" s="49"/>
      <c r="E86" s="49"/>
      <c r="F86" s="49"/>
      <c r="G86" s="49"/>
      <c r="H86" s="49"/>
      <c r="I86" s="49"/>
      <c r="J86" s="50" t="str">
        <f>IF($AB86="","",INDEX('ORDER Form'!$D$1:$D$355,$AB86)&amp;"")</f>
        <v/>
      </c>
      <c r="K86" s="50" t="str">
        <f>IF($AB86="","",INDEX('ORDER Form'!$E$1:$E$355,$AB86)&amp;"")</f>
        <v/>
      </c>
      <c r="L86" s="50" t="str">
        <f>IF($AB86="","",INDEX('ORDER Form'!$F$1:$F$355,$AB86)&amp;"")</f>
        <v/>
      </c>
      <c r="M86" s="50" t="str">
        <f>IF($AB86="","",INDEX('ORDER Form'!$G$1:$G$355,$AB86)&amp;"")</f>
        <v/>
      </c>
      <c r="N86" s="50" t="str">
        <f>IF($AB86="","",INDEX('ORDER Form'!$H$1:$H$355,$AB86)&amp;"")</f>
        <v/>
      </c>
      <c r="O86" s="50" t="str">
        <f>IF($AB86="","",INDEX('ORDER Form'!$I$1:$I$355,$AB86)&amp;"")</f>
        <v/>
      </c>
      <c r="P86" s="50" t="str">
        <f>IF($AB86="","",INDEX('ORDER Form'!$J$1:$J$355,$AB86)&amp;"")</f>
        <v/>
      </c>
      <c r="Q86" s="50" t="str">
        <f>IF($AB86="","",INDEX('ORDER Form'!$AB$1:$AB$355,$AB86)&amp;"")</f>
        <v/>
      </c>
      <c r="R86" s="50" t="str">
        <f>IF($AB86="","",INDEX('ORDER Form'!$L$1:$L$355,$AB86)&amp;"")</f>
        <v/>
      </c>
      <c r="S86" s="50" t="str">
        <f>IF($AB86="","",INDEX('ORDER Form'!$N$1:$N$355,$AB86)&amp;"")</f>
        <v/>
      </c>
      <c r="T86" s="50" t="str">
        <f>IF($AB86="","",IF($AD86,T$3,INDEX('ORDER Form'!$O$1:$O$355,$AB86))&amp;"")</f>
        <v/>
      </c>
      <c r="U86" s="50" t="str">
        <f>IF($AB86="","",IF($AD86,U$3,INDEX('ORDER Form'!$P$1:$P$355,$AB86))&amp;"")</f>
        <v/>
      </c>
      <c r="V86" s="50" t="str">
        <f>IF($AB86="","",IF($AD86,V$3,INDEX('ORDER Form'!$Q$1:$Q$355,$AB86))&amp;"")</f>
        <v/>
      </c>
      <c r="W86" s="50" t="str">
        <f>IF($AB86="","",IF($AD86,W$3,INDEX('ORDER Form'!$R$1:$R$355,$AB86))&amp;"")</f>
        <v/>
      </c>
      <c r="X86" s="50" t="str">
        <f>IF($AB86="","",IF($AD86,X$3,INDEX('ORDER Form'!$S$1:$S$355,$AB86))&amp;"")</f>
        <v/>
      </c>
      <c r="Y86" s="50" t="str">
        <f>IF($AB86="","",IF($AD86,Y$3,INDEX('ORDER Form'!$T$1:$T$355,$AB86))&amp;"")</f>
        <v/>
      </c>
      <c r="Z86" s="50" t="str">
        <f>IF($AB86="","",IF($AD86,Z$3,INDEX('ORDER Form'!$U$1:$U$355,$AB86))&amp;"")</f>
        <v/>
      </c>
      <c r="AB86" s="51" t="str">
        <f>IFERROR(MATCH(82,$AC$5:$AC$354,0)+5,"")</f>
        <v/>
      </c>
      <c r="AC86" s="51" t="str">
        <f>IF('ORDER Form'!$V87="OK",COUNTIF('ORDER Form'!$V$6:$V87,"OK"),"")</f>
        <v/>
      </c>
      <c r="AD86" s="51" t="str">
        <f>IF($AB86="","",(LEN(TRIM(INDEX('ORDER Form'!$O$1:$O$355,$AB86)))+LEN(TRIM(INDEX('ORDER Form'!$P$1:$P$355,$AB86)))+LEN(TRIM(INDEX('ORDER Form'!$Q$1:$Q$355,$AB86)))+LEN(TRIM(INDEX('ORDER Form'!$R$1:$R$355,$AB86)))+LEN(TRIM(INDEX('ORDER Form'!$S$1:$S$355,$AB86)))+LEN(TRIM(INDEX('ORDER Form'!$T$1:$T$355,$AB86)))+LEN(TRIM(INDEX('ORDER Form'!$U$1:$U$355,$AB86))))=0)</f>
        <v/>
      </c>
    </row>
    <row r="87" spans="1:30" ht="15" customHeight="1" x14ac:dyDescent="0.25">
      <c r="A87" s="50" t="str">
        <f>IF($AB87="","",IFERROR(IF(AND(INDEX('ORDER Form'!$N$1:$N$355,$AB87)="GB",LEFT(UPPER(TRIM(INDEX('ORDER Form'!$L$1:$L$355,$AB87))),2)="BT"),INDEX('ORDER Form'!$AC$1:$AC$355,$AB87),IFERROR(VLOOKUP(INDEX('ORDER Form'!$AC$1:$AC$355,$AB87)&amp;"|"&amp;INDEX('PRODUCT DATA'!$A$2:$A$58,MATCH(INDEX('ORDER Form'!$N$1:$N$355,$AB87),'PRODUCT DATA'!$B$2:$B$58,0)),'PRODUCT DATA'!$NO$2:$NP$25,2,FALSE()),INDEX('ORDER Form'!$AC$1:$AC$355,$AB87)))&amp;"",""))</f>
        <v/>
      </c>
      <c r="B87" s="49"/>
      <c r="C87" s="51" t="str">
        <f>IF($AB87="","",INDEX('ORDER Form'!$C$1:$C$355,$AB87))</f>
        <v/>
      </c>
      <c r="D87" s="49"/>
      <c r="E87" s="49"/>
      <c r="F87" s="49"/>
      <c r="G87" s="49"/>
      <c r="H87" s="49"/>
      <c r="I87" s="49"/>
      <c r="J87" s="50" t="str">
        <f>IF($AB87="","",INDEX('ORDER Form'!$D$1:$D$355,$AB87)&amp;"")</f>
        <v/>
      </c>
      <c r="K87" s="50" t="str">
        <f>IF($AB87="","",INDEX('ORDER Form'!$E$1:$E$355,$AB87)&amp;"")</f>
        <v/>
      </c>
      <c r="L87" s="50" t="str">
        <f>IF($AB87="","",INDEX('ORDER Form'!$F$1:$F$355,$AB87)&amp;"")</f>
        <v/>
      </c>
      <c r="M87" s="50" t="str">
        <f>IF($AB87="","",INDEX('ORDER Form'!$G$1:$G$355,$AB87)&amp;"")</f>
        <v/>
      </c>
      <c r="N87" s="50" t="str">
        <f>IF($AB87="","",INDEX('ORDER Form'!$H$1:$H$355,$AB87)&amp;"")</f>
        <v/>
      </c>
      <c r="O87" s="50" t="str">
        <f>IF($AB87="","",INDEX('ORDER Form'!$I$1:$I$355,$AB87)&amp;"")</f>
        <v/>
      </c>
      <c r="P87" s="50" t="str">
        <f>IF($AB87="","",INDEX('ORDER Form'!$J$1:$J$355,$AB87)&amp;"")</f>
        <v/>
      </c>
      <c r="Q87" s="50" t="str">
        <f>IF($AB87="","",INDEX('ORDER Form'!$AB$1:$AB$355,$AB87)&amp;"")</f>
        <v/>
      </c>
      <c r="R87" s="50" t="str">
        <f>IF($AB87="","",INDEX('ORDER Form'!$L$1:$L$355,$AB87)&amp;"")</f>
        <v/>
      </c>
      <c r="S87" s="50" t="str">
        <f>IF($AB87="","",INDEX('ORDER Form'!$N$1:$N$355,$AB87)&amp;"")</f>
        <v/>
      </c>
      <c r="T87" s="50" t="str">
        <f>IF($AB87="","",IF($AD87,T$3,INDEX('ORDER Form'!$O$1:$O$355,$AB87))&amp;"")</f>
        <v/>
      </c>
      <c r="U87" s="50" t="str">
        <f>IF($AB87="","",IF($AD87,U$3,INDEX('ORDER Form'!$P$1:$P$355,$AB87))&amp;"")</f>
        <v/>
      </c>
      <c r="V87" s="50" t="str">
        <f>IF($AB87="","",IF($AD87,V$3,INDEX('ORDER Form'!$Q$1:$Q$355,$AB87))&amp;"")</f>
        <v/>
      </c>
      <c r="W87" s="50" t="str">
        <f>IF($AB87="","",IF($AD87,W$3,INDEX('ORDER Form'!$R$1:$R$355,$AB87))&amp;"")</f>
        <v/>
      </c>
      <c r="X87" s="50" t="str">
        <f>IF($AB87="","",IF($AD87,X$3,INDEX('ORDER Form'!$S$1:$S$355,$AB87))&amp;"")</f>
        <v/>
      </c>
      <c r="Y87" s="50" t="str">
        <f>IF($AB87="","",IF($AD87,Y$3,INDEX('ORDER Form'!$T$1:$T$355,$AB87))&amp;"")</f>
        <v/>
      </c>
      <c r="Z87" s="50" t="str">
        <f>IF($AB87="","",IF($AD87,Z$3,INDEX('ORDER Form'!$U$1:$U$355,$AB87))&amp;"")</f>
        <v/>
      </c>
      <c r="AB87" s="51" t="str">
        <f>IFERROR(MATCH(83,$AC$5:$AC$354,0)+5,"")</f>
        <v/>
      </c>
      <c r="AC87" s="51" t="str">
        <f>IF('ORDER Form'!$V88="OK",COUNTIF('ORDER Form'!$V$6:$V88,"OK"),"")</f>
        <v/>
      </c>
      <c r="AD87" s="51" t="str">
        <f>IF($AB87="","",(LEN(TRIM(INDEX('ORDER Form'!$O$1:$O$355,$AB87)))+LEN(TRIM(INDEX('ORDER Form'!$P$1:$P$355,$AB87)))+LEN(TRIM(INDEX('ORDER Form'!$Q$1:$Q$355,$AB87)))+LEN(TRIM(INDEX('ORDER Form'!$R$1:$R$355,$AB87)))+LEN(TRIM(INDEX('ORDER Form'!$S$1:$S$355,$AB87)))+LEN(TRIM(INDEX('ORDER Form'!$T$1:$T$355,$AB87)))+LEN(TRIM(INDEX('ORDER Form'!$U$1:$U$355,$AB87))))=0)</f>
        <v/>
      </c>
    </row>
    <row r="88" spans="1:30" ht="15" customHeight="1" x14ac:dyDescent="0.25">
      <c r="A88" s="50" t="str">
        <f>IF($AB88="","",IFERROR(IF(AND(INDEX('ORDER Form'!$N$1:$N$355,$AB88)="GB",LEFT(UPPER(TRIM(INDEX('ORDER Form'!$L$1:$L$355,$AB88))),2)="BT"),INDEX('ORDER Form'!$AC$1:$AC$355,$AB88),IFERROR(VLOOKUP(INDEX('ORDER Form'!$AC$1:$AC$355,$AB88)&amp;"|"&amp;INDEX('PRODUCT DATA'!$A$2:$A$58,MATCH(INDEX('ORDER Form'!$N$1:$N$355,$AB88),'PRODUCT DATA'!$B$2:$B$58,0)),'PRODUCT DATA'!$NO$2:$NP$25,2,FALSE()),INDEX('ORDER Form'!$AC$1:$AC$355,$AB88)))&amp;"",""))</f>
        <v/>
      </c>
      <c r="B88" s="49"/>
      <c r="C88" s="51" t="str">
        <f>IF($AB88="","",INDEX('ORDER Form'!$C$1:$C$355,$AB88))</f>
        <v/>
      </c>
      <c r="D88" s="49"/>
      <c r="E88" s="49"/>
      <c r="F88" s="49"/>
      <c r="G88" s="49"/>
      <c r="H88" s="49"/>
      <c r="I88" s="49"/>
      <c r="J88" s="50" t="str">
        <f>IF($AB88="","",INDEX('ORDER Form'!$D$1:$D$355,$AB88)&amp;"")</f>
        <v/>
      </c>
      <c r="K88" s="50" t="str">
        <f>IF($AB88="","",INDEX('ORDER Form'!$E$1:$E$355,$AB88)&amp;"")</f>
        <v/>
      </c>
      <c r="L88" s="50" t="str">
        <f>IF($AB88="","",INDEX('ORDER Form'!$F$1:$F$355,$AB88)&amp;"")</f>
        <v/>
      </c>
      <c r="M88" s="50" t="str">
        <f>IF($AB88="","",INDEX('ORDER Form'!$G$1:$G$355,$AB88)&amp;"")</f>
        <v/>
      </c>
      <c r="N88" s="50" t="str">
        <f>IF($AB88="","",INDEX('ORDER Form'!$H$1:$H$355,$AB88)&amp;"")</f>
        <v/>
      </c>
      <c r="O88" s="50" t="str">
        <f>IF($AB88="","",INDEX('ORDER Form'!$I$1:$I$355,$AB88)&amp;"")</f>
        <v/>
      </c>
      <c r="P88" s="50" t="str">
        <f>IF($AB88="","",INDEX('ORDER Form'!$J$1:$J$355,$AB88)&amp;"")</f>
        <v/>
      </c>
      <c r="Q88" s="50" t="str">
        <f>IF($AB88="","",INDEX('ORDER Form'!$AB$1:$AB$355,$AB88)&amp;"")</f>
        <v/>
      </c>
      <c r="R88" s="50" t="str">
        <f>IF($AB88="","",INDEX('ORDER Form'!$L$1:$L$355,$AB88)&amp;"")</f>
        <v/>
      </c>
      <c r="S88" s="50" t="str">
        <f>IF($AB88="","",INDEX('ORDER Form'!$N$1:$N$355,$AB88)&amp;"")</f>
        <v/>
      </c>
      <c r="T88" s="50" t="str">
        <f>IF($AB88="","",IF($AD88,T$3,INDEX('ORDER Form'!$O$1:$O$355,$AB88))&amp;"")</f>
        <v/>
      </c>
      <c r="U88" s="50" t="str">
        <f>IF($AB88="","",IF($AD88,U$3,INDEX('ORDER Form'!$P$1:$P$355,$AB88))&amp;"")</f>
        <v/>
      </c>
      <c r="V88" s="50" t="str">
        <f>IF($AB88="","",IF($AD88,V$3,INDEX('ORDER Form'!$Q$1:$Q$355,$AB88))&amp;"")</f>
        <v/>
      </c>
      <c r="W88" s="50" t="str">
        <f>IF($AB88="","",IF($AD88,W$3,INDEX('ORDER Form'!$R$1:$R$355,$AB88))&amp;"")</f>
        <v/>
      </c>
      <c r="X88" s="50" t="str">
        <f>IF($AB88="","",IF($AD88,X$3,INDEX('ORDER Form'!$S$1:$S$355,$AB88))&amp;"")</f>
        <v/>
      </c>
      <c r="Y88" s="50" t="str">
        <f>IF($AB88="","",IF($AD88,Y$3,INDEX('ORDER Form'!$T$1:$T$355,$AB88))&amp;"")</f>
        <v/>
      </c>
      <c r="Z88" s="50" t="str">
        <f>IF($AB88="","",IF($AD88,Z$3,INDEX('ORDER Form'!$U$1:$U$355,$AB88))&amp;"")</f>
        <v/>
      </c>
      <c r="AB88" s="51" t="str">
        <f>IFERROR(MATCH(84,$AC$5:$AC$354,0)+5,"")</f>
        <v/>
      </c>
      <c r="AC88" s="51" t="str">
        <f>IF('ORDER Form'!$V89="OK",COUNTIF('ORDER Form'!$V$6:$V89,"OK"),"")</f>
        <v/>
      </c>
      <c r="AD88" s="51" t="str">
        <f>IF($AB88="","",(LEN(TRIM(INDEX('ORDER Form'!$O$1:$O$355,$AB88)))+LEN(TRIM(INDEX('ORDER Form'!$P$1:$P$355,$AB88)))+LEN(TRIM(INDEX('ORDER Form'!$Q$1:$Q$355,$AB88)))+LEN(TRIM(INDEX('ORDER Form'!$R$1:$R$355,$AB88)))+LEN(TRIM(INDEX('ORDER Form'!$S$1:$S$355,$AB88)))+LEN(TRIM(INDEX('ORDER Form'!$T$1:$T$355,$AB88)))+LEN(TRIM(INDEX('ORDER Form'!$U$1:$U$355,$AB88))))=0)</f>
        <v/>
      </c>
    </row>
    <row r="89" spans="1:30" ht="15" customHeight="1" x14ac:dyDescent="0.25">
      <c r="A89" s="50" t="str">
        <f>IF($AB89="","",IFERROR(IF(AND(INDEX('ORDER Form'!$N$1:$N$355,$AB89)="GB",LEFT(UPPER(TRIM(INDEX('ORDER Form'!$L$1:$L$355,$AB89))),2)="BT"),INDEX('ORDER Form'!$AC$1:$AC$355,$AB89),IFERROR(VLOOKUP(INDEX('ORDER Form'!$AC$1:$AC$355,$AB89)&amp;"|"&amp;INDEX('PRODUCT DATA'!$A$2:$A$58,MATCH(INDEX('ORDER Form'!$N$1:$N$355,$AB89),'PRODUCT DATA'!$B$2:$B$58,0)),'PRODUCT DATA'!$NO$2:$NP$25,2,FALSE()),INDEX('ORDER Form'!$AC$1:$AC$355,$AB89)))&amp;"",""))</f>
        <v/>
      </c>
      <c r="B89" s="49"/>
      <c r="C89" s="51" t="str">
        <f>IF($AB89="","",INDEX('ORDER Form'!$C$1:$C$355,$AB89))</f>
        <v/>
      </c>
      <c r="D89" s="49"/>
      <c r="E89" s="49"/>
      <c r="F89" s="49"/>
      <c r="G89" s="49"/>
      <c r="H89" s="49"/>
      <c r="I89" s="49"/>
      <c r="J89" s="50" t="str">
        <f>IF($AB89="","",INDEX('ORDER Form'!$D$1:$D$355,$AB89)&amp;"")</f>
        <v/>
      </c>
      <c r="K89" s="50" t="str">
        <f>IF($AB89="","",INDEX('ORDER Form'!$E$1:$E$355,$AB89)&amp;"")</f>
        <v/>
      </c>
      <c r="L89" s="50" t="str">
        <f>IF($AB89="","",INDEX('ORDER Form'!$F$1:$F$355,$AB89)&amp;"")</f>
        <v/>
      </c>
      <c r="M89" s="50" t="str">
        <f>IF($AB89="","",INDEX('ORDER Form'!$G$1:$G$355,$AB89)&amp;"")</f>
        <v/>
      </c>
      <c r="N89" s="50" t="str">
        <f>IF($AB89="","",INDEX('ORDER Form'!$H$1:$H$355,$AB89)&amp;"")</f>
        <v/>
      </c>
      <c r="O89" s="50" t="str">
        <f>IF($AB89="","",INDEX('ORDER Form'!$I$1:$I$355,$AB89)&amp;"")</f>
        <v/>
      </c>
      <c r="P89" s="50" t="str">
        <f>IF($AB89="","",INDEX('ORDER Form'!$J$1:$J$355,$AB89)&amp;"")</f>
        <v/>
      </c>
      <c r="Q89" s="50" t="str">
        <f>IF($AB89="","",INDEX('ORDER Form'!$AB$1:$AB$355,$AB89)&amp;"")</f>
        <v/>
      </c>
      <c r="R89" s="50" t="str">
        <f>IF($AB89="","",INDEX('ORDER Form'!$L$1:$L$355,$AB89)&amp;"")</f>
        <v/>
      </c>
      <c r="S89" s="50" t="str">
        <f>IF($AB89="","",INDEX('ORDER Form'!$N$1:$N$355,$AB89)&amp;"")</f>
        <v/>
      </c>
      <c r="T89" s="50" t="str">
        <f>IF($AB89="","",IF($AD89,T$3,INDEX('ORDER Form'!$O$1:$O$355,$AB89))&amp;"")</f>
        <v/>
      </c>
      <c r="U89" s="50" t="str">
        <f>IF($AB89="","",IF($AD89,U$3,INDEX('ORDER Form'!$P$1:$P$355,$AB89))&amp;"")</f>
        <v/>
      </c>
      <c r="V89" s="50" t="str">
        <f>IF($AB89="","",IF($AD89,V$3,INDEX('ORDER Form'!$Q$1:$Q$355,$AB89))&amp;"")</f>
        <v/>
      </c>
      <c r="W89" s="50" t="str">
        <f>IF($AB89="","",IF($AD89,W$3,INDEX('ORDER Form'!$R$1:$R$355,$AB89))&amp;"")</f>
        <v/>
      </c>
      <c r="X89" s="50" t="str">
        <f>IF($AB89="","",IF($AD89,X$3,INDEX('ORDER Form'!$S$1:$S$355,$AB89))&amp;"")</f>
        <v/>
      </c>
      <c r="Y89" s="50" t="str">
        <f>IF($AB89="","",IF($AD89,Y$3,INDEX('ORDER Form'!$T$1:$T$355,$AB89))&amp;"")</f>
        <v/>
      </c>
      <c r="Z89" s="50" t="str">
        <f>IF($AB89="","",IF($AD89,Z$3,INDEX('ORDER Form'!$U$1:$U$355,$AB89))&amp;"")</f>
        <v/>
      </c>
      <c r="AB89" s="51" t="str">
        <f>IFERROR(MATCH(85,$AC$5:$AC$354,0)+5,"")</f>
        <v/>
      </c>
      <c r="AC89" s="51" t="str">
        <f>IF('ORDER Form'!$V90="OK",COUNTIF('ORDER Form'!$V$6:$V90,"OK"),"")</f>
        <v/>
      </c>
      <c r="AD89" s="51" t="str">
        <f>IF($AB89="","",(LEN(TRIM(INDEX('ORDER Form'!$O$1:$O$355,$AB89)))+LEN(TRIM(INDEX('ORDER Form'!$P$1:$P$355,$AB89)))+LEN(TRIM(INDEX('ORDER Form'!$Q$1:$Q$355,$AB89)))+LEN(TRIM(INDEX('ORDER Form'!$R$1:$R$355,$AB89)))+LEN(TRIM(INDEX('ORDER Form'!$S$1:$S$355,$AB89)))+LEN(TRIM(INDEX('ORDER Form'!$T$1:$T$355,$AB89)))+LEN(TRIM(INDEX('ORDER Form'!$U$1:$U$355,$AB89))))=0)</f>
        <v/>
      </c>
    </row>
    <row r="90" spans="1:30" ht="15" customHeight="1" x14ac:dyDescent="0.25">
      <c r="A90" s="50" t="str">
        <f>IF($AB90="","",IFERROR(IF(AND(INDEX('ORDER Form'!$N$1:$N$355,$AB90)="GB",LEFT(UPPER(TRIM(INDEX('ORDER Form'!$L$1:$L$355,$AB90))),2)="BT"),INDEX('ORDER Form'!$AC$1:$AC$355,$AB90),IFERROR(VLOOKUP(INDEX('ORDER Form'!$AC$1:$AC$355,$AB90)&amp;"|"&amp;INDEX('PRODUCT DATA'!$A$2:$A$58,MATCH(INDEX('ORDER Form'!$N$1:$N$355,$AB90),'PRODUCT DATA'!$B$2:$B$58,0)),'PRODUCT DATA'!$NO$2:$NP$25,2,FALSE()),INDEX('ORDER Form'!$AC$1:$AC$355,$AB90)))&amp;"",""))</f>
        <v/>
      </c>
      <c r="B90" s="49"/>
      <c r="C90" s="51" t="str">
        <f>IF($AB90="","",INDEX('ORDER Form'!$C$1:$C$355,$AB90))</f>
        <v/>
      </c>
      <c r="D90" s="49"/>
      <c r="E90" s="49"/>
      <c r="F90" s="49"/>
      <c r="G90" s="49"/>
      <c r="H90" s="49"/>
      <c r="I90" s="49"/>
      <c r="J90" s="50" t="str">
        <f>IF($AB90="","",INDEX('ORDER Form'!$D$1:$D$355,$AB90)&amp;"")</f>
        <v/>
      </c>
      <c r="K90" s="50" t="str">
        <f>IF($AB90="","",INDEX('ORDER Form'!$E$1:$E$355,$AB90)&amp;"")</f>
        <v/>
      </c>
      <c r="L90" s="50" t="str">
        <f>IF($AB90="","",INDEX('ORDER Form'!$F$1:$F$355,$AB90)&amp;"")</f>
        <v/>
      </c>
      <c r="M90" s="50" t="str">
        <f>IF($AB90="","",INDEX('ORDER Form'!$G$1:$G$355,$AB90)&amp;"")</f>
        <v/>
      </c>
      <c r="N90" s="50" t="str">
        <f>IF($AB90="","",INDEX('ORDER Form'!$H$1:$H$355,$AB90)&amp;"")</f>
        <v/>
      </c>
      <c r="O90" s="50" t="str">
        <f>IF($AB90="","",INDEX('ORDER Form'!$I$1:$I$355,$AB90)&amp;"")</f>
        <v/>
      </c>
      <c r="P90" s="50" t="str">
        <f>IF($AB90="","",INDEX('ORDER Form'!$J$1:$J$355,$AB90)&amp;"")</f>
        <v/>
      </c>
      <c r="Q90" s="50" t="str">
        <f>IF($AB90="","",INDEX('ORDER Form'!$AB$1:$AB$355,$AB90)&amp;"")</f>
        <v/>
      </c>
      <c r="R90" s="50" t="str">
        <f>IF($AB90="","",INDEX('ORDER Form'!$L$1:$L$355,$AB90)&amp;"")</f>
        <v/>
      </c>
      <c r="S90" s="50" t="str">
        <f>IF($AB90="","",INDEX('ORDER Form'!$N$1:$N$355,$AB90)&amp;"")</f>
        <v/>
      </c>
      <c r="T90" s="50" t="str">
        <f>IF($AB90="","",IF($AD90,T$3,INDEX('ORDER Form'!$O$1:$O$355,$AB90))&amp;"")</f>
        <v/>
      </c>
      <c r="U90" s="50" t="str">
        <f>IF($AB90="","",IF($AD90,U$3,INDEX('ORDER Form'!$P$1:$P$355,$AB90))&amp;"")</f>
        <v/>
      </c>
      <c r="V90" s="50" t="str">
        <f>IF($AB90="","",IF($AD90,V$3,INDEX('ORDER Form'!$Q$1:$Q$355,$AB90))&amp;"")</f>
        <v/>
      </c>
      <c r="W90" s="50" t="str">
        <f>IF($AB90="","",IF($AD90,W$3,INDEX('ORDER Form'!$R$1:$R$355,$AB90))&amp;"")</f>
        <v/>
      </c>
      <c r="X90" s="50" t="str">
        <f>IF($AB90="","",IF($AD90,X$3,INDEX('ORDER Form'!$S$1:$S$355,$AB90))&amp;"")</f>
        <v/>
      </c>
      <c r="Y90" s="50" t="str">
        <f>IF($AB90="","",IF($AD90,Y$3,INDEX('ORDER Form'!$T$1:$T$355,$AB90))&amp;"")</f>
        <v/>
      </c>
      <c r="Z90" s="50" t="str">
        <f>IF($AB90="","",IF($AD90,Z$3,INDEX('ORDER Form'!$U$1:$U$355,$AB90))&amp;"")</f>
        <v/>
      </c>
      <c r="AB90" s="51" t="str">
        <f>IFERROR(MATCH(86,$AC$5:$AC$354,0)+5,"")</f>
        <v/>
      </c>
      <c r="AC90" s="51" t="str">
        <f>IF('ORDER Form'!$V91="OK",COUNTIF('ORDER Form'!$V$6:$V91,"OK"),"")</f>
        <v/>
      </c>
      <c r="AD90" s="51" t="str">
        <f>IF($AB90="","",(LEN(TRIM(INDEX('ORDER Form'!$O$1:$O$355,$AB90)))+LEN(TRIM(INDEX('ORDER Form'!$P$1:$P$355,$AB90)))+LEN(TRIM(INDEX('ORDER Form'!$Q$1:$Q$355,$AB90)))+LEN(TRIM(INDEX('ORDER Form'!$R$1:$R$355,$AB90)))+LEN(TRIM(INDEX('ORDER Form'!$S$1:$S$355,$AB90)))+LEN(TRIM(INDEX('ORDER Form'!$T$1:$T$355,$AB90)))+LEN(TRIM(INDEX('ORDER Form'!$U$1:$U$355,$AB90))))=0)</f>
        <v/>
      </c>
    </row>
    <row r="91" spans="1:30" ht="15" customHeight="1" x14ac:dyDescent="0.25">
      <c r="A91" s="50" t="str">
        <f>IF($AB91="","",IFERROR(IF(AND(INDEX('ORDER Form'!$N$1:$N$355,$AB91)="GB",LEFT(UPPER(TRIM(INDEX('ORDER Form'!$L$1:$L$355,$AB91))),2)="BT"),INDEX('ORDER Form'!$AC$1:$AC$355,$AB91),IFERROR(VLOOKUP(INDEX('ORDER Form'!$AC$1:$AC$355,$AB91)&amp;"|"&amp;INDEX('PRODUCT DATA'!$A$2:$A$58,MATCH(INDEX('ORDER Form'!$N$1:$N$355,$AB91),'PRODUCT DATA'!$B$2:$B$58,0)),'PRODUCT DATA'!$NO$2:$NP$25,2,FALSE()),INDEX('ORDER Form'!$AC$1:$AC$355,$AB91)))&amp;"",""))</f>
        <v/>
      </c>
      <c r="B91" s="49"/>
      <c r="C91" s="51" t="str">
        <f>IF($AB91="","",INDEX('ORDER Form'!$C$1:$C$355,$AB91))</f>
        <v/>
      </c>
      <c r="D91" s="49"/>
      <c r="E91" s="49"/>
      <c r="F91" s="49"/>
      <c r="G91" s="49"/>
      <c r="H91" s="49"/>
      <c r="I91" s="49"/>
      <c r="J91" s="50" t="str">
        <f>IF($AB91="","",INDEX('ORDER Form'!$D$1:$D$355,$AB91)&amp;"")</f>
        <v/>
      </c>
      <c r="K91" s="50" t="str">
        <f>IF($AB91="","",INDEX('ORDER Form'!$E$1:$E$355,$AB91)&amp;"")</f>
        <v/>
      </c>
      <c r="L91" s="50" t="str">
        <f>IF($AB91="","",INDEX('ORDER Form'!$F$1:$F$355,$AB91)&amp;"")</f>
        <v/>
      </c>
      <c r="M91" s="50" t="str">
        <f>IF($AB91="","",INDEX('ORDER Form'!$G$1:$G$355,$AB91)&amp;"")</f>
        <v/>
      </c>
      <c r="N91" s="50" t="str">
        <f>IF($AB91="","",INDEX('ORDER Form'!$H$1:$H$355,$AB91)&amp;"")</f>
        <v/>
      </c>
      <c r="O91" s="50" t="str">
        <f>IF($AB91="","",INDEX('ORDER Form'!$I$1:$I$355,$AB91)&amp;"")</f>
        <v/>
      </c>
      <c r="P91" s="50" t="str">
        <f>IF($AB91="","",INDEX('ORDER Form'!$J$1:$J$355,$AB91)&amp;"")</f>
        <v/>
      </c>
      <c r="Q91" s="50" t="str">
        <f>IF($AB91="","",INDEX('ORDER Form'!$AB$1:$AB$355,$AB91)&amp;"")</f>
        <v/>
      </c>
      <c r="R91" s="50" t="str">
        <f>IF($AB91="","",INDEX('ORDER Form'!$L$1:$L$355,$AB91)&amp;"")</f>
        <v/>
      </c>
      <c r="S91" s="50" t="str">
        <f>IF($AB91="","",INDEX('ORDER Form'!$N$1:$N$355,$AB91)&amp;"")</f>
        <v/>
      </c>
      <c r="T91" s="50" t="str">
        <f>IF($AB91="","",IF($AD91,T$3,INDEX('ORDER Form'!$O$1:$O$355,$AB91))&amp;"")</f>
        <v/>
      </c>
      <c r="U91" s="50" t="str">
        <f>IF($AB91="","",IF($AD91,U$3,INDEX('ORDER Form'!$P$1:$P$355,$AB91))&amp;"")</f>
        <v/>
      </c>
      <c r="V91" s="50" t="str">
        <f>IF($AB91="","",IF($AD91,V$3,INDEX('ORDER Form'!$Q$1:$Q$355,$AB91))&amp;"")</f>
        <v/>
      </c>
      <c r="W91" s="50" t="str">
        <f>IF($AB91="","",IF($AD91,W$3,INDEX('ORDER Form'!$R$1:$R$355,$AB91))&amp;"")</f>
        <v/>
      </c>
      <c r="X91" s="50" t="str">
        <f>IF($AB91="","",IF($AD91,X$3,INDEX('ORDER Form'!$S$1:$S$355,$AB91))&amp;"")</f>
        <v/>
      </c>
      <c r="Y91" s="50" t="str">
        <f>IF($AB91="","",IF($AD91,Y$3,INDEX('ORDER Form'!$T$1:$T$355,$AB91))&amp;"")</f>
        <v/>
      </c>
      <c r="Z91" s="50" t="str">
        <f>IF($AB91="","",IF($AD91,Z$3,INDEX('ORDER Form'!$U$1:$U$355,$AB91))&amp;"")</f>
        <v/>
      </c>
      <c r="AB91" s="51" t="str">
        <f>IFERROR(MATCH(87,$AC$5:$AC$354,0)+5,"")</f>
        <v/>
      </c>
      <c r="AC91" s="51" t="str">
        <f>IF('ORDER Form'!$V92="OK",COUNTIF('ORDER Form'!$V$6:$V92,"OK"),"")</f>
        <v/>
      </c>
      <c r="AD91" s="51" t="str">
        <f>IF($AB91="","",(LEN(TRIM(INDEX('ORDER Form'!$O$1:$O$355,$AB91)))+LEN(TRIM(INDEX('ORDER Form'!$P$1:$P$355,$AB91)))+LEN(TRIM(INDEX('ORDER Form'!$Q$1:$Q$355,$AB91)))+LEN(TRIM(INDEX('ORDER Form'!$R$1:$R$355,$AB91)))+LEN(TRIM(INDEX('ORDER Form'!$S$1:$S$355,$AB91)))+LEN(TRIM(INDEX('ORDER Form'!$T$1:$T$355,$AB91)))+LEN(TRIM(INDEX('ORDER Form'!$U$1:$U$355,$AB91))))=0)</f>
        <v/>
      </c>
    </row>
    <row r="92" spans="1:30" ht="15" customHeight="1" x14ac:dyDescent="0.25">
      <c r="A92" s="50" t="str">
        <f>IF($AB92="","",IFERROR(IF(AND(INDEX('ORDER Form'!$N$1:$N$355,$AB92)="GB",LEFT(UPPER(TRIM(INDEX('ORDER Form'!$L$1:$L$355,$AB92))),2)="BT"),INDEX('ORDER Form'!$AC$1:$AC$355,$AB92),IFERROR(VLOOKUP(INDEX('ORDER Form'!$AC$1:$AC$355,$AB92)&amp;"|"&amp;INDEX('PRODUCT DATA'!$A$2:$A$58,MATCH(INDEX('ORDER Form'!$N$1:$N$355,$AB92),'PRODUCT DATA'!$B$2:$B$58,0)),'PRODUCT DATA'!$NO$2:$NP$25,2,FALSE()),INDEX('ORDER Form'!$AC$1:$AC$355,$AB92)))&amp;"",""))</f>
        <v/>
      </c>
      <c r="B92" s="49"/>
      <c r="C92" s="51" t="str">
        <f>IF($AB92="","",INDEX('ORDER Form'!$C$1:$C$355,$AB92))</f>
        <v/>
      </c>
      <c r="D92" s="49"/>
      <c r="E92" s="49"/>
      <c r="F92" s="49"/>
      <c r="G92" s="49"/>
      <c r="H92" s="49"/>
      <c r="I92" s="49"/>
      <c r="J92" s="50" t="str">
        <f>IF($AB92="","",INDEX('ORDER Form'!$D$1:$D$355,$AB92)&amp;"")</f>
        <v/>
      </c>
      <c r="K92" s="50" t="str">
        <f>IF($AB92="","",INDEX('ORDER Form'!$E$1:$E$355,$AB92)&amp;"")</f>
        <v/>
      </c>
      <c r="L92" s="50" t="str">
        <f>IF($AB92="","",INDEX('ORDER Form'!$F$1:$F$355,$AB92)&amp;"")</f>
        <v/>
      </c>
      <c r="M92" s="50" t="str">
        <f>IF($AB92="","",INDEX('ORDER Form'!$G$1:$G$355,$AB92)&amp;"")</f>
        <v/>
      </c>
      <c r="N92" s="50" t="str">
        <f>IF($AB92="","",INDEX('ORDER Form'!$H$1:$H$355,$AB92)&amp;"")</f>
        <v/>
      </c>
      <c r="O92" s="50" t="str">
        <f>IF($AB92="","",INDEX('ORDER Form'!$I$1:$I$355,$AB92)&amp;"")</f>
        <v/>
      </c>
      <c r="P92" s="50" t="str">
        <f>IF($AB92="","",INDEX('ORDER Form'!$J$1:$J$355,$AB92)&amp;"")</f>
        <v/>
      </c>
      <c r="Q92" s="50" t="str">
        <f>IF($AB92="","",INDEX('ORDER Form'!$AB$1:$AB$355,$AB92)&amp;"")</f>
        <v/>
      </c>
      <c r="R92" s="50" t="str">
        <f>IF($AB92="","",INDEX('ORDER Form'!$L$1:$L$355,$AB92)&amp;"")</f>
        <v/>
      </c>
      <c r="S92" s="50" t="str">
        <f>IF($AB92="","",INDEX('ORDER Form'!$N$1:$N$355,$AB92)&amp;"")</f>
        <v/>
      </c>
      <c r="T92" s="50" t="str">
        <f>IF($AB92="","",IF($AD92,T$3,INDEX('ORDER Form'!$O$1:$O$355,$AB92))&amp;"")</f>
        <v/>
      </c>
      <c r="U92" s="50" t="str">
        <f>IF($AB92="","",IF($AD92,U$3,INDEX('ORDER Form'!$P$1:$P$355,$AB92))&amp;"")</f>
        <v/>
      </c>
      <c r="V92" s="50" t="str">
        <f>IF($AB92="","",IF($AD92,V$3,INDEX('ORDER Form'!$Q$1:$Q$355,$AB92))&amp;"")</f>
        <v/>
      </c>
      <c r="W92" s="50" t="str">
        <f>IF($AB92="","",IF($AD92,W$3,INDEX('ORDER Form'!$R$1:$R$355,$AB92))&amp;"")</f>
        <v/>
      </c>
      <c r="X92" s="50" t="str">
        <f>IF($AB92="","",IF($AD92,X$3,INDEX('ORDER Form'!$S$1:$S$355,$AB92))&amp;"")</f>
        <v/>
      </c>
      <c r="Y92" s="50" t="str">
        <f>IF($AB92="","",IF($AD92,Y$3,INDEX('ORDER Form'!$T$1:$T$355,$AB92))&amp;"")</f>
        <v/>
      </c>
      <c r="Z92" s="50" t="str">
        <f>IF($AB92="","",IF($AD92,Z$3,INDEX('ORDER Form'!$U$1:$U$355,$AB92))&amp;"")</f>
        <v/>
      </c>
      <c r="AB92" s="51" t="str">
        <f>IFERROR(MATCH(88,$AC$5:$AC$354,0)+5,"")</f>
        <v/>
      </c>
      <c r="AC92" s="51" t="str">
        <f>IF('ORDER Form'!$V93="OK",COUNTIF('ORDER Form'!$V$6:$V93,"OK"),"")</f>
        <v/>
      </c>
      <c r="AD92" s="51" t="str">
        <f>IF($AB92="","",(LEN(TRIM(INDEX('ORDER Form'!$O$1:$O$355,$AB92)))+LEN(TRIM(INDEX('ORDER Form'!$P$1:$P$355,$AB92)))+LEN(TRIM(INDEX('ORDER Form'!$Q$1:$Q$355,$AB92)))+LEN(TRIM(INDEX('ORDER Form'!$R$1:$R$355,$AB92)))+LEN(TRIM(INDEX('ORDER Form'!$S$1:$S$355,$AB92)))+LEN(TRIM(INDEX('ORDER Form'!$T$1:$T$355,$AB92)))+LEN(TRIM(INDEX('ORDER Form'!$U$1:$U$355,$AB92))))=0)</f>
        <v/>
      </c>
    </row>
    <row r="93" spans="1:30" ht="15" customHeight="1" x14ac:dyDescent="0.25">
      <c r="A93" s="50" t="str">
        <f>IF($AB93="","",IFERROR(IF(AND(INDEX('ORDER Form'!$N$1:$N$355,$AB93)="GB",LEFT(UPPER(TRIM(INDEX('ORDER Form'!$L$1:$L$355,$AB93))),2)="BT"),INDEX('ORDER Form'!$AC$1:$AC$355,$AB93),IFERROR(VLOOKUP(INDEX('ORDER Form'!$AC$1:$AC$355,$AB93)&amp;"|"&amp;INDEX('PRODUCT DATA'!$A$2:$A$58,MATCH(INDEX('ORDER Form'!$N$1:$N$355,$AB93),'PRODUCT DATA'!$B$2:$B$58,0)),'PRODUCT DATA'!$NO$2:$NP$25,2,FALSE()),INDEX('ORDER Form'!$AC$1:$AC$355,$AB93)))&amp;"",""))</f>
        <v/>
      </c>
      <c r="B93" s="49"/>
      <c r="C93" s="51" t="str">
        <f>IF($AB93="","",INDEX('ORDER Form'!$C$1:$C$355,$AB93))</f>
        <v/>
      </c>
      <c r="D93" s="49"/>
      <c r="E93" s="49"/>
      <c r="F93" s="49"/>
      <c r="G93" s="49"/>
      <c r="H93" s="49"/>
      <c r="I93" s="49"/>
      <c r="J93" s="50" t="str">
        <f>IF($AB93="","",INDEX('ORDER Form'!$D$1:$D$355,$AB93)&amp;"")</f>
        <v/>
      </c>
      <c r="K93" s="50" t="str">
        <f>IF($AB93="","",INDEX('ORDER Form'!$E$1:$E$355,$AB93)&amp;"")</f>
        <v/>
      </c>
      <c r="L93" s="50" t="str">
        <f>IF($AB93="","",INDEX('ORDER Form'!$F$1:$F$355,$AB93)&amp;"")</f>
        <v/>
      </c>
      <c r="M93" s="50" t="str">
        <f>IF($AB93="","",INDEX('ORDER Form'!$G$1:$G$355,$AB93)&amp;"")</f>
        <v/>
      </c>
      <c r="N93" s="50" t="str">
        <f>IF($AB93="","",INDEX('ORDER Form'!$H$1:$H$355,$AB93)&amp;"")</f>
        <v/>
      </c>
      <c r="O93" s="50" t="str">
        <f>IF($AB93="","",INDEX('ORDER Form'!$I$1:$I$355,$AB93)&amp;"")</f>
        <v/>
      </c>
      <c r="P93" s="50" t="str">
        <f>IF($AB93="","",INDEX('ORDER Form'!$J$1:$J$355,$AB93)&amp;"")</f>
        <v/>
      </c>
      <c r="Q93" s="50" t="str">
        <f>IF($AB93="","",INDEX('ORDER Form'!$AB$1:$AB$355,$AB93)&amp;"")</f>
        <v/>
      </c>
      <c r="R93" s="50" t="str">
        <f>IF($AB93="","",INDEX('ORDER Form'!$L$1:$L$355,$AB93)&amp;"")</f>
        <v/>
      </c>
      <c r="S93" s="50" t="str">
        <f>IF($AB93="","",INDEX('ORDER Form'!$N$1:$N$355,$AB93)&amp;"")</f>
        <v/>
      </c>
      <c r="T93" s="50" t="str">
        <f>IF($AB93="","",IF($AD93,T$3,INDEX('ORDER Form'!$O$1:$O$355,$AB93))&amp;"")</f>
        <v/>
      </c>
      <c r="U93" s="50" t="str">
        <f>IF($AB93="","",IF($AD93,U$3,INDEX('ORDER Form'!$P$1:$P$355,$AB93))&amp;"")</f>
        <v/>
      </c>
      <c r="V93" s="50" t="str">
        <f>IF($AB93="","",IF($AD93,V$3,INDEX('ORDER Form'!$Q$1:$Q$355,$AB93))&amp;"")</f>
        <v/>
      </c>
      <c r="W93" s="50" t="str">
        <f>IF($AB93="","",IF($AD93,W$3,INDEX('ORDER Form'!$R$1:$R$355,$AB93))&amp;"")</f>
        <v/>
      </c>
      <c r="X93" s="50" t="str">
        <f>IF($AB93="","",IF($AD93,X$3,INDEX('ORDER Form'!$S$1:$S$355,$AB93))&amp;"")</f>
        <v/>
      </c>
      <c r="Y93" s="50" t="str">
        <f>IF($AB93="","",IF($AD93,Y$3,INDEX('ORDER Form'!$T$1:$T$355,$AB93))&amp;"")</f>
        <v/>
      </c>
      <c r="Z93" s="50" t="str">
        <f>IF($AB93="","",IF($AD93,Z$3,INDEX('ORDER Form'!$U$1:$U$355,$AB93))&amp;"")</f>
        <v/>
      </c>
      <c r="AB93" s="51" t="str">
        <f>IFERROR(MATCH(89,$AC$5:$AC$354,0)+5,"")</f>
        <v/>
      </c>
      <c r="AC93" s="51" t="str">
        <f>IF('ORDER Form'!$V94="OK",COUNTIF('ORDER Form'!$V$6:$V94,"OK"),"")</f>
        <v/>
      </c>
      <c r="AD93" s="51" t="str">
        <f>IF($AB93="","",(LEN(TRIM(INDEX('ORDER Form'!$O$1:$O$355,$AB93)))+LEN(TRIM(INDEX('ORDER Form'!$P$1:$P$355,$AB93)))+LEN(TRIM(INDEX('ORDER Form'!$Q$1:$Q$355,$AB93)))+LEN(TRIM(INDEX('ORDER Form'!$R$1:$R$355,$AB93)))+LEN(TRIM(INDEX('ORDER Form'!$S$1:$S$355,$AB93)))+LEN(TRIM(INDEX('ORDER Form'!$T$1:$T$355,$AB93)))+LEN(TRIM(INDEX('ORDER Form'!$U$1:$U$355,$AB93))))=0)</f>
        <v/>
      </c>
    </row>
    <row r="94" spans="1:30" ht="15" customHeight="1" x14ac:dyDescent="0.25">
      <c r="A94" s="50" t="str">
        <f>IF($AB94="","",IFERROR(IF(AND(INDEX('ORDER Form'!$N$1:$N$355,$AB94)="GB",LEFT(UPPER(TRIM(INDEX('ORDER Form'!$L$1:$L$355,$AB94))),2)="BT"),INDEX('ORDER Form'!$AC$1:$AC$355,$AB94),IFERROR(VLOOKUP(INDEX('ORDER Form'!$AC$1:$AC$355,$AB94)&amp;"|"&amp;INDEX('PRODUCT DATA'!$A$2:$A$58,MATCH(INDEX('ORDER Form'!$N$1:$N$355,$AB94),'PRODUCT DATA'!$B$2:$B$58,0)),'PRODUCT DATA'!$NO$2:$NP$25,2,FALSE()),INDEX('ORDER Form'!$AC$1:$AC$355,$AB94)))&amp;"",""))</f>
        <v/>
      </c>
      <c r="B94" s="49"/>
      <c r="C94" s="51" t="str">
        <f>IF($AB94="","",INDEX('ORDER Form'!$C$1:$C$355,$AB94))</f>
        <v/>
      </c>
      <c r="D94" s="49"/>
      <c r="E94" s="49"/>
      <c r="F94" s="49"/>
      <c r="G94" s="49"/>
      <c r="H94" s="49"/>
      <c r="I94" s="49"/>
      <c r="J94" s="50" t="str">
        <f>IF($AB94="","",INDEX('ORDER Form'!$D$1:$D$355,$AB94)&amp;"")</f>
        <v/>
      </c>
      <c r="K94" s="50" t="str">
        <f>IF($AB94="","",INDEX('ORDER Form'!$E$1:$E$355,$AB94)&amp;"")</f>
        <v/>
      </c>
      <c r="L94" s="50" t="str">
        <f>IF($AB94="","",INDEX('ORDER Form'!$F$1:$F$355,$AB94)&amp;"")</f>
        <v/>
      </c>
      <c r="M94" s="50" t="str">
        <f>IF($AB94="","",INDEX('ORDER Form'!$G$1:$G$355,$AB94)&amp;"")</f>
        <v/>
      </c>
      <c r="N94" s="50" t="str">
        <f>IF($AB94="","",INDEX('ORDER Form'!$H$1:$H$355,$AB94)&amp;"")</f>
        <v/>
      </c>
      <c r="O94" s="50" t="str">
        <f>IF($AB94="","",INDEX('ORDER Form'!$I$1:$I$355,$AB94)&amp;"")</f>
        <v/>
      </c>
      <c r="P94" s="50" t="str">
        <f>IF($AB94="","",INDEX('ORDER Form'!$J$1:$J$355,$AB94)&amp;"")</f>
        <v/>
      </c>
      <c r="Q94" s="50" t="str">
        <f>IF($AB94="","",INDEX('ORDER Form'!$AB$1:$AB$355,$AB94)&amp;"")</f>
        <v/>
      </c>
      <c r="R94" s="50" t="str">
        <f>IF($AB94="","",INDEX('ORDER Form'!$L$1:$L$355,$AB94)&amp;"")</f>
        <v/>
      </c>
      <c r="S94" s="50" t="str">
        <f>IF($AB94="","",INDEX('ORDER Form'!$N$1:$N$355,$AB94)&amp;"")</f>
        <v/>
      </c>
      <c r="T94" s="50" t="str">
        <f>IF($AB94="","",IF($AD94,T$3,INDEX('ORDER Form'!$O$1:$O$355,$AB94))&amp;"")</f>
        <v/>
      </c>
      <c r="U94" s="50" t="str">
        <f>IF($AB94="","",IF($AD94,U$3,INDEX('ORDER Form'!$P$1:$P$355,$AB94))&amp;"")</f>
        <v/>
      </c>
      <c r="V94" s="50" t="str">
        <f>IF($AB94="","",IF($AD94,V$3,INDEX('ORDER Form'!$Q$1:$Q$355,$AB94))&amp;"")</f>
        <v/>
      </c>
      <c r="W94" s="50" t="str">
        <f>IF($AB94="","",IF($AD94,W$3,INDEX('ORDER Form'!$R$1:$R$355,$AB94))&amp;"")</f>
        <v/>
      </c>
      <c r="X94" s="50" t="str">
        <f>IF($AB94="","",IF($AD94,X$3,INDEX('ORDER Form'!$S$1:$S$355,$AB94))&amp;"")</f>
        <v/>
      </c>
      <c r="Y94" s="50" t="str">
        <f>IF($AB94="","",IF($AD94,Y$3,INDEX('ORDER Form'!$T$1:$T$355,$AB94))&amp;"")</f>
        <v/>
      </c>
      <c r="Z94" s="50" t="str">
        <f>IF($AB94="","",IF($AD94,Z$3,INDEX('ORDER Form'!$U$1:$U$355,$AB94))&amp;"")</f>
        <v/>
      </c>
      <c r="AB94" s="51" t="str">
        <f>IFERROR(MATCH(90,$AC$5:$AC$354,0)+5,"")</f>
        <v/>
      </c>
      <c r="AC94" s="51" t="str">
        <f>IF('ORDER Form'!$V95="OK",COUNTIF('ORDER Form'!$V$6:$V95,"OK"),"")</f>
        <v/>
      </c>
      <c r="AD94" s="51" t="str">
        <f>IF($AB94="","",(LEN(TRIM(INDEX('ORDER Form'!$O$1:$O$355,$AB94)))+LEN(TRIM(INDEX('ORDER Form'!$P$1:$P$355,$AB94)))+LEN(TRIM(INDEX('ORDER Form'!$Q$1:$Q$355,$AB94)))+LEN(TRIM(INDEX('ORDER Form'!$R$1:$R$355,$AB94)))+LEN(TRIM(INDEX('ORDER Form'!$S$1:$S$355,$AB94)))+LEN(TRIM(INDEX('ORDER Form'!$T$1:$T$355,$AB94)))+LEN(TRIM(INDEX('ORDER Form'!$U$1:$U$355,$AB94))))=0)</f>
        <v/>
      </c>
    </row>
    <row r="95" spans="1:30" ht="15" customHeight="1" x14ac:dyDescent="0.25">
      <c r="A95" s="50" t="str">
        <f>IF($AB95="","",IFERROR(IF(AND(INDEX('ORDER Form'!$N$1:$N$355,$AB95)="GB",LEFT(UPPER(TRIM(INDEX('ORDER Form'!$L$1:$L$355,$AB95))),2)="BT"),INDEX('ORDER Form'!$AC$1:$AC$355,$AB95),IFERROR(VLOOKUP(INDEX('ORDER Form'!$AC$1:$AC$355,$AB95)&amp;"|"&amp;INDEX('PRODUCT DATA'!$A$2:$A$58,MATCH(INDEX('ORDER Form'!$N$1:$N$355,$AB95),'PRODUCT DATA'!$B$2:$B$58,0)),'PRODUCT DATA'!$NO$2:$NP$25,2,FALSE()),INDEX('ORDER Form'!$AC$1:$AC$355,$AB95)))&amp;"",""))</f>
        <v/>
      </c>
      <c r="B95" s="49"/>
      <c r="C95" s="51" t="str">
        <f>IF($AB95="","",INDEX('ORDER Form'!$C$1:$C$355,$AB95))</f>
        <v/>
      </c>
      <c r="D95" s="49"/>
      <c r="E95" s="49"/>
      <c r="F95" s="49"/>
      <c r="G95" s="49"/>
      <c r="H95" s="49"/>
      <c r="I95" s="49"/>
      <c r="J95" s="50" t="str">
        <f>IF($AB95="","",INDEX('ORDER Form'!$D$1:$D$355,$AB95)&amp;"")</f>
        <v/>
      </c>
      <c r="K95" s="50" t="str">
        <f>IF($AB95="","",INDEX('ORDER Form'!$E$1:$E$355,$AB95)&amp;"")</f>
        <v/>
      </c>
      <c r="L95" s="50" t="str">
        <f>IF($AB95="","",INDEX('ORDER Form'!$F$1:$F$355,$AB95)&amp;"")</f>
        <v/>
      </c>
      <c r="M95" s="50" t="str">
        <f>IF($AB95="","",INDEX('ORDER Form'!$G$1:$G$355,$AB95)&amp;"")</f>
        <v/>
      </c>
      <c r="N95" s="50" t="str">
        <f>IF($AB95="","",INDEX('ORDER Form'!$H$1:$H$355,$AB95)&amp;"")</f>
        <v/>
      </c>
      <c r="O95" s="50" t="str">
        <f>IF($AB95="","",INDEX('ORDER Form'!$I$1:$I$355,$AB95)&amp;"")</f>
        <v/>
      </c>
      <c r="P95" s="50" t="str">
        <f>IF($AB95="","",INDEX('ORDER Form'!$J$1:$J$355,$AB95)&amp;"")</f>
        <v/>
      </c>
      <c r="Q95" s="50" t="str">
        <f>IF($AB95="","",INDEX('ORDER Form'!$AB$1:$AB$355,$AB95)&amp;"")</f>
        <v/>
      </c>
      <c r="R95" s="50" t="str">
        <f>IF($AB95="","",INDEX('ORDER Form'!$L$1:$L$355,$AB95)&amp;"")</f>
        <v/>
      </c>
      <c r="S95" s="50" t="str">
        <f>IF($AB95="","",INDEX('ORDER Form'!$N$1:$N$355,$AB95)&amp;"")</f>
        <v/>
      </c>
      <c r="T95" s="50" t="str">
        <f>IF($AB95="","",IF($AD95,T$3,INDEX('ORDER Form'!$O$1:$O$355,$AB95))&amp;"")</f>
        <v/>
      </c>
      <c r="U95" s="50" t="str">
        <f>IF($AB95="","",IF($AD95,U$3,INDEX('ORDER Form'!$P$1:$P$355,$AB95))&amp;"")</f>
        <v/>
      </c>
      <c r="V95" s="50" t="str">
        <f>IF($AB95="","",IF($AD95,V$3,INDEX('ORDER Form'!$Q$1:$Q$355,$AB95))&amp;"")</f>
        <v/>
      </c>
      <c r="W95" s="50" t="str">
        <f>IF($AB95="","",IF($AD95,W$3,INDEX('ORDER Form'!$R$1:$R$355,$AB95))&amp;"")</f>
        <v/>
      </c>
      <c r="X95" s="50" t="str">
        <f>IF($AB95="","",IF($AD95,X$3,INDEX('ORDER Form'!$S$1:$S$355,$AB95))&amp;"")</f>
        <v/>
      </c>
      <c r="Y95" s="50" t="str">
        <f>IF($AB95="","",IF($AD95,Y$3,INDEX('ORDER Form'!$T$1:$T$355,$AB95))&amp;"")</f>
        <v/>
      </c>
      <c r="Z95" s="50" t="str">
        <f>IF($AB95="","",IF($AD95,Z$3,INDEX('ORDER Form'!$U$1:$U$355,$AB95))&amp;"")</f>
        <v/>
      </c>
      <c r="AB95" s="51" t="str">
        <f>IFERROR(MATCH(91,$AC$5:$AC$354,0)+5,"")</f>
        <v/>
      </c>
      <c r="AC95" s="51" t="str">
        <f>IF('ORDER Form'!$V96="OK",COUNTIF('ORDER Form'!$V$6:$V96,"OK"),"")</f>
        <v/>
      </c>
      <c r="AD95" s="51" t="str">
        <f>IF($AB95="","",(LEN(TRIM(INDEX('ORDER Form'!$O$1:$O$355,$AB95)))+LEN(TRIM(INDEX('ORDER Form'!$P$1:$P$355,$AB95)))+LEN(TRIM(INDEX('ORDER Form'!$Q$1:$Q$355,$AB95)))+LEN(TRIM(INDEX('ORDER Form'!$R$1:$R$355,$AB95)))+LEN(TRIM(INDEX('ORDER Form'!$S$1:$S$355,$AB95)))+LEN(TRIM(INDEX('ORDER Form'!$T$1:$T$355,$AB95)))+LEN(TRIM(INDEX('ORDER Form'!$U$1:$U$355,$AB95))))=0)</f>
        <v/>
      </c>
    </row>
    <row r="96" spans="1:30" ht="15" customHeight="1" x14ac:dyDescent="0.25">
      <c r="A96" s="50" t="str">
        <f>IF($AB96="","",IFERROR(IF(AND(INDEX('ORDER Form'!$N$1:$N$355,$AB96)="GB",LEFT(UPPER(TRIM(INDEX('ORDER Form'!$L$1:$L$355,$AB96))),2)="BT"),INDEX('ORDER Form'!$AC$1:$AC$355,$AB96),IFERROR(VLOOKUP(INDEX('ORDER Form'!$AC$1:$AC$355,$AB96)&amp;"|"&amp;INDEX('PRODUCT DATA'!$A$2:$A$58,MATCH(INDEX('ORDER Form'!$N$1:$N$355,$AB96),'PRODUCT DATA'!$B$2:$B$58,0)),'PRODUCT DATA'!$NO$2:$NP$25,2,FALSE()),INDEX('ORDER Form'!$AC$1:$AC$355,$AB96)))&amp;"",""))</f>
        <v/>
      </c>
      <c r="B96" s="49"/>
      <c r="C96" s="51" t="str">
        <f>IF($AB96="","",INDEX('ORDER Form'!$C$1:$C$355,$AB96))</f>
        <v/>
      </c>
      <c r="D96" s="49"/>
      <c r="E96" s="49"/>
      <c r="F96" s="49"/>
      <c r="G96" s="49"/>
      <c r="H96" s="49"/>
      <c r="I96" s="49"/>
      <c r="J96" s="50" t="str">
        <f>IF($AB96="","",INDEX('ORDER Form'!$D$1:$D$355,$AB96)&amp;"")</f>
        <v/>
      </c>
      <c r="K96" s="50" t="str">
        <f>IF($AB96="","",INDEX('ORDER Form'!$E$1:$E$355,$AB96)&amp;"")</f>
        <v/>
      </c>
      <c r="L96" s="50" t="str">
        <f>IF($AB96="","",INDEX('ORDER Form'!$F$1:$F$355,$AB96)&amp;"")</f>
        <v/>
      </c>
      <c r="M96" s="50" t="str">
        <f>IF($AB96="","",INDEX('ORDER Form'!$G$1:$G$355,$AB96)&amp;"")</f>
        <v/>
      </c>
      <c r="N96" s="50" t="str">
        <f>IF($AB96="","",INDEX('ORDER Form'!$H$1:$H$355,$AB96)&amp;"")</f>
        <v/>
      </c>
      <c r="O96" s="50" t="str">
        <f>IF($AB96="","",INDEX('ORDER Form'!$I$1:$I$355,$AB96)&amp;"")</f>
        <v/>
      </c>
      <c r="P96" s="50" t="str">
        <f>IF($AB96="","",INDEX('ORDER Form'!$J$1:$J$355,$AB96)&amp;"")</f>
        <v/>
      </c>
      <c r="Q96" s="50" t="str">
        <f>IF($AB96="","",INDEX('ORDER Form'!$AB$1:$AB$355,$AB96)&amp;"")</f>
        <v/>
      </c>
      <c r="R96" s="50" t="str">
        <f>IF($AB96="","",INDEX('ORDER Form'!$L$1:$L$355,$AB96)&amp;"")</f>
        <v/>
      </c>
      <c r="S96" s="50" t="str">
        <f>IF($AB96="","",INDEX('ORDER Form'!$N$1:$N$355,$AB96)&amp;"")</f>
        <v/>
      </c>
      <c r="T96" s="50" t="str">
        <f>IF($AB96="","",IF($AD96,T$3,INDEX('ORDER Form'!$O$1:$O$355,$AB96))&amp;"")</f>
        <v/>
      </c>
      <c r="U96" s="50" t="str">
        <f>IF($AB96="","",IF($AD96,U$3,INDEX('ORDER Form'!$P$1:$P$355,$AB96))&amp;"")</f>
        <v/>
      </c>
      <c r="V96" s="50" t="str">
        <f>IF($AB96="","",IF($AD96,V$3,INDEX('ORDER Form'!$Q$1:$Q$355,$AB96))&amp;"")</f>
        <v/>
      </c>
      <c r="W96" s="50" t="str">
        <f>IF($AB96="","",IF($AD96,W$3,INDEX('ORDER Form'!$R$1:$R$355,$AB96))&amp;"")</f>
        <v/>
      </c>
      <c r="X96" s="50" t="str">
        <f>IF($AB96="","",IF($AD96,X$3,INDEX('ORDER Form'!$S$1:$S$355,$AB96))&amp;"")</f>
        <v/>
      </c>
      <c r="Y96" s="50" t="str">
        <f>IF($AB96="","",IF($AD96,Y$3,INDEX('ORDER Form'!$T$1:$T$355,$AB96))&amp;"")</f>
        <v/>
      </c>
      <c r="Z96" s="50" t="str">
        <f>IF($AB96="","",IF($AD96,Z$3,INDEX('ORDER Form'!$U$1:$U$355,$AB96))&amp;"")</f>
        <v/>
      </c>
      <c r="AB96" s="51" t="str">
        <f>IFERROR(MATCH(92,$AC$5:$AC$354,0)+5,"")</f>
        <v/>
      </c>
      <c r="AC96" s="51" t="str">
        <f>IF('ORDER Form'!$V97="OK",COUNTIF('ORDER Form'!$V$6:$V97,"OK"),"")</f>
        <v/>
      </c>
      <c r="AD96" s="51" t="str">
        <f>IF($AB96="","",(LEN(TRIM(INDEX('ORDER Form'!$O$1:$O$355,$AB96)))+LEN(TRIM(INDEX('ORDER Form'!$P$1:$P$355,$AB96)))+LEN(TRIM(INDEX('ORDER Form'!$Q$1:$Q$355,$AB96)))+LEN(TRIM(INDEX('ORDER Form'!$R$1:$R$355,$AB96)))+LEN(TRIM(INDEX('ORDER Form'!$S$1:$S$355,$AB96)))+LEN(TRIM(INDEX('ORDER Form'!$T$1:$T$355,$AB96)))+LEN(TRIM(INDEX('ORDER Form'!$U$1:$U$355,$AB96))))=0)</f>
        <v/>
      </c>
    </row>
    <row r="97" spans="1:30" ht="15" customHeight="1" x14ac:dyDescent="0.25">
      <c r="A97" s="50" t="str">
        <f>IF($AB97="","",IFERROR(IF(AND(INDEX('ORDER Form'!$N$1:$N$355,$AB97)="GB",LEFT(UPPER(TRIM(INDEX('ORDER Form'!$L$1:$L$355,$AB97))),2)="BT"),INDEX('ORDER Form'!$AC$1:$AC$355,$AB97),IFERROR(VLOOKUP(INDEX('ORDER Form'!$AC$1:$AC$355,$AB97)&amp;"|"&amp;INDEX('PRODUCT DATA'!$A$2:$A$58,MATCH(INDEX('ORDER Form'!$N$1:$N$355,$AB97),'PRODUCT DATA'!$B$2:$B$58,0)),'PRODUCT DATA'!$NO$2:$NP$25,2,FALSE()),INDEX('ORDER Form'!$AC$1:$AC$355,$AB97)))&amp;"",""))</f>
        <v/>
      </c>
      <c r="B97" s="49"/>
      <c r="C97" s="51" t="str">
        <f>IF($AB97="","",INDEX('ORDER Form'!$C$1:$C$355,$AB97))</f>
        <v/>
      </c>
      <c r="D97" s="49"/>
      <c r="E97" s="49"/>
      <c r="F97" s="49"/>
      <c r="G97" s="49"/>
      <c r="H97" s="49"/>
      <c r="I97" s="49"/>
      <c r="J97" s="50" t="str">
        <f>IF($AB97="","",INDEX('ORDER Form'!$D$1:$D$355,$AB97)&amp;"")</f>
        <v/>
      </c>
      <c r="K97" s="50" t="str">
        <f>IF($AB97="","",INDEX('ORDER Form'!$E$1:$E$355,$AB97)&amp;"")</f>
        <v/>
      </c>
      <c r="L97" s="50" t="str">
        <f>IF($AB97="","",INDEX('ORDER Form'!$F$1:$F$355,$AB97)&amp;"")</f>
        <v/>
      </c>
      <c r="M97" s="50" t="str">
        <f>IF($AB97="","",INDEX('ORDER Form'!$G$1:$G$355,$AB97)&amp;"")</f>
        <v/>
      </c>
      <c r="N97" s="50" t="str">
        <f>IF($AB97="","",INDEX('ORDER Form'!$H$1:$H$355,$AB97)&amp;"")</f>
        <v/>
      </c>
      <c r="O97" s="50" t="str">
        <f>IF($AB97="","",INDEX('ORDER Form'!$I$1:$I$355,$AB97)&amp;"")</f>
        <v/>
      </c>
      <c r="P97" s="50" t="str">
        <f>IF($AB97="","",INDEX('ORDER Form'!$J$1:$J$355,$AB97)&amp;"")</f>
        <v/>
      </c>
      <c r="Q97" s="50" t="str">
        <f>IF($AB97="","",INDEX('ORDER Form'!$AB$1:$AB$355,$AB97)&amp;"")</f>
        <v/>
      </c>
      <c r="R97" s="50" t="str">
        <f>IF($AB97="","",INDEX('ORDER Form'!$L$1:$L$355,$AB97)&amp;"")</f>
        <v/>
      </c>
      <c r="S97" s="50" t="str">
        <f>IF($AB97="","",INDEX('ORDER Form'!$N$1:$N$355,$AB97)&amp;"")</f>
        <v/>
      </c>
      <c r="T97" s="50" t="str">
        <f>IF($AB97="","",IF($AD97,T$3,INDEX('ORDER Form'!$O$1:$O$355,$AB97))&amp;"")</f>
        <v/>
      </c>
      <c r="U97" s="50" t="str">
        <f>IF($AB97="","",IF($AD97,U$3,INDEX('ORDER Form'!$P$1:$P$355,$AB97))&amp;"")</f>
        <v/>
      </c>
      <c r="V97" s="50" t="str">
        <f>IF($AB97="","",IF($AD97,V$3,INDEX('ORDER Form'!$Q$1:$Q$355,$AB97))&amp;"")</f>
        <v/>
      </c>
      <c r="W97" s="50" t="str">
        <f>IF($AB97="","",IF($AD97,W$3,INDEX('ORDER Form'!$R$1:$R$355,$AB97))&amp;"")</f>
        <v/>
      </c>
      <c r="X97" s="50" t="str">
        <f>IF($AB97="","",IF($AD97,X$3,INDEX('ORDER Form'!$S$1:$S$355,$AB97))&amp;"")</f>
        <v/>
      </c>
      <c r="Y97" s="50" t="str">
        <f>IF($AB97="","",IF($AD97,Y$3,INDEX('ORDER Form'!$T$1:$T$355,$AB97))&amp;"")</f>
        <v/>
      </c>
      <c r="Z97" s="50" t="str">
        <f>IF($AB97="","",IF($AD97,Z$3,INDEX('ORDER Form'!$U$1:$U$355,$AB97))&amp;"")</f>
        <v/>
      </c>
      <c r="AB97" s="51" t="str">
        <f>IFERROR(MATCH(93,$AC$5:$AC$354,0)+5,"")</f>
        <v/>
      </c>
      <c r="AC97" s="51" t="str">
        <f>IF('ORDER Form'!$V98="OK",COUNTIF('ORDER Form'!$V$6:$V98,"OK"),"")</f>
        <v/>
      </c>
      <c r="AD97" s="51" t="str">
        <f>IF($AB97="","",(LEN(TRIM(INDEX('ORDER Form'!$O$1:$O$355,$AB97)))+LEN(TRIM(INDEX('ORDER Form'!$P$1:$P$355,$AB97)))+LEN(TRIM(INDEX('ORDER Form'!$Q$1:$Q$355,$AB97)))+LEN(TRIM(INDEX('ORDER Form'!$R$1:$R$355,$AB97)))+LEN(TRIM(INDEX('ORDER Form'!$S$1:$S$355,$AB97)))+LEN(TRIM(INDEX('ORDER Form'!$T$1:$T$355,$AB97)))+LEN(TRIM(INDEX('ORDER Form'!$U$1:$U$355,$AB97))))=0)</f>
        <v/>
      </c>
    </row>
    <row r="98" spans="1:30" ht="15" customHeight="1" x14ac:dyDescent="0.25">
      <c r="A98" s="50" t="str">
        <f>IF($AB98="","",IFERROR(IF(AND(INDEX('ORDER Form'!$N$1:$N$355,$AB98)="GB",LEFT(UPPER(TRIM(INDEX('ORDER Form'!$L$1:$L$355,$AB98))),2)="BT"),INDEX('ORDER Form'!$AC$1:$AC$355,$AB98),IFERROR(VLOOKUP(INDEX('ORDER Form'!$AC$1:$AC$355,$AB98)&amp;"|"&amp;INDEX('PRODUCT DATA'!$A$2:$A$58,MATCH(INDEX('ORDER Form'!$N$1:$N$355,$AB98),'PRODUCT DATA'!$B$2:$B$58,0)),'PRODUCT DATA'!$NO$2:$NP$25,2,FALSE()),INDEX('ORDER Form'!$AC$1:$AC$355,$AB98)))&amp;"",""))</f>
        <v/>
      </c>
      <c r="B98" s="49"/>
      <c r="C98" s="51" t="str">
        <f>IF($AB98="","",INDEX('ORDER Form'!$C$1:$C$355,$AB98))</f>
        <v/>
      </c>
      <c r="D98" s="49"/>
      <c r="E98" s="49"/>
      <c r="F98" s="49"/>
      <c r="G98" s="49"/>
      <c r="H98" s="49"/>
      <c r="I98" s="49"/>
      <c r="J98" s="50" t="str">
        <f>IF($AB98="","",INDEX('ORDER Form'!$D$1:$D$355,$AB98)&amp;"")</f>
        <v/>
      </c>
      <c r="K98" s="50" t="str">
        <f>IF($AB98="","",INDEX('ORDER Form'!$E$1:$E$355,$AB98)&amp;"")</f>
        <v/>
      </c>
      <c r="L98" s="50" t="str">
        <f>IF($AB98="","",INDEX('ORDER Form'!$F$1:$F$355,$AB98)&amp;"")</f>
        <v/>
      </c>
      <c r="M98" s="50" t="str">
        <f>IF($AB98="","",INDEX('ORDER Form'!$G$1:$G$355,$AB98)&amp;"")</f>
        <v/>
      </c>
      <c r="N98" s="50" t="str">
        <f>IF($AB98="","",INDEX('ORDER Form'!$H$1:$H$355,$AB98)&amp;"")</f>
        <v/>
      </c>
      <c r="O98" s="50" t="str">
        <f>IF($AB98="","",INDEX('ORDER Form'!$I$1:$I$355,$AB98)&amp;"")</f>
        <v/>
      </c>
      <c r="P98" s="50" t="str">
        <f>IF($AB98="","",INDEX('ORDER Form'!$J$1:$J$355,$AB98)&amp;"")</f>
        <v/>
      </c>
      <c r="Q98" s="50" t="str">
        <f>IF($AB98="","",INDEX('ORDER Form'!$AB$1:$AB$355,$AB98)&amp;"")</f>
        <v/>
      </c>
      <c r="R98" s="50" t="str">
        <f>IF($AB98="","",INDEX('ORDER Form'!$L$1:$L$355,$AB98)&amp;"")</f>
        <v/>
      </c>
      <c r="S98" s="50" t="str">
        <f>IF($AB98="","",INDEX('ORDER Form'!$N$1:$N$355,$AB98)&amp;"")</f>
        <v/>
      </c>
      <c r="T98" s="50" t="str">
        <f>IF($AB98="","",IF($AD98,T$3,INDEX('ORDER Form'!$O$1:$O$355,$AB98))&amp;"")</f>
        <v/>
      </c>
      <c r="U98" s="50" t="str">
        <f>IF($AB98="","",IF($AD98,U$3,INDEX('ORDER Form'!$P$1:$P$355,$AB98))&amp;"")</f>
        <v/>
      </c>
      <c r="V98" s="50" t="str">
        <f>IF($AB98="","",IF($AD98,V$3,INDEX('ORDER Form'!$Q$1:$Q$355,$AB98))&amp;"")</f>
        <v/>
      </c>
      <c r="W98" s="50" t="str">
        <f>IF($AB98="","",IF($AD98,W$3,INDEX('ORDER Form'!$R$1:$R$355,$AB98))&amp;"")</f>
        <v/>
      </c>
      <c r="X98" s="50" t="str">
        <f>IF($AB98="","",IF($AD98,X$3,INDEX('ORDER Form'!$S$1:$S$355,$AB98))&amp;"")</f>
        <v/>
      </c>
      <c r="Y98" s="50" t="str">
        <f>IF($AB98="","",IF($AD98,Y$3,INDEX('ORDER Form'!$T$1:$T$355,$AB98))&amp;"")</f>
        <v/>
      </c>
      <c r="Z98" s="50" t="str">
        <f>IF($AB98="","",IF($AD98,Z$3,INDEX('ORDER Form'!$U$1:$U$355,$AB98))&amp;"")</f>
        <v/>
      </c>
      <c r="AB98" s="51" t="str">
        <f>IFERROR(MATCH(94,$AC$5:$AC$354,0)+5,"")</f>
        <v/>
      </c>
      <c r="AC98" s="51" t="str">
        <f>IF('ORDER Form'!$V99="OK",COUNTIF('ORDER Form'!$V$6:$V99,"OK"),"")</f>
        <v/>
      </c>
      <c r="AD98" s="51" t="str">
        <f>IF($AB98="","",(LEN(TRIM(INDEX('ORDER Form'!$O$1:$O$355,$AB98)))+LEN(TRIM(INDEX('ORDER Form'!$P$1:$P$355,$AB98)))+LEN(TRIM(INDEX('ORDER Form'!$Q$1:$Q$355,$AB98)))+LEN(TRIM(INDEX('ORDER Form'!$R$1:$R$355,$AB98)))+LEN(TRIM(INDEX('ORDER Form'!$S$1:$S$355,$AB98)))+LEN(TRIM(INDEX('ORDER Form'!$T$1:$T$355,$AB98)))+LEN(TRIM(INDEX('ORDER Form'!$U$1:$U$355,$AB98))))=0)</f>
        <v/>
      </c>
    </row>
    <row r="99" spans="1:30" ht="15" customHeight="1" x14ac:dyDescent="0.25">
      <c r="A99" s="50" t="str">
        <f>IF($AB99="","",IFERROR(IF(AND(INDEX('ORDER Form'!$N$1:$N$355,$AB99)="GB",LEFT(UPPER(TRIM(INDEX('ORDER Form'!$L$1:$L$355,$AB99))),2)="BT"),INDEX('ORDER Form'!$AC$1:$AC$355,$AB99),IFERROR(VLOOKUP(INDEX('ORDER Form'!$AC$1:$AC$355,$AB99)&amp;"|"&amp;INDEX('PRODUCT DATA'!$A$2:$A$58,MATCH(INDEX('ORDER Form'!$N$1:$N$355,$AB99),'PRODUCT DATA'!$B$2:$B$58,0)),'PRODUCT DATA'!$NO$2:$NP$25,2,FALSE()),INDEX('ORDER Form'!$AC$1:$AC$355,$AB99)))&amp;"",""))</f>
        <v/>
      </c>
      <c r="B99" s="49"/>
      <c r="C99" s="51" t="str">
        <f>IF($AB99="","",INDEX('ORDER Form'!$C$1:$C$355,$AB99))</f>
        <v/>
      </c>
      <c r="D99" s="49"/>
      <c r="E99" s="49"/>
      <c r="F99" s="49"/>
      <c r="G99" s="49"/>
      <c r="H99" s="49"/>
      <c r="I99" s="49"/>
      <c r="J99" s="50" t="str">
        <f>IF($AB99="","",INDEX('ORDER Form'!$D$1:$D$355,$AB99)&amp;"")</f>
        <v/>
      </c>
      <c r="K99" s="50" t="str">
        <f>IF($AB99="","",INDEX('ORDER Form'!$E$1:$E$355,$AB99)&amp;"")</f>
        <v/>
      </c>
      <c r="L99" s="50" t="str">
        <f>IF($AB99="","",INDEX('ORDER Form'!$F$1:$F$355,$AB99)&amp;"")</f>
        <v/>
      </c>
      <c r="M99" s="50" t="str">
        <f>IF($AB99="","",INDEX('ORDER Form'!$G$1:$G$355,$AB99)&amp;"")</f>
        <v/>
      </c>
      <c r="N99" s="50" t="str">
        <f>IF($AB99="","",INDEX('ORDER Form'!$H$1:$H$355,$AB99)&amp;"")</f>
        <v/>
      </c>
      <c r="O99" s="50" t="str">
        <f>IF($AB99="","",INDEX('ORDER Form'!$I$1:$I$355,$AB99)&amp;"")</f>
        <v/>
      </c>
      <c r="P99" s="50" t="str">
        <f>IF($AB99="","",INDEX('ORDER Form'!$J$1:$J$355,$AB99)&amp;"")</f>
        <v/>
      </c>
      <c r="Q99" s="50" t="str">
        <f>IF($AB99="","",INDEX('ORDER Form'!$AB$1:$AB$355,$AB99)&amp;"")</f>
        <v/>
      </c>
      <c r="R99" s="50" t="str">
        <f>IF($AB99="","",INDEX('ORDER Form'!$L$1:$L$355,$AB99)&amp;"")</f>
        <v/>
      </c>
      <c r="S99" s="50" t="str">
        <f>IF($AB99="","",INDEX('ORDER Form'!$N$1:$N$355,$AB99)&amp;"")</f>
        <v/>
      </c>
      <c r="T99" s="50" t="str">
        <f>IF($AB99="","",IF($AD99,T$3,INDEX('ORDER Form'!$O$1:$O$355,$AB99))&amp;"")</f>
        <v/>
      </c>
      <c r="U99" s="50" t="str">
        <f>IF($AB99="","",IF($AD99,U$3,INDEX('ORDER Form'!$P$1:$P$355,$AB99))&amp;"")</f>
        <v/>
      </c>
      <c r="V99" s="50" t="str">
        <f>IF($AB99="","",IF($AD99,V$3,INDEX('ORDER Form'!$Q$1:$Q$355,$AB99))&amp;"")</f>
        <v/>
      </c>
      <c r="W99" s="50" t="str">
        <f>IF($AB99="","",IF($AD99,W$3,INDEX('ORDER Form'!$R$1:$R$355,$AB99))&amp;"")</f>
        <v/>
      </c>
      <c r="X99" s="50" t="str">
        <f>IF($AB99="","",IF($AD99,X$3,INDEX('ORDER Form'!$S$1:$S$355,$AB99))&amp;"")</f>
        <v/>
      </c>
      <c r="Y99" s="50" t="str">
        <f>IF($AB99="","",IF($AD99,Y$3,INDEX('ORDER Form'!$T$1:$T$355,$AB99))&amp;"")</f>
        <v/>
      </c>
      <c r="Z99" s="50" t="str">
        <f>IF($AB99="","",IF($AD99,Z$3,INDEX('ORDER Form'!$U$1:$U$355,$AB99))&amp;"")</f>
        <v/>
      </c>
      <c r="AB99" s="51" t="str">
        <f>IFERROR(MATCH(95,$AC$5:$AC$354,0)+5,"")</f>
        <v/>
      </c>
      <c r="AC99" s="51" t="str">
        <f>IF('ORDER Form'!$V100="OK",COUNTIF('ORDER Form'!$V$6:$V100,"OK"),"")</f>
        <v/>
      </c>
      <c r="AD99" s="51" t="str">
        <f>IF($AB99="","",(LEN(TRIM(INDEX('ORDER Form'!$O$1:$O$355,$AB99)))+LEN(TRIM(INDEX('ORDER Form'!$P$1:$P$355,$AB99)))+LEN(TRIM(INDEX('ORDER Form'!$Q$1:$Q$355,$AB99)))+LEN(TRIM(INDEX('ORDER Form'!$R$1:$R$355,$AB99)))+LEN(TRIM(INDEX('ORDER Form'!$S$1:$S$355,$AB99)))+LEN(TRIM(INDEX('ORDER Form'!$T$1:$T$355,$AB99)))+LEN(TRIM(INDEX('ORDER Form'!$U$1:$U$355,$AB99))))=0)</f>
        <v/>
      </c>
    </row>
    <row r="100" spans="1:30" ht="15" customHeight="1" x14ac:dyDescent="0.25">
      <c r="A100" s="50" t="str">
        <f>IF($AB100="","",IFERROR(IF(AND(INDEX('ORDER Form'!$N$1:$N$355,$AB100)="GB",LEFT(UPPER(TRIM(INDEX('ORDER Form'!$L$1:$L$355,$AB100))),2)="BT"),INDEX('ORDER Form'!$AC$1:$AC$355,$AB100),IFERROR(VLOOKUP(INDEX('ORDER Form'!$AC$1:$AC$355,$AB100)&amp;"|"&amp;INDEX('PRODUCT DATA'!$A$2:$A$58,MATCH(INDEX('ORDER Form'!$N$1:$N$355,$AB100),'PRODUCT DATA'!$B$2:$B$58,0)),'PRODUCT DATA'!$NO$2:$NP$25,2,FALSE()),INDEX('ORDER Form'!$AC$1:$AC$355,$AB100)))&amp;"",""))</f>
        <v/>
      </c>
      <c r="B100" s="49"/>
      <c r="C100" s="51" t="str">
        <f>IF($AB100="","",INDEX('ORDER Form'!$C$1:$C$355,$AB100))</f>
        <v/>
      </c>
      <c r="D100" s="49"/>
      <c r="E100" s="49"/>
      <c r="F100" s="49"/>
      <c r="G100" s="49"/>
      <c r="H100" s="49"/>
      <c r="I100" s="49"/>
      <c r="J100" s="50" t="str">
        <f>IF($AB100="","",INDEX('ORDER Form'!$D$1:$D$355,$AB100)&amp;"")</f>
        <v/>
      </c>
      <c r="K100" s="50" t="str">
        <f>IF($AB100="","",INDEX('ORDER Form'!$E$1:$E$355,$AB100)&amp;"")</f>
        <v/>
      </c>
      <c r="L100" s="50" t="str">
        <f>IF($AB100="","",INDEX('ORDER Form'!$F$1:$F$355,$AB100)&amp;"")</f>
        <v/>
      </c>
      <c r="M100" s="50" t="str">
        <f>IF($AB100="","",INDEX('ORDER Form'!$G$1:$G$355,$AB100)&amp;"")</f>
        <v/>
      </c>
      <c r="N100" s="50" t="str">
        <f>IF($AB100="","",INDEX('ORDER Form'!$H$1:$H$355,$AB100)&amp;"")</f>
        <v/>
      </c>
      <c r="O100" s="50" t="str">
        <f>IF($AB100="","",INDEX('ORDER Form'!$I$1:$I$355,$AB100)&amp;"")</f>
        <v/>
      </c>
      <c r="P100" s="50" t="str">
        <f>IF($AB100="","",INDEX('ORDER Form'!$J$1:$J$355,$AB100)&amp;"")</f>
        <v/>
      </c>
      <c r="Q100" s="50" t="str">
        <f>IF($AB100="","",INDEX('ORDER Form'!$AB$1:$AB$355,$AB100)&amp;"")</f>
        <v/>
      </c>
      <c r="R100" s="50" t="str">
        <f>IF($AB100="","",INDEX('ORDER Form'!$L$1:$L$355,$AB100)&amp;"")</f>
        <v/>
      </c>
      <c r="S100" s="50" t="str">
        <f>IF($AB100="","",INDEX('ORDER Form'!$N$1:$N$355,$AB100)&amp;"")</f>
        <v/>
      </c>
      <c r="T100" s="50" t="str">
        <f>IF($AB100="","",IF($AD100,T$3,INDEX('ORDER Form'!$O$1:$O$355,$AB100))&amp;"")</f>
        <v/>
      </c>
      <c r="U100" s="50" t="str">
        <f>IF($AB100="","",IF($AD100,U$3,INDEX('ORDER Form'!$P$1:$P$355,$AB100))&amp;"")</f>
        <v/>
      </c>
      <c r="V100" s="50" t="str">
        <f>IF($AB100="","",IF($AD100,V$3,INDEX('ORDER Form'!$Q$1:$Q$355,$AB100))&amp;"")</f>
        <v/>
      </c>
      <c r="W100" s="50" t="str">
        <f>IF($AB100="","",IF($AD100,W$3,INDEX('ORDER Form'!$R$1:$R$355,$AB100))&amp;"")</f>
        <v/>
      </c>
      <c r="X100" s="50" t="str">
        <f>IF($AB100="","",IF($AD100,X$3,INDEX('ORDER Form'!$S$1:$S$355,$AB100))&amp;"")</f>
        <v/>
      </c>
      <c r="Y100" s="50" t="str">
        <f>IF($AB100="","",IF($AD100,Y$3,INDEX('ORDER Form'!$T$1:$T$355,$AB100))&amp;"")</f>
        <v/>
      </c>
      <c r="Z100" s="50" t="str">
        <f>IF($AB100="","",IF($AD100,Z$3,INDEX('ORDER Form'!$U$1:$U$355,$AB100))&amp;"")</f>
        <v/>
      </c>
      <c r="AB100" s="51" t="str">
        <f>IFERROR(MATCH(96,$AC$5:$AC$354,0)+5,"")</f>
        <v/>
      </c>
      <c r="AC100" s="51" t="str">
        <f>IF('ORDER Form'!$V101="OK",COUNTIF('ORDER Form'!$V$6:$V101,"OK"),"")</f>
        <v/>
      </c>
      <c r="AD100" s="51" t="str">
        <f>IF($AB100="","",(LEN(TRIM(INDEX('ORDER Form'!$O$1:$O$355,$AB100)))+LEN(TRIM(INDEX('ORDER Form'!$P$1:$P$355,$AB100)))+LEN(TRIM(INDEX('ORDER Form'!$Q$1:$Q$355,$AB100)))+LEN(TRIM(INDEX('ORDER Form'!$R$1:$R$355,$AB100)))+LEN(TRIM(INDEX('ORDER Form'!$S$1:$S$355,$AB100)))+LEN(TRIM(INDEX('ORDER Form'!$T$1:$T$355,$AB100)))+LEN(TRIM(INDEX('ORDER Form'!$U$1:$U$355,$AB100))))=0)</f>
        <v/>
      </c>
    </row>
    <row r="101" spans="1:30" ht="15" customHeight="1" x14ac:dyDescent="0.25">
      <c r="A101" s="50" t="str">
        <f>IF($AB101="","",IFERROR(IF(AND(INDEX('ORDER Form'!$N$1:$N$355,$AB101)="GB",LEFT(UPPER(TRIM(INDEX('ORDER Form'!$L$1:$L$355,$AB101))),2)="BT"),INDEX('ORDER Form'!$AC$1:$AC$355,$AB101),IFERROR(VLOOKUP(INDEX('ORDER Form'!$AC$1:$AC$355,$AB101)&amp;"|"&amp;INDEX('PRODUCT DATA'!$A$2:$A$58,MATCH(INDEX('ORDER Form'!$N$1:$N$355,$AB101),'PRODUCT DATA'!$B$2:$B$58,0)),'PRODUCT DATA'!$NO$2:$NP$25,2,FALSE()),INDEX('ORDER Form'!$AC$1:$AC$355,$AB101)))&amp;"",""))</f>
        <v/>
      </c>
      <c r="B101" s="49"/>
      <c r="C101" s="51" t="str">
        <f>IF($AB101="","",INDEX('ORDER Form'!$C$1:$C$355,$AB101))</f>
        <v/>
      </c>
      <c r="D101" s="49"/>
      <c r="E101" s="49"/>
      <c r="F101" s="49"/>
      <c r="G101" s="49"/>
      <c r="H101" s="49"/>
      <c r="I101" s="49"/>
      <c r="J101" s="50" t="str">
        <f>IF($AB101="","",INDEX('ORDER Form'!$D$1:$D$355,$AB101)&amp;"")</f>
        <v/>
      </c>
      <c r="K101" s="50" t="str">
        <f>IF($AB101="","",INDEX('ORDER Form'!$E$1:$E$355,$AB101)&amp;"")</f>
        <v/>
      </c>
      <c r="L101" s="50" t="str">
        <f>IF($AB101="","",INDEX('ORDER Form'!$F$1:$F$355,$AB101)&amp;"")</f>
        <v/>
      </c>
      <c r="M101" s="50" t="str">
        <f>IF($AB101="","",INDEX('ORDER Form'!$G$1:$G$355,$AB101)&amp;"")</f>
        <v/>
      </c>
      <c r="N101" s="50" t="str">
        <f>IF($AB101="","",INDEX('ORDER Form'!$H$1:$H$355,$AB101)&amp;"")</f>
        <v/>
      </c>
      <c r="O101" s="50" t="str">
        <f>IF($AB101="","",INDEX('ORDER Form'!$I$1:$I$355,$AB101)&amp;"")</f>
        <v/>
      </c>
      <c r="P101" s="50" t="str">
        <f>IF($AB101="","",INDEX('ORDER Form'!$J$1:$J$355,$AB101)&amp;"")</f>
        <v/>
      </c>
      <c r="Q101" s="50" t="str">
        <f>IF($AB101="","",INDEX('ORDER Form'!$AB$1:$AB$355,$AB101)&amp;"")</f>
        <v/>
      </c>
      <c r="R101" s="50" t="str">
        <f>IF($AB101="","",INDEX('ORDER Form'!$L$1:$L$355,$AB101)&amp;"")</f>
        <v/>
      </c>
      <c r="S101" s="50" t="str">
        <f>IF($AB101="","",INDEX('ORDER Form'!$N$1:$N$355,$AB101)&amp;"")</f>
        <v/>
      </c>
      <c r="T101" s="50" t="str">
        <f>IF($AB101="","",IF($AD101,T$3,INDEX('ORDER Form'!$O$1:$O$355,$AB101))&amp;"")</f>
        <v/>
      </c>
      <c r="U101" s="50" t="str">
        <f>IF($AB101="","",IF($AD101,U$3,INDEX('ORDER Form'!$P$1:$P$355,$AB101))&amp;"")</f>
        <v/>
      </c>
      <c r="V101" s="50" t="str">
        <f>IF($AB101="","",IF($AD101,V$3,INDEX('ORDER Form'!$Q$1:$Q$355,$AB101))&amp;"")</f>
        <v/>
      </c>
      <c r="W101" s="50" t="str">
        <f>IF($AB101="","",IF($AD101,W$3,INDEX('ORDER Form'!$R$1:$R$355,$AB101))&amp;"")</f>
        <v/>
      </c>
      <c r="X101" s="50" t="str">
        <f>IF($AB101="","",IF($AD101,X$3,INDEX('ORDER Form'!$S$1:$S$355,$AB101))&amp;"")</f>
        <v/>
      </c>
      <c r="Y101" s="50" t="str">
        <f>IF($AB101="","",IF($AD101,Y$3,INDEX('ORDER Form'!$T$1:$T$355,$AB101))&amp;"")</f>
        <v/>
      </c>
      <c r="Z101" s="50" t="str">
        <f>IF($AB101="","",IF($AD101,Z$3,INDEX('ORDER Form'!$U$1:$U$355,$AB101))&amp;"")</f>
        <v/>
      </c>
      <c r="AB101" s="51" t="str">
        <f>IFERROR(MATCH(97,$AC$5:$AC$354,0)+5,"")</f>
        <v/>
      </c>
      <c r="AC101" s="51" t="str">
        <f>IF('ORDER Form'!$V102="OK",COUNTIF('ORDER Form'!$V$6:$V102,"OK"),"")</f>
        <v/>
      </c>
      <c r="AD101" s="51" t="str">
        <f>IF($AB101="","",(LEN(TRIM(INDEX('ORDER Form'!$O$1:$O$355,$AB101)))+LEN(TRIM(INDEX('ORDER Form'!$P$1:$P$355,$AB101)))+LEN(TRIM(INDEX('ORDER Form'!$Q$1:$Q$355,$AB101)))+LEN(TRIM(INDEX('ORDER Form'!$R$1:$R$355,$AB101)))+LEN(TRIM(INDEX('ORDER Form'!$S$1:$S$355,$AB101)))+LEN(TRIM(INDEX('ORDER Form'!$T$1:$T$355,$AB101)))+LEN(TRIM(INDEX('ORDER Form'!$U$1:$U$355,$AB101))))=0)</f>
        <v/>
      </c>
    </row>
    <row r="102" spans="1:30" ht="15" customHeight="1" x14ac:dyDescent="0.25">
      <c r="A102" s="50" t="str">
        <f>IF($AB102="","",IFERROR(IF(AND(INDEX('ORDER Form'!$N$1:$N$355,$AB102)="GB",LEFT(UPPER(TRIM(INDEX('ORDER Form'!$L$1:$L$355,$AB102))),2)="BT"),INDEX('ORDER Form'!$AC$1:$AC$355,$AB102),IFERROR(VLOOKUP(INDEX('ORDER Form'!$AC$1:$AC$355,$AB102)&amp;"|"&amp;INDEX('PRODUCT DATA'!$A$2:$A$58,MATCH(INDEX('ORDER Form'!$N$1:$N$355,$AB102),'PRODUCT DATA'!$B$2:$B$58,0)),'PRODUCT DATA'!$NO$2:$NP$25,2,FALSE()),INDEX('ORDER Form'!$AC$1:$AC$355,$AB102)))&amp;"",""))</f>
        <v/>
      </c>
      <c r="B102" s="49"/>
      <c r="C102" s="51" t="str">
        <f>IF($AB102="","",INDEX('ORDER Form'!$C$1:$C$355,$AB102))</f>
        <v/>
      </c>
      <c r="D102" s="49"/>
      <c r="E102" s="49"/>
      <c r="F102" s="49"/>
      <c r="G102" s="49"/>
      <c r="H102" s="49"/>
      <c r="I102" s="49"/>
      <c r="J102" s="50" t="str">
        <f>IF($AB102="","",INDEX('ORDER Form'!$D$1:$D$355,$AB102)&amp;"")</f>
        <v/>
      </c>
      <c r="K102" s="50" t="str">
        <f>IF($AB102="","",INDEX('ORDER Form'!$E$1:$E$355,$AB102)&amp;"")</f>
        <v/>
      </c>
      <c r="L102" s="50" t="str">
        <f>IF($AB102="","",INDEX('ORDER Form'!$F$1:$F$355,$AB102)&amp;"")</f>
        <v/>
      </c>
      <c r="M102" s="50" t="str">
        <f>IF($AB102="","",INDEX('ORDER Form'!$G$1:$G$355,$AB102)&amp;"")</f>
        <v/>
      </c>
      <c r="N102" s="50" t="str">
        <f>IF($AB102="","",INDEX('ORDER Form'!$H$1:$H$355,$AB102)&amp;"")</f>
        <v/>
      </c>
      <c r="O102" s="50" t="str">
        <f>IF($AB102="","",INDEX('ORDER Form'!$I$1:$I$355,$AB102)&amp;"")</f>
        <v/>
      </c>
      <c r="P102" s="50" t="str">
        <f>IF($AB102="","",INDEX('ORDER Form'!$J$1:$J$355,$AB102)&amp;"")</f>
        <v/>
      </c>
      <c r="Q102" s="50" t="str">
        <f>IF($AB102="","",INDEX('ORDER Form'!$AB$1:$AB$355,$AB102)&amp;"")</f>
        <v/>
      </c>
      <c r="R102" s="50" t="str">
        <f>IF($AB102="","",INDEX('ORDER Form'!$L$1:$L$355,$AB102)&amp;"")</f>
        <v/>
      </c>
      <c r="S102" s="50" t="str">
        <f>IF($AB102="","",INDEX('ORDER Form'!$N$1:$N$355,$AB102)&amp;"")</f>
        <v/>
      </c>
      <c r="T102" s="50" t="str">
        <f>IF($AB102="","",IF($AD102,T$3,INDEX('ORDER Form'!$O$1:$O$355,$AB102))&amp;"")</f>
        <v/>
      </c>
      <c r="U102" s="50" t="str">
        <f>IF($AB102="","",IF($AD102,U$3,INDEX('ORDER Form'!$P$1:$P$355,$AB102))&amp;"")</f>
        <v/>
      </c>
      <c r="V102" s="50" t="str">
        <f>IF($AB102="","",IF($AD102,V$3,INDEX('ORDER Form'!$Q$1:$Q$355,$AB102))&amp;"")</f>
        <v/>
      </c>
      <c r="W102" s="50" t="str">
        <f>IF($AB102="","",IF($AD102,W$3,INDEX('ORDER Form'!$R$1:$R$355,$AB102))&amp;"")</f>
        <v/>
      </c>
      <c r="X102" s="50" t="str">
        <f>IF($AB102="","",IF($AD102,X$3,INDEX('ORDER Form'!$S$1:$S$355,$AB102))&amp;"")</f>
        <v/>
      </c>
      <c r="Y102" s="50" t="str">
        <f>IF($AB102="","",IF($AD102,Y$3,INDEX('ORDER Form'!$T$1:$T$355,$AB102))&amp;"")</f>
        <v/>
      </c>
      <c r="Z102" s="50" t="str">
        <f>IF($AB102="","",IF($AD102,Z$3,INDEX('ORDER Form'!$U$1:$U$355,$AB102))&amp;"")</f>
        <v/>
      </c>
      <c r="AB102" s="51" t="str">
        <f>IFERROR(MATCH(98,$AC$5:$AC$354,0)+5,"")</f>
        <v/>
      </c>
      <c r="AC102" s="51" t="str">
        <f>IF('ORDER Form'!$V103="OK",COUNTIF('ORDER Form'!$V$6:$V103,"OK"),"")</f>
        <v/>
      </c>
      <c r="AD102" s="51" t="str">
        <f>IF($AB102="","",(LEN(TRIM(INDEX('ORDER Form'!$O$1:$O$355,$AB102)))+LEN(TRIM(INDEX('ORDER Form'!$P$1:$P$355,$AB102)))+LEN(TRIM(INDEX('ORDER Form'!$Q$1:$Q$355,$AB102)))+LEN(TRIM(INDEX('ORDER Form'!$R$1:$R$355,$AB102)))+LEN(TRIM(INDEX('ORDER Form'!$S$1:$S$355,$AB102)))+LEN(TRIM(INDEX('ORDER Form'!$T$1:$T$355,$AB102)))+LEN(TRIM(INDEX('ORDER Form'!$U$1:$U$355,$AB102))))=0)</f>
        <v/>
      </c>
    </row>
    <row r="103" spans="1:30" ht="15" customHeight="1" x14ac:dyDescent="0.25">
      <c r="A103" s="50" t="str">
        <f>IF($AB103="","",IFERROR(IF(AND(INDEX('ORDER Form'!$N$1:$N$355,$AB103)="GB",LEFT(UPPER(TRIM(INDEX('ORDER Form'!$L$1:$L$355,$AB103))),2)="BT"),INDEX('ORDER Form'!$AC$1:$AC$355,$AB103),IFERROR(VLOOKUP(INDEX('ORDER Form'!$AC$1:$AC$355,$AB103)&amp;"|"&amp;INDEX('PRODUCT DATA'!$A$2:$A$58,MATCH(INDEX('ORDER Form'!$N$1:$N$355,$AB103),'PRODUCT DATA'!$B$2:$B$58,0)),'PRODUCT DATA'!$NO$2:$NP$25,2,FALSE()),INDEX('ORDER Form'!$AC$1:$AC$355,$AB103)))&amp;"",""))</f>
        <v/>
      </c>
      <c r="B103" s="49"/>
      <c r="C103" s="51" t="str">
        <f>IF($AB103="","",INDEX('ORDER Form'!$C$1:$C$355,$AB103))</f>
        <v/>
      </c>
      <c r="D103" s="49"/>
      <c r="E103" s="49"/>
      <c r="F103" s="49"/>
      <c r="G103" s="49"/>
      <c r="H103" s="49"/>
      <c r="I103" s="49"/>
      <c r="J103" s="50" t="str">
        <f>IF($AB103="","",INDEX('ORDER Form'!$D$1:$D$355,$AB103)&amp;"")</f>
        <v/>
      </c>
      <c r="K103" s="50" t="str">
        <f>IF($AB103="","",INDEX('ORDER Form'!$E$1:$E$355,$AB103)&amp;"")</f>
        <v/>
      </c>
      <c r="L103" s="50" t="str">
        <f>IF($AB103="","",INDEX('ORDER Form'!$F$1:$F$355,$AB103)&amp;"")</f>
        <v/>
      </c>
      <c r="M103" s="50" t="str">
        <f>IF($AB103="","",INDEX('ORDER Form'!$G$1:$G$355,$AB103)&amp;"")</f>
        <v/>
      </c>
      <c r="N103" s="50" t="str">
        <f>IF($AB103="","",INDEX('ORDER Form'!$H$1:$H$355,$AB103)&amp;"")</f>
        <v/>
      </c>
      <c r="O103" s="50" t="str">
        <f>IF($AB103="","",INDEX('ORDER Form'!$I$1:$I$355,$AB103)&amp;"")</f>
        <v/>
      </c>
      <c r="P103" s="50" t="str">
        <f>IF($AB103="","",INDEX('ORDER Form'!$J$1:$J$355,$AB103)&amp;"")</f>
        <v/>
      </c>
      <c r="Q103" s="50" t="str">
        <f>IF($AB103="","",INDEX('ORDER Form'!$AB$1:$AB$355,$AB103)&amp;"")</f>
        <v/>
      </c>
      <c r="R103" s="50" t="str">
        <f>IF($AB103="","",INDEX('ORDER Form'!$L$1:$L$355,$AB103)&amp;"")</f>
        <v/>
      </c>
      <c r="S103" s="50" t="str">
        <f>IF($AB103="","",INDEX('ORDER Form'!$N$1:$N$355,$AB103)&amp;"")</f>
        <v/>
      </c>
      <c r="T103" s="50" t="str">
        <f>IF($AB103="","",IF($AD103,T$3,INDEX('ORDER Form'!$O$1:$O$355,$AB103))&amp;"")</f>
        <v/>
      </c>
      <c r="U103" s="50" t="str">
        <f>IF($AB103="","",IF($AD103,U$3,INDEX('ORDER Form'!$P$1:$P$355,$AB103))&amp;"")</f>
        <v/>
      </c>
      <c r="V103" s="50" t="str">
        <f>IF($AB103="","",IF($AD103,V$3,INDEX('ORDER Form'!$Q$1:$Q$355,$AB103))&amp;"")</f>
        <v/>
      </c>
      <c r="W103" s="50" t="str">
        <f>IF($AB103="","",IF($AD103,W$3,INDEX('ORDER Form'!$R$1:$R$355,$AB103))&amp;"")</f>
        <v/>
      </c>
      <c r="X103" s="50" t="str">
        <f>IF($AB103="","",IF($AD103,X$3,INDEX('ORDER Form'!$S$1:$S$355,$AB103))&amp;"")</f>
        <v/>
      </c>
      <c r="Y103" s="50" t="str">
        <f>IF($AB103="","",IF($AD103,Y$3,INDEX('ORDER Form'!$T$1:$T$355,$AB103))&amp;"")</f>
        <v/>
      </c>
      <c r="Z103" s="50" t="str">
        <f>IF($AB103="","",IF($AD103,Z$3,INDEX('ORDER Form'!$U$1:$U$355,$AB103))&amp;"")</f>
        <v/>
      </c>
      <c r="AB103" s="51" t="str">
        <f>IFERROR(MATCH(99,$AC$5:$AC$354,0)+5,"")</f>
        <v/>
      </c>
      <c r="AC103" s="51" t="str">
        <f>IF('ORDER Form'!$V104="OK",COUNTIF('ORDER Form'!$V$6:$V104,"OK"),"")</f>
        <v/>
      </c>
      <c r="AD103" s="51" t="str">
        <f>IF($AB103="","",(LEN(TRIM(INDEX('ORDER Form'!$O$1:$O$355,$AB103)))+LEN(TRIM(INDEX('ORDER Form'!$P$1:$P$355,$AB103)))+LEN(TRIM(INDEX('ORDER Form'!$Q$1:$Q$355,$AB103)))+LEN(TRIM(INDEX('ORDER Form'!$R$1:$R$355,$AB103)))+LEN(TRIM(INDEX('ORDER Form'!$S$1:$S$355,$AB103)))+LEN(TRIM(INDEX('ORDER Form'!$T$1:$T$355,$AB103)))+LEN(TRIM(INDEX('ORDER Form'!$U$1:$U$355,$AB103))))=0)</f>
        <v/>
      </c>
    </row>
    <row r="104" spans="1:30" ht="15" customHeight="1" x14ac:dyDescent="0.25">
      <c r="A104" s="50" t="str">
        <f>IF($AB104="","",IFERROR(IF(AND(INDEX('ORDER Form'!$N$1:$N$355,$AB104)="GB",LEFT(UPPER(TRIM(INDEX('ORDER Form'!$L$1:$L$355,$AB104))),2)="BT"),INDEX('ORDER Form'!$AC$1:$AC$355,$AB104),IFERROR(VLOOKUP(INDEX('ORDER Form'!$AC$1:$AC$355,$AB104)&amp;"|"&amp;INDEX('PRODUCT DATA'!$A$2:$A$58,MATCH(INDEX('ORDER Form'!$N$1:$N$355,$AB104),'PRODUCT DATA'!$B$2:$B$58,0)),'PRODUCT DATA'!$NO$2:$NP$25,2,FALSE()),INDEX('ORDER Form'!$AC$1:$AC$355,$AB104)))&amp;"",""))</f>
        <v/>
      </c>
      <c r="B104" s="49"/>
      <c r="C104" s="51" t="str">
        <f>IF($AB104="","",INDEX('ORDER Form'!$C$1:$C$355,$AB104))</f>
        <v/>
      </c>
      <c r="D104" s="49"/>
      <c r="E104" s="49"/>
      <c r="F104" s="49"/>
      <c r="G104" s="49"/>
      <c r="H104" s="49"/>
      <c r="I104" s="49"/>
      <c r="J104" s="50" t="str">
        <f>IF($AB104="","",INDEX('ORDER Form'!$D$1:$D$355,$AB104)&amp;"")</f>
        <v/>
      </c>
      <c r="K104" s="50" t="str">
        <f>IF($AB104="","",INDEX('ORDER Form'!$E$1:$E$355,$AB104)&amp;"")</f>
        <v/>
      </c>
      <c r="L104" s="50" t="str">
        <f>IF($AB104="","",INDEX('ORDER Form'!$F$1:$F$355,$AB104)&amp;"")</f>
        <v/>
      </c>
      <c r="M104" s="50" t="str">
        <f>IF($AB104="","",INDEX('ORDER Form'!$G$1:$G$355,$AB104)&amp;"")</f>
        <v/>
      </c>
      <c r="N104" s="50" t="str">
        <f>IF($AB104="","",INDEX('ORDER Form'!$H$1:$H$355,$AB104)&amp;"")</f>
        <v/>
      </c>
      <c r="O104" s="50" t="str">
        <f>IF($AB104="","",INDEX('ORDER Form'!$I$1:$I$355,$AB104)&amp;"")</f>
        <v/>
      </c>
      <c r="P104" s="50" t="str">
        <f>IF($AB104="","",INDEX('ORDER Form'!$J$1:$J$355,$AB104)&amp;"")</f>
        <v/>
      </c>
      <c r="Q104" s="50" t="str">
        <f>IF($AB104="","",INDEX('ORDER Form'!$AB$1:$AB$355,$AB104)&amp;"")</f>
        <v/>
      </c>
      <c r="R104" s="50" t="str">
        <f>IF($AB104="","",INDEX('ORDER Form'!$L$1:$L$355,$AB104)&amp;"")</f>
        <v/>
      </c>
      <c r="S104" s="50" t="str">
        <f>IF($AB104="","",INDEX('ORDER Form'!$N$1:$N$355,$AB104)&amp;"")</f>
        <v/>
      </c>
      <c r="T104" s="50" t="str">
        <f>IF($AB104="","",IF($AD104,T$3,INDEX('ORDER Form'!$O$1:$O$355,$AB104))&amp;"")</f>
        <v/>
      </c>
      <c r="U104" s="50" t="str">
        <f>IF($AB104="","",IF($AD104,U$3,INDEX('ORDER Form'!$P$1:$P$355,$AB104))&amp;"")</f>
        <v/>
      </c>
      <c r="V104" s="50" t="str">
        <f>IF($AB104="","",IF($AD104,V$3,INDEX('ORDER Form'!$Q$1:$Q$355,$AB104))&amp;"")</f>
        <v/>
      </c>
      <c r="W104" s="50" t="str">
        <f>IF($AB104="","",IF($AD104,W$3,INDEX('ORDER Form'!$R$1:$R$355,$AB104))&amp;"")</f>
        <v/>
      </c>
      <c r="X104" s="50" t="str">
        <f>IF($AB104="","",IF($AD104,X$3,INDEX('ORDER Form'!$S$1:$S$355,$AB104))&amp;"")</f>
        <v/>
      </c>
      <c r="Y104" s="50" t="str">
        <f>IF($AB104="","",IF($AD104,Y$3,INDEX('ORDER Form'!$T$1:$T$355,$AB104))&amp;"")</f>
        <v/>
      </c>
      <c r="Z104" s="50" t="str">
        <f>IF($AB104="","",IF($AD104,Z$3,INDEX('ORDER Form'!$U$1:$U$355,$AB104))&amp;"")</f>
        <v/>
      </c>
      <c r="AB104" s="51" t="str">
        <f>IFERROR(MATCH(100,$AC$5:$AC$354,0)+5,"")</f>
        <v/>
      </c>
      <c r="AC104" s="51" t="str">
        <f>IF('ORDER Form'!$V105="OK",COUNTIF('ORDER Form'!$V$6:$V105,"OK"),"")</f>
        <v/>
      </c>
      <c r="AD104" s="51" t="str">
        <f>IF($AB104="","",(LEN(TRIM(INDEX('ORDER Form'!$O$1:$O$355,$AB104)))+LEN(TRIM(INDEX('ORDER Form'!$P$1:$P$355,$AB104)))+LEN(TRIM(INDEX('ORDER Form'!$Q$1:$Q$355,$AB104)))+LEN(TRIM(INDEX('ORDER Form'!$R$1:$R$355,$AB104)))+LEN(TRIM(INDEX('ORDER Form'!$S$1:$S$355,$AB104)))+LEN(TRIM(INDEX('ORDER Form'!$T$1:$T$355,$AB104)))+LEN(TRIM(INDEX('ORDER Form'!$U$1:$U$355,$AB104))))=0)</f>
        <v/>
      </c>
    </row>
    <row r="105" spans="1:30" ht="15" customHeight="1" x14ac:dyDescent="0.25">
      <c r="A105" s="50" t="str">
        <f>IF($AB105="","",IFERROR(IF(AND(INDEX('ORDER Form'!$N$1:$N$355,$AB105)="GB",LEFT(UPPER(TRIM(INDEX('ORDER Form'!$L$1:$L$355,$AB105))),2)="BT"),INDEX('ORDER Form'!$AC$1:$AC$355,$AB105),IFERROR(VLOOKUP(INDEX('ORDER Form'!$AC$1:$AC$355,$AB105)&amp;"|"&amp;INDEX('PRODUCT DATA'!$A$2:$A$58,MATCH(INDEX('ORDER Form'!$N$1:$N$355,$AB105),'PRODUCT DATA'!$B$2:$B$58,0)),'PRODUCT DATA'!$NO$2:$NP$25,2,FALSE()),INDEX('ORDER Form'!$AC$1:$AC$355,$AB105)))&amp;"",""))</f>
        <v/>
      </c>
      <c r="B105" s="49"/>
      <c r="C105" s="51" t="str">
        <f>IF($AB105="","",INDEX('ORDER Form'!$C$1:$C$355,$AB105))</f>
        <v/>
      </c>
      <c r="D105" s="49"/>
      <c r="E105" s="49"/>
      <c r="F105" s="49"/>
      <c r="G105" s="49"/>
      <c r="H105" s="49"/>
      <c r="I105" s="49"/>
      <c r="J105" s="50" t="str">
        <f>IF($AB105="","",INDEX('ORDER Form'!$D$1:$D$355,$AB105)&amp;"")</f>
        <v/>
      </c>
      <c r="K105" s="50" t="str">
        <f>IF($AB105="","",INDEX('ORDER Form'!$E$1:$E$355,$AB105)&amp;"")</f>
        <v/>
      </c>
      <c r="L105" s="50" t="str">
        <f>IF($AB105="","",INDEX('ORDER Form'!$F$1:$F$355,$AB105)&amp;"")</f>
        <v/>
      </c>
      <c r="M105" s="50" t="str">
        <f>IF($AB105="","",INDEX('ORDER Form'!$G$1:$G$355,$AB105)&amp;"")</f>
        <v/>
      </c>
      <c r="N105" s="50" t="str">
        <f>IF($AB105="","",INDEX('ORDER Form'!$H$1:$H$355,$AB105)&amp;"")</f>
        <v/>
      </c>
      <c r="O105" s="50" t="str">
        <f>IF($AB105="","",INDEX('ORDER Form'!$I$1:$I$355,$AB105)&amp;"")</f>
        <v/>
      </c>
      <c r="P105" s="50" t="str">
        <f>IF($AB105="","",INDEX('ORDER Form'!$J$1:$J$355,$AB105)&amp;"")</f>
        <v/>
      </c>
      <c r="Q105" s="50" t="str">
        <f>IF($AB105="","",INDEX('ORDER Form'!$AB$1:$AB$355,$AB105)&amp;"")</f>
        <v/>
      </c>
      <c r="R105" s="50" t="str">
        <f>IF($AB105="","",INDEX('ORDER Form'!$L$1:$L$355,$AB105)&amp;"")</f>
        <v/>
      </c>
      <c r="S105" s="50" t="str">
        <f>IF($AB105="","",INDEX('ORDER Form'!$N$1:$N$355,$AB105)&amp;"")</f>
        <v/>
      </c>
      <c r="T105" s="50" t="str">
        <f>IF($AB105="","",IF($AD105,T$3,INDEX('ORDER Form'!$O$1:$O$355,$AB105))&amp;"")</f>
        <v/>
      </c>
      <c r="U105" s="50" t="str">
        <f>IF($AB105="","",IF($AD105,U$3,INDEX('ORDER Form'!$P$1:$P$355,$AB105))&amp;"")</f>
        <v/>
      </c>
      <c r="V105" s="50" t="str">
        <f>IF($AB105="","",IF($AD105,V$3,INDEX('ORDER Form'!$Q$1:$Q$355,$AB105))&amp;"")</f>
        <v/>
      </c>
      <c r="W105" s="50" t="str">
        <f>IF($AB105="","",IF($AD105,W$3,INDEX('ORDER Form'!$R$1:$R$355,$AB105))&amp;"")</f>
        <v/>
      </c>
      <c r="X105" s="50" t="str">
        <f>IF($AB105="","",IF($AD105,X$3,INDEX('ORDER Form'!$S$1:$S$355,$AB105))&amp;"")</f>
        <v/>
      </c>
      <c r="Y105" s="50" t="str">
        <f>IF($AB105="","",IF($AD105,Y$3,INDEX('ORDER Form'!$T$1:$T$355,$AB105))&amp;"")</f>
        <v/>
      </c>
      <c r="Z105" s="50" t="str">
        <f>IF($AB105="","",IF($AD105,Z$3,INDEX('ORDER Form'!$U$1:$U$355,$AB105))&amp;"")</f>
        <v/>
      </c>
      <c r="AB105" s="51" t="str">
        <f>IFERROR(MATCH(101,$AC$5:$AC$354,0)+5,"")</f>
        <v/>
      </c>
      <c r="AC105" s="51" t="str">
        <f>IF('ORDER Form'!$V106="OK",COUNTIF('ORDER Form'!$V$6:$V106,"OK"),"")</f>
        <v/>
      </c>
      <c r="AD105" s="51" t="str">
        <f>IF($AB105="","",(LEN(TRIM(INDEX('ORDER Form'!$O$1:$O$355,$AB105)))+LEN(TRIM(INDEX('ORDER Form'!$P$1:$P$355,$AB105)))+LEN(TRIM(INDEX('ORDER Form'!$Q$1:$Q$355,$AB105)))+LEN(TRIM(INDEX('ORDER Form'!$R$1:$R$355,$AB105)))+LEN(TRIM(INDEX('ORDER Form'!$S$1:$S$355,$AB105)))+LEN(TRIM(INDEX('ORDER Form'!$T$1:$T$355,$AB105)))+LEN(TRIM(INDEX('ORDER Form'!$U$1:$U$355,$AB105))))=0)</f>
        <v/>
      </c>
    </row>
    <row r="106" spans="1:30" ht="15" customHeight="1" x14ac:dyDescent="0.25">
      <c r="A106" s="50" t="str">
        <f>IF($AB106="","",IFERROR(IF(AND(INDEX('ORDER Form'!$N$1:$N$355,$AB106)="GB",LEFT(UPPER(TRIM(INDEX('ORDER Form'!$L$1:$L$355,$AB106))),2)="BT"),INDEX('ORDER Form'!$AC$1:$AC$355,$AB106),IFERROR(VLOOKUP(INDEX('ORDER Form'!$AC$1:$AC$355,$AB106)&amp;"|"&amp;INDEX('PRODUCT DATA'!$A$2:$A$58,MATCH(INDEX('ORDER Form'!$N$1:$N$355,$AB106),'PRODUCT DATA'!$B$2:$B$58,0)),'PRODUCT DATA'!$NO$2:$NP$25,2,FALSE()),INDEX('ORDER Form'!$AC$1:$AC$355,$AB106)))&amp;"",""))</f>
        <v/>
      </c>
      <c r="B106" s="49"/>
      <c r="C106" s="51" t="str">
        <f>IF($AB106="","",INDEX('ORDER Form'!$C$1:$C$355,$AB106))</f>
        <v/>
      </c>
      <c r="D106" s="49"/>
      <c r="E106" s="49"/>
      <c r="F106" s="49"/>
      <c r="G106" s="49"/>
      <c r="H106" s="49"/>
      <c r="I106" s="49"/>
      <c r="J106" s="50" t="str">
        <f>IF($AB106="","",INDEX('ORDER Form'!$D$1:$D$355,$AB106)&amp;"")</f>
        <v/>
      </c>
      <c r="K106" s="50" t="str">
        <f>IF($AB106="","",INDEX('ORDER Form'!$E$1:$E$355,$AB106)&amp;"")</f>
        <v/>
      </c>
      <c r="L106" s="50" t="str">
        <f>IF($AB106="","",INDEX('ORDER Form'!$F$1:$F$355,$AB106)&amp;"")</f>
        <v/>
      </c>
      <c r="M106" s="50" t="str">
        <f>IF($AB106="","",INDEX('ORDER Form'!$G$1:$G$355,$AB106)&amp;"")</f>
        <v/>
      </c>
      <c r="N106" s="50" t="str">
        <f>IF($AB106="","",INDEX('ORDER Form'!$H$1:$H$355,$AB106)&amp;"")</f>
        <v/>
      </c>
      <c r="O106" s="50" t="str">
        <f>IF($AB106="","",INDEX('ORDER Form'!$I$1:$I$355,$AB106)&amp;"")</f>
        <v/>
      </c>
      <c r="P106" s="50" t="str">
        <f>IF($AB106="","",INDEX('ORDER Form'!$J$1:$J$355,$AB106)&amp;"")</f>
        <v/>
      </c>
      <c r="Q106" s="50" t="str">
        <f>IF($AB106="","",INDEX('ORDER Form'!$AB$1:$AB$355,$AB106)&amp;"")</f>
        <v/>
      </c>
      <c r="R106" s="50" t="str">
        <f>IF($AB106="","",INDEX('ORDER Form'!$L$1:$L$355,$AB106)&amp;"")</f>
        <v/>
      </c>
      <c r="S106" s="50" t="str">
        <f>IF($AB106="","",INDEX('ORDER Form'!$N$1:$N$355,$AB106)&amp;"")</f>
        <v/>
      </c>
      <c r="T106" s="50" t="str">
        <f>IF($AB106="","",IF($AD106,T$3,INDEX('ORDER Form'!$O$1:$O$355,$AB106))&amp;"")</f>
        <v/>
      </c>
      <c r="U106" s="50" t="str">
        <f>IF($AB106="","",IF($AD106,U$3,INDEX('ORDER Form'!$P$1:$P$355,$AB106))&amp;"")</f>
        <v/>
      </c>
      <c r="V106" s="50" t="str">
        <f>IF($AB106="","",IF($AD106,V$3,INDEX('ORDER Form'!$Q$1:$Q$355,$AB106))&amp;"")</f>
        <v/>
      </c>
      <c r="W106" s="50" t="str">
        <f>IF($AB106="","",IF($AD106,W$3,INDEX('ORDER Form'!$R$1:$R$355,$AB106))&amp;"")</f>
        <v/>
      </c>
      <c r="X106" s="50" t="str">
        <f>IF($AB106="","",IF($AD106,X$3,INDEX('ORDER Form'!$S$1:$S$355,$AB106))&amp;"")</f>
        <v/>
      </c>
      <c r="Y106" s="50" t="str">
        <f>IF($AB106="","",IF($AD106,Y$3,INDEX('ORDER Form'!$T$1:$T$355,$AB106))&amp;"")</f>
        <v/>
      </c>
      <c r="Z106" s="50" t="str">
        <f>IF($AB106="","",IF($AD106,Z$3,INDEX('ORDER Form'!$U$1:$U$355,$AB106))&amp;"")</f>
        <v/>
      </c>
      <c r="AB106" s="51" t="str">
        <f>IFERROR(MATCH(102,$AC$5:$AC$354,0)+5,"")</f>
        <v/>
      </c>
      <c r="AC106" s="51" t="str">
        <f>IF('ORDER Form'!$V107="OK",COUNTIF('ORDER Form'!$V$6:$V107,"OK"),"")</f>
        <v/>
      </c>
      <c r="AD106" s="51" t="str">
        <f>IF($AB106="","",(LEN(TRIM(INDEX('ORDER Form'!$O$1:$O$355,$AB106)))+LEN(TRIM(INDEX('ORDER Form'!$P$1:$P$355,$AB106)))+LEN(TRIM(INDEX('ORDER Form'!$Q$1:$Q$355,$AB106)))+LEN(TRIM(INDEX('ORDER Form'!$R$1:$R$355,$AB106)))+LEN(TRIM(INDEX('ORDER Form'!$S$1:$S$355,$AB106)))+LEN(TRIM(INDEX('ORDER Form'!$T$1:$T$355,$AB106)))+LEN(TRIM(INDEX('ORDER Form'!$U$1:$U$355,$AB106))))=0)</f>
        <v/>
      </c>
    </row>
    <row r="107" spans="1:30" ht="15" customHeight="1" x14ac:dyDescent="0.25">
      <c r="A107" s="50" t="str">
        <f>IF($AB107="","",IFERROR(IF(AND(INDEX('ORDER Form'!$N$1:$N$355,$AB107)="GB",LEFT(UPPER(TRIM(INDEX('ORDER Form'!$L$1:$L$355,$AB107))),2)="BT"),INDEX('ORDER Form'!$AC$1:$AC$355,$AB107),IFERROR(VLOOKUP(INDEX('ORDER Form'!$AC$1:$AC$355,$AB107)&amp;"|"&amp;INDEX('PRODUCT DATA'!$A$2:$A$58,MATCH(INDEX('ORDER Form'!$N$1:$N$355,$AB107),'PRODUCT DATA'!$B$2:$B$58,0)),'PRODUCT DATA'!$NO$2:$NP$25,2,FALSE()),INDEX('ORDER Form'!$AC$1:$AC$355,$AB107)))&amp;"",""))</f>
        <v/>
      </c>
      <c r="B107" s="49"/>
      <c r="C107" s="51" t="str">
        <f>IF($AB107="","",INDEX('ORDER Form'!$C$1:$C$355,$AB107))</f>
        <v/>
      </c>
      <c r="D107" s="49"/>
      <c r="E107" s="49"/>
      <c r="F107" s="49"/>
      <c r="G107" s="49"/>
      <c r="H107" s="49"/>
      <c r="I107" s="49"/>
      <c r="J107" s="50" t="str">
        <f>IF($AB107="","",INDEX('ORDER Form'!$D$1:$D$355,$AB107)&amp;"")</f>
        <v/>
      </c>
      <c r="K107" s="50" t="str">
        <f>IF($AB107="","",INDEX('ORDER Form'!$E$1:$E$355,$AB107)&amp;"")</f>
        <v/>
      </c>
      <c r="L107" s="50" t="str">
        <f>IF($AB107="","",INDEX('ORDER Form'!$F$1:$F$355,$AB107)&amp;"")</f>
        <v/>
      </c>
      <c r="M107" s="50" t="str">
        <f>IF($AB107="","",INDEX('ORDER Form'!$G$1:$G$355,$AB107)&amp;"")</f>
        <v/>
      </c>
      <c r="N107" s="50" t="str">
        <f>IF($AB107="","",INDEX('ORDER Form'!$H$1:$H$355,$AB107)&amp;"")</f>
        <v/>
      </c>
      <c r="O107" s="50" t="str">
        <f>IF($AB107="","",INDEX('ORDER Form'!$I$1:$I$355,$AB107)&amp;"")</f>
        <v/>
      </c>
      <c r="P107" s="50" t="str">
        <f>IF($AB107="","",INDEX('ORDER Form'!$J$1:$J$355,$AB107)&amp;"")</f>
        <v/>
      </c>
      <c r="Q107" s="50" t="str">
        <f>IF($AB107="","",INDEX('ORDER Form'!$AB$1:$AB$355,$AB107)&amp;"")</f>
        <v/>
      </c>
      <c r="R107" s="50" t="str">
        <f>IF($AB107="","",INDEX('ORDER Form'!$L$1:$L$355,$AB107)&amp;"")</f>
        <v/>
      </c>
      <c r="S107" s="50" t="str">
        <f>IF($AB107="","",INDEX('ORDER Form'!$N$1:$N$355,$AB107)&amp;"")</f>
        <v/>
      </c>
      <c r="T107" s="50" t="str">
        <f>IF($AB107="","",IF($AD107,T$3,INDEX('ORDER Form'!$O$1:$O$355,$AB107))&amp;"")</f>
        <v/>
      </c>
      <c r="U107" s="50" t="str">
        <f>IF($AB107="","",IF($AD107,U$3,INDEX('ORDER Form'!$P$1:$P$355,$AB107))&amp;"")</f>
        <v/>
      </c>
      <c r="V107" s="50" t="str">
        <f>IF($AB107="","",IF($AD107,V$3,INDEX('ORDER Form'!$Q$1:$Q$355,$AB107))&amp;"")</f>
        <v/>
      </c>
      <c r="W107" s="50" t="str">
        <f>IF($AB107="","",IF($AD107,W$3,INDEX('ORDER Form'!$R$1:$R$355,$AB107))&amp;"")</f>
        <v/>
      </c>
      <c r="X107" s="50" t="str">
        <f>IF($AB107="","",IF($AD107,X$3,INDEX('ORDER Form'!$S$1:$S$355,$AB107))&amp;"")</f>
        <v/>
      </c>
      <c r="Y107" s="50" t="str">
        <f>IF($AB107="","",IF($AD107,Y$3,INDEX('ORDER Form'!$T$1:$T$355,$AB107))&amp;"")</f>
        <v/>
      </c>
      <c r="Z107" s="50" t="str">
        <f>IF($AB107="","",IF($AD107,Z$3,INDEX('ORDER Form'!$U$1:$U$355,$AB107))&amp;"")</f>
        <v/>
      </c>
      <c r="AB107" s="51" t="str">
        <f>IFERROR(MATCH(103,$AC$5:$AC$354,0)+5,"")</f>
        <v/>
      </c>
      <c r="AC107" s="51" t="str">
        <f>IF('ORDER Form'!$V108="OK",COUNTIF('ORDER Form'!$V$6:$V108,"OK"),"")</f>
        <v/>
      </c>
      <c r="AD107" s="51" t="str">
        <f>IF($AB107="","",(LEN(TRIM(INDEX('ORDER Form'!$O$1:$O$355,$AB107)))+LEN(TRIM(INDEX('ORDER Form'!$P$1:$P$355,$AB107)))+LEN(TRIM(INDEX('ORDER Form'!$Q$1:$Q$355,$AB107)))+LEN(TRIM(INDEX('ORDER Form'!$R$1:$R$355,$AB107)))+LEN(TRIM(INDEX('ORDER Form'!$S$1:$S$355,$AB107)))+LEN(TRIM(INDEX('ORDER Form'!$T$1:$T$355,$AB107)))+LEN(TRIM(INDEX('ORDER Form'!$U$1:$U$355,$AB107))))=0)</f>
        <v/>
      </c>
    </row>
    <row r="108" spans="1:30" ht="15" customHeight="1" x14ac:dyDescent="0.25">
      <c r="A108" s="50" t="str">
        <f>IF($AB108="","",IFERROR(IF(AND(INDEX('ORDER Form'!$N$1:$N$355,$AB108)="GB",LEFT(UPPER(TRIM(INDEX('ORDER Form'!$L$1:$L$355,$AB108))),2)="BT"),INDEX('ORDER Form'!$AC$1:$AC$355,$AB108),IFERROR(VLOOKUP(INDEX('ORDER Form'!$AC$1:$AC$355,$AB108)&amp;"|"&amp;INDEX('PRODUCT DATA'!$A$2:$A$58,MATCH(INDEX('ORDER Form'!$N$1:$N$355,$AB108),'PRODUCT DATA'!$B$2:$B$58,0)),'PRODUCT DATA'!$NO$2:$NP$25,2,FALSE()),INDEX('ORDER Form'!$AC$1:$AC$355,$AB108)))&amp;"",""))</f>
        <v/>
      </c>
      <c r="B108" s="49"/>
      <c r="C108" s="51" t="str">
        <f>IF($AB108="","",INDEX('ORDER Form'!$C$1:$C$355,$AB108))</f>
        <v/>
      </c>
      <c r="D108" s="49"/>
      <c r="E108" s="49"/>
      <c r="F108" s="49"/>
      <c r="G108" s="49"/>
      <c r="H108" s="49"/>
      <c r="I108" s="49"/>
      <c r="J108" s="50" t="str">
        <f>IF($AB108="","",INDEX('ORDER Form'!$D$1:$D$355,$AB108)&amp;"")</f>
        <v/>
      </c>
      <c r="K108" s="50" t="str">
        <f>IF($AB108="","",INDEX('ORDER Form'!$E$1:$E$355,$AB108)&amp;"")</f>
        <v/>
      </c>
      <c r="L108" s="50" t="str">
        <f>IF($AB108="","",INDEX('ORDER Form'!$F$1:$F$355,$AB108)&amp;"")</f>
        <v/>
      </c>
      <c r="M108" s="50" t="str">
        <f>IF($AB108="","",INDEX('ORDER Form'!$G$1:$G$355,$AB108)&amp;"")</f>
        <v/>
      </c>
      <c r="N108" s="50" t="str">
        <f>IF($AB108="","",INDEX('ORDER Form'!$H$1:$H$355,$AB108)&amp;"")</f>
        <v/>
      </c>
      <c r="O108" s="50" t="str">
        <f>IF($AB108="","",INDEX('ORDER Form'!$I$1:$I$355,$AB108)&amp;"")</f>
        <v/>
      </c>
      <c r="P108" s="50" t="str">
        <f>IF($AB108="","",INDEX('ORDER Form'!$J$1:$J$355,$AB108)&amp;"")</f>
        <v/>
      </c>
      <c r="Q108" s="50" t="str">
        <f>IF($AB108="","",INDEX('ORDER Form'!$AB$1:$AB$355,$AB108)&amp;"")</f>
        <v/>
      </c>
      <c r="R108" s="50" t="str">
        <f>IF($AB108="","",INDEX('ORDER Form'!$L$1:$L$355,$AB108)&amp;"")</f>
        <v/>
      </c>
      <c r="S108" s="50" t="str">
        <f>IF($AB108="","",INDEX('ORDER Form'!$N$1:$N$355,$AB108)&amp;"")</f>
        <v/>
      </c>
      <c r="T108" s="50" t="str">
        <f>IF($AB108="","",IF($AD108,T$3,INDEX('ORDER Form'!$O$1:$O$355,$AB108))&amp;"")</f>
        <v/>
      </c>
      <c r="U108" s="50" t="str">
        <f>IF($AB108="","",IF($AD108,U$3,INDEX('ORDER Form'!$P$1:$P$355,$AB108))&amp;"")</f>
        <v/>
      </c>
      <c r="V108" s="50" t="str">
        <f>IF($AB108="","",IF($AD108,V$3,INDEX('ORDER Form'!$Q$1:$Q$355,$AB108))&amp;"")</f>
        <v/>
      </c>
      <c r="W108" s="50" t="str">
        <f>IF($AB108="","",IF($AD108,W$3,INDEX('ORDER Form'!$R$1:$R$355,$AB108))&amp;"")</f>
        <v/>
      </c>
      <c r="X108" s="50" t="str">
        <f>IF($AB108="","",IF($AD108,X$3,INDEX('ORDER Form'!$S$1:$S$355,$AB108))&amp;"")</f>
        <v/>
      </c>
      <c r="Y108" s="50" t="str">
        <f>IF($AB108="","",IF($AD108,Y$3,INDEX('ORDER Form'!$T$1:$T$355,$AB108))&amp;"")</f>
        <v/>
      </c>
      <c r="Z108" s="50" t="str">
        <f>IF($AB108="","",IF($AD108,Z$3,INDEX('ORDER Form'!$U$1:$U$355,$AB108))&amp;"")</f>
        <v/>
      </c>
      <c r="AB108" s="51" t="str">
        <f>IFERROR(MATCH(104,$AC$5:$AC$354,0)+5,"")</f>
        <v/>
      </c>
      <c r="AC108" s="51" t="str">
        <f>IF('ORDER Form'!$V109="OK",COUNTIF('ORDER Form'!$V$6:$V109,"OK"),"")</f>
        <v/>
      </c>
      <c r="AD108" s="51" t="str">
        <f>IF($AB108="","",(LEN(TRIM(INDEX('ORDER Form'!$O$1:$O$355,$AB108)))+LEN(TRIM(INDEX('ORDER Form'!$P$1:$P$355,$AB108)))+LEN(TRIM(INDEX('ORDER Form'!$Q$1:$Q$355,$AB108)))+LEN(TRIM(INDEX('ORDER Form'!$R$1:$R$355,$AB108)))+LEN(TRIM(INDEX('ORDER Form'!$S$1:$S$355,$AB108)))+LEN(TRIM(INDEX('ORDER Form'!$T$1:$T$355,$AB108)))+LEN(TRIM(INDEX('ORDER Form'!$U$1:$U$355,$AB108))))=0)</f>
        <v/>
      </c>
    </row>
    <row r="109" spans="1:30" ht="15" customHeight="1" x14ac:dyDescent="0.25">
      <c r="A109" s="50" t="str">
        <f>IF($AB109="","",IFERROR(IF(AND(INDEX('ORDER Form'!$N$1:$N$355,$AB109)="GB",LEFT(UPPER(TRIM(INDEX('ORDER Form'!$L$1:$L$355,$AB109))),2)="BT"),INDEX('ORDER Form'!$AC$1:$AC$355,$AB109),IFERROR(VLOOKUP(INDEX('ORDER Form'!$AC$1:$AC$355,$AB109)&amp;"|"&amp;INDEX('PRODUCT DATA'!$A$2:$A$58,MATCH(INDEX('ORDER Form'!$N$1:$N$355,$AB109),'PRODUCT DATA'!$B$2:$B$58,0)),'PRODUCT DATA'!$NO$2:$NP$25,2,FALSE()),INDEX('ORDER Form'!$AC$1:$AC$355,$AB109)))&amp;"",""))</f>
        <v/>
      </c>
      <c r="B109" s="49"/>
      <c r="C109" s="51" t="str">
        <f>IF($AB109="","",INDEX('ORDER Form'!$C$1:$C$355,$AB109))</f>
        <v/>
      </c>
      <c r="D109" s="49"/>
      <c r="E109" s="49"/>
      <c r="F109" s="49"/>
      <c r="G109" s="49"/>
      <c r="H109" s="49"/>
      <c r="I109" s="49"/>
      <c r="J109" s="50" t="str">
        <f>IF($AB109="","",INDEX('ORDER Form'!$D$1:$D$355,$AB109)&amp;"")</f>
        <v/>
      </c>
      <c r="K109" s="50" t="str">
        <f>IF($AB109="","",INDEX('ORDER Form'!$E$1:$E$355,$AB109)&amp;"")</f>
        <v/>
      </c>
      <c r="L109" s="50" t="str">
        <f>IF($AB109="","",INDEX('ORDER Form'!$F$1:$F$355,$AB109)&amp;"")</f>
        <v/>
      </c>
      <c r="M109" s="50" t="str">
        <f>IF($AB109="","",INDEX('ORDER Form'!$G$1:$G$355,$AB109)&amp;"")</f>
        <v/>
      </c>
      <c r="N109" s="50" t="str">
        <f>IF($AB109="","",INDEX('ORDER Form'!$H$1:$H$355,$AB109)&amp;"")</f>
        <v/>
      </c>
      <c r="O109" s="50" t="str">
        <f>IF($AB109="","",INDEX('ORDER Form'!$I$1:$I$355,$AB109)&amp;"")</f>
        <v/>
      </c>
      <c r="P109" s="50" t="str">
        <f>IF($AB109="","",INDEX('ORDER Form'!$J$1:$J$355,$AB109)&amp;"")</f>
        <v/>
      </c>
      <c r="Q109" s="50" t="str">
        <f>IF($AB109="","",INDEX('ORDER Form'!$AB$1:$AB$355,$AB109)&amp;"")</f>
        <v/>
      </c>
      <c r="R109" s="50" t="str">
        <f>IF($AB109="","",INDEX('ORDER Form'!$L$1:$L$355,$AB109)&amp;"")</f>
        <v/>
      </c>
      <c r="S109" s="50" t="str">
        <f>IF($AB109="","",INDEX('ORDER Form'!$N$1:$N$355,$AB109)&amp;"")</f>
        <v/>
      </c>
      <c r="T109" s="50" t="str">
        <f>IF($AB109="","",IF($AD109,T$3,INDEX('ORDER Form'!$O$1:$O$355,$AB109))&amp;"")</f>
        <v/>
      </c>
      <c r="U109" s="50" t="str">
        <f>IF($AB109="","",IF($AD109,U$3,INDEX('ORDER Form'!$P$1:$P$355,$AB109))&amp;"")</f>
        <v/>
      </c>
      <c r="V109" s="50" t="str">
        <f>IF($AB109="","",IF($AD109,V$3,INDEX('ORDER Form'!$Q$1:$Q$355,$AB109))&amp;"")</f>
        <v/>
      </c>
      <c r="W109" s="50" t="str">
        <f>IF($AB109="","",IF($AD109,W$3,INDEX('ORDER Form'!$R$1:$R$355,$AB109))&amp;"")</f>
        <v/>
      </c>
      <c r="X109" s="50" t="str">
        <f>IF($AB109="","",IF($AD109,X$3,INDEX('ORDER Form'!$S$1:$S$355,$AB109))&amp;"")</f>
        <v/>
      </c>
      <c r="Y109" s="50" t="str">
        <f>IF($AB109="","",IF($AD109,Y$3,INDEX('ORDER Form'!$T$1:$T$355,$AB109))&amp;"")</f>
        <v/>
      </c>
      <c r="Z109" s="50" t="str">
        <f>IF($AB109="","",IF($AD109,Z$3,INDEX('ORDER Form'!$U$1:$U$355,$AB109))&amp;"")</f>
        <v/>
      </c>
      <c r="AB109" s="51" t="str">
        <f>IFERROR(MATCH(105,$AC$5:$AC$354,0)+5,"")</f>
        <v/>
      </c>
      <c r="AC109" s="51" t="str">
        <f>IF('ORDER Form'!$V110="OK",COUNTIF('ORDER Form'!$V$6:$V110,"OK"),"")</f>
        <v/>
      </c>
      <c r="AD109" s="51" t="str">
        <f>IF($AB109="","",(LEN(TRIM(INDEX('ORDER Form'!$O$1:$O$355,$AB109)))+LEN(TRIM(INDEX('ORDER Form'!$P$1:$P$355,$AB109)))+LEN(TRIM(INDEX('ORDER Form'!$Q$1:$Q$355,$AB109)))+LEN(TRIM(INDEX('ORDER Form'!$R$1:$R$355,$AB109)))+LEN(TRIM(INDEX('ORDER Form'!$S$1:$S$355,$AB109)))+LEN(TRIM(INDEX('ORDER Form'!$T$1:$T$355,$AB109)))+LEN(TRIM(INDEX('ORDER Form'!$U$1:$U$355,$AB109))))=0)</f>
        <v/>
      </c>
    </row>
    <row r="110" spans="1:30" ht="15" customHeight="1" x14ac:dyDescent="0.25">
      <c r="A110" s="50" t="str">
        <f>IF($AB110="","",IFERROR(IF(AND(INDEX('ORDER Form'!$N$1:$N$355,$AB110)="GB",LEFT(UPPER(TRIM(INDEX('ORDER Form'!$L$1:$L$355,$AB110))),2)="BT"),INDEX('ORDER Form'!$AC$1:$AC$355,$AB110),IFERROR(VLOOKUP(INDEX('ORDER Form'!$AC$1:$AC$355,$AB110)&amp;"|"&amp;INDEX('PRODUCT DATA'!$A$2:$A$58,MATCH(INDEX('ORDER Form'!$N$1:$N$355,$AB110),'PRODUCT DATA'!$B$2:$B$58,0)),'PRODUCT DATA'!$NO$2:$NP$25,2,FALSE()),INDEX('ORDER Form'!$AC$1:$AC$355,$AB110)))&amp;"",""))</f>
        <v/>
      </c>
      <c r="B110" s="49"/>
      <c r="C110" s="51" t="str">
        <f>IF($AB110="","",INDEX('ORDER Form'!$C$1:$C$355,$AB110))</f>
        <v/>
      </c>
      <c r="D110" s="49"/>
      <c r="E110" s="49"/>
      <c r="F110" s="49"/>
      <c r="G110" s="49"/>
      <c r="H110" s="49"/>
      <c r="I110" s="49"/>
      <c r="J110" s="50" t="str">
        <f>IF($AB110="","",INDEX('ORDER Form'!$D$1:$D$355,$AB110)&amp;"")</f>
        <v/>
      </c>
      <c r="K110" s="50" t="str">
        <f>IF($AB110="","",INDEX('ORDER Form'!$E$1:$E$355,$AB110)&amp;"")</f>
        <v/>
      </c>
      <c r="L110" s="50" t="str">
        <f>IF($AB110="","",INDEX('ORDER Form'!$F$1:$F$355,$AB110)&amp;"")</f>
        <v/>
      </c>
      <c r="M110" s="50" t="str">
        <f>IF($AB110="","",INDEX('ORDER Form'!$G$1:$G$355,$AB110)&amp;"")</f>
        <v/>
      </c>
      <c r="N110" s="50" t="str">
        <f>IF($AB110="","",INDEX('ORDER Form'!$H$1:$H$355,$AB110)&amp;"")</f>
        <v/>
      </c>
      <c r="O110" s="50" t="str">
        <f>IF($AB110="","",INDEX('ORDER Form'!$I$1:$I$355,$AB110)&amp;"")</f>
        <v/>
      </c>
      <c r="P110" s="50" t="str">
        <f>IF($AB110="","",INDEX('ORDER Form'!$J$1:$J$355,$AB110)&amp;"")</f>
        <v/>
      </c>
      <c r="Q110" s="50" t="str">
        <f>IF($AB110="","",INDEX('ORDER Form'!$AB$1:$AB$355,$AB110)&amp;"")</f>
        <v/>
      </c>
      <c r="R110" s="50" t="str">
        <f>IF($AB110="","",INDEX('ORDER Form'!$L$1:$L$355,$AB110)&amp;"")</f>
        <v/>
      </c>
      <c r="S110" s="50" t="str">
        <f>IF($AB110="","",INDEX('ORDER Form'!$N$1:$N$355,$AB110)&amp;"")</f>
        <v/>
      </c>
      <c r="T110" s="50" t="str">
        <f>IF($AB110="","",IF($AD110,T$3,INDEX('ORDER Form'!$O$1:$O$355,$AB110))&amp;"")</f>
        <v/>
      </c>
      <c r="U110" s="50" t="str">
        <f>IF($AB110="","",IF($AD110,U$3,INDEX('ORDER Form'!$P$1:$P$355,$AB110))&amp;"")</f>
        <v/>
      </c>
      <c r="V110" s="50" t="str">
        <f>IF($AB110="","",IF($AD110,V$3,INDEX('ORDER Form'!$Q$1:$Q$355,$AB110))&amp;"")</f>
        <v/>
      </c>
      <c r="W110" s="50" t="str">
        <f>IF($AB110="","",IF($AD110,W$3,INDEX('ORDER Form'!$R$1:$R$355,$AB110))&amp;"")</f>
        <v/>
      </c>
      <c r="X110" s="50" t="str">
        <f>IF($AB110="","",IF($AD110,X$3,INDEX('ORDER Form'!$S$1:$S$355,$AB110))&amp;"")</f>
        <v/>
      </c>
      <c r="Y110" s="50" t="str">
        <f>IF($AB110="","",IF($AD110,Y$3,INDEX('ORDER Form'!$T$1:$T$355,$AB110))&amp;"")</f>
        <v/>
      </c>
      <c r="Z110" s="50" t="str">
        <f>IF($AB110="","",IF($AD110,Z$3,INDEX('ORDER Form'!$U$1:$U$355,$AB110))&amp;"")</f>
        <v/>
      </c>
      <c r="AB110" s="51" t="str">
        <f>IFERROR(MATCH(106,$AC$5:$AC$354,0)+5,"")</f>
        <v/>
      </c>
      <c r="AC110" s="51" t="str">
        <f>IF('ORDER Form'!$V111="OK",COUNTIF('ORDER Form'!$V$6:$V111,"OK"),"")</f>
        <v/>
      </c>
      <c r="AD110" s="51" t="str">
        <f>IF($AB110="","",(LEN(TRIM(INDEX('ORDER Form'!$O$1:$O$355,$AB110)))+LEN(TRIM(INDEX('ORDER Form'!$P$1:$P$355,$AB110)))+LEN(TRIM(INDEX('ORDER Form'!$Q$1:$Q$355,$AB110)))+LEN(TRIM(INDEX('ORDER Form'!$R$1:$R$355,$AB110)))+LEN(TRIM(INDEX('ORDER Form'!$S$1:$S$355,$AB110)))+LEN(TRIM(INDEX('ORDER Form'!$T$1:$T$355,$AB110)))+LEN(TRIM(INDEX('ORDER Form'!$U$1:$U$355,$AB110))))=0)</f>
        <v/>
      </c>
    </row>
    <row r="111" spans="1:30" ht="15" customHeight="1" x14ac:dyDescent="0.25">
      <c r="A111" s="50" t="str">
        <f>IF($AB111="","",IFERROR(IF(AND(INDEX('ORDER Form'!$N$1:$N$355,$AB111)="GB",LEFT(UPPER(TRIM(INDEX('ORDER Form'!$L$1:$L$355,$AB111))),2)="BT"),INDEX('ORDER Form'!$AC$1:$AC$355,$AB111),IFERROR(VLOOKUP(INDEX('ORDER Form'!$AC$1:$AC$355,$AB111)&amp;"|"&amp;INDEX('PRODUCT DATA'!$A$2:$A$58,MATCH(INDEX('ORDER Form'!$N$1:$N$355,$AB111),'PRODUCT DATA'!$B$2:$B$58,0)),'PRODUCT DATA'!$NO$2:$NP$25,2,FALSE()),INDEX('ORDER Form'!$AC$1:$AC$355,$AB111)))&amp;"",""))</f>
        <v/>
      </c>
      <c r="B111" s="49"/>
      <c r="C111" s="51" t="str">
        <f>IF($AB111="","",INDEX('ORDER Form'!$C$1:$C$355,$AB111))</f>
        <v/>
      </c>
      <c r="D111" s="49"/>
      <c r="E111" s="49"/>
      <c r="F111" s="49"/>
      <c r="G111" s="49"/>
      <c r="H111" s="49"/>
      <c r="I111" s="49"/>
      <c r="J111" s="50" t="str">
        <f>IF($AB111="","",INDEX('ORDER Form'!$D$1:$D$355,$AB111)&amp;"")</f>
        <v/>
      </c>
      <c r="K111" s="50" t="str">
        <f>IF($AB111="","",INDEX('ORDER Form'!$E$1:$E$355,$AB111)&amp;"")</f>
        <v/>
      </c>
      <c r="L111" s="50" t="str">
        <f>IF($AB111="","",INDEX('ORDER Form'!$F$1:$F$355,$AB111)&amp;"")</f>
        <v/>
      </c>
      <c r="M111" s="50" t="str">
        <f>IF($AB111="","",INDEX('ORDER Form'!$G$1:$G$355,$AB111)&amp;"")</f>
        <v/>
      </c>
      <c r="N111" s="50" t="str">
        <f>IF($AB111="","",INDEX('ORDER Form'!$H$1:$H$355,$AB111)&amp;"")</f>
        <v/>
      </c>
      <c r="O111" s="50" t="str">
        <f>IF($AB111="","",INDEX('ORDER Form'!$I$1:$I$355,$AB111)&amp;"")</f>
        <v/>
      </c>
      <c r="P111" s="50" t="str">
        <f>IF($AB111="","",INDEX('ORDER Form'!$J$1:$J$355,$AB111)&amp;"")</f>
        <v/>
      </c>
      <c r="Q111" s="50" t="str">
        <f>IF($AB111="","",INDEX('ORDER Form'!$AB$1:$AB$355,$AB111)&amp;"")</f>
        <v/>
      </c>
      <c r="R111" s="50" t="str">
        <f>IF($AB111="","",INDEX('ORDER Form'!$L$1:$L$355,$AB111)&amp;"")</f>
        <v/>
      </c>
      <c r="S111" s="50" t="str">
        <f>IF($AB111="","",INDEX('ORDER Form'!$N$1:$N$355,$AB111)&amp;"")</f>
        <v/>
      </c>
      <c r="T111" s="50" t="str">
        <f>IF($AB111="","",IF($AD111,T$3,INDEX('ORDER Form'!$O$1:$O$355,$AB111))&amp;"")</f>
        <v/>
      </c>
      <c r="U111" s="50" t="str">
        <f>IF($AB111="","",IF($AD111,U$3,INDEX('ORDER Form'!$P$1:$P$355,$AB111))&amp;"")</f>
        <v/>
      </c>
      <c r="V111" s="50" t="str">
        <f>IF($AB111="","",IF($AD111,V$3,INDEX('ORDER Form'!$Q$1:$Q$355,$AB111))&amp;"")</f>
        <v/>
      </c>
      <c r="W111" s="50" t="str">
        <f>IF($AB111="","",IF($AD111,W$3,INDEX('ORDER Form'!$R$1:$R$355,$AB111))&amp;"")</f>
        <v/>
      </c>
      <c r="X111" s="50" t="str">
        <f>IF($AB111="","",IF($AD111,X$3,INDEX('ORDER Form'!$S$1:$S$355,$AB111))&amp;"")</f>
        <v/>
      </c>
      <c r="Y111" s="50" t="str">
        <f>IF($AB111="","",IF($AD111,Y$3,INDEX('ORDER Form'!$T$1:$T$355,$AB111))&amp;"")</f>
        <v/>
      </c>
      <c r="Z111" s="50" t="str">
        <f>IF($AB111="","",IF($AD111,Z$3,INDEX('ORDER Form'!$U$1:$U$355,$AB111))&amp;"")</f>
        <v/>
      </c>
      <c r="AB111" s="51" t="str">
        <f>IFERROR(MATCH(107,$AC$5:$AC$354,0)+5,"")</f>
        <v/>
      </c>
      <c r="AC111" s="51" t="str">
        <f>IF('ORDER Form'!$V112="OK",COUNTIF('ORDER Form'!$V$6:$V112,"OK"),"")</f>
        <v/>
      </c>
      <c r="AD111" s="51" t="str">
        <f>IF($AB111="","",(LEN(TRIM(INDEX('ORDER Form'!$O$1:$O$355,$AB111)))+LEN(TRIM(INDEX('ORDER Form'!$P$1:$P$355,$AB111)))+LEN(TRIM(INDEX('ORDER Form'!$Q$1:$Q$355,$AB111)))+LEN(TRIM(INDEX('ORDER Form'!$R$1:$R$355,$AB111)))+LEN(TRIM(INDEX('ORDER Form'!$S$1:$S$355,$AB111)))+LEN(TRIM(INDEX('ORDER Form'!$T$1:$T$355,$AB111)))+LEN(TRIM(INDEX('ORDER Form'!$U$1:$U$355,$AB111))))=0)</f>
        <v/>
      </c>
    </row>
    <row r="112" spans="1:30" ht="15" customHeight="1" x14ac:dyDescent="0.25">
      <c r="A112" s="50" t="str">
        <f>IF($AB112="","",IFERROR(IF(AND(INDEX('ORDER Form'!$N$1:$N$355,$AB112)="GB",LEFT(UPPER(TRIM(INDEX('ORDER Form'!$L$1:$L$355,$AB112))),2)="BT"),INDEX('ORDER Form'!$AC$1:$AC$355,$AB112),IFERROR(VLOOKUP(INDEX('ORDER Form'!$AC$1:$AC$355,$AB112)&amp;"|"&amp;INDEX('PRODUCT DATA'!$A$2:$A$58,MATCH(INDEX('ORDER Form'!$N$1:$N$355,$AB112),'PRODUCT DATA'!$B$2:$B$58,0)),'PRODUCT DATA'!$NO$2:$NP$25,2,FALSE()),INDEX('ORDER Form'!$AC$1:$AC$355,$AB112)))&amp;"",""))</f>
        <v/>
      </c>
      <c r="B112" s="49"/>
      <c r="C112" s="51" t="str">
        <f>IF($AB112="","",INDEX('ORDER Form'!$C$1:$C$355,$AB112))</f>
        <v/>
      </c>
      <c r="D112" s="49"/>
      <c r="E112" s="49"/>
      <c r="F112" s="49"/>
      <c r="G112" s="49"/>
      <c r="H112" s="49"/>
      <c r="I112" s="49"/>
      <c r="J112" s="50" t="str">
        <f>IF($AB112="","",INDEX('ORDER Form'!$D$1:$D$355,$AB112)&amp;"")</f>
        <v/>
      </c>
      <c r="K112" s="50" t="str">
        <f>IF($AB112="","",INDEX('ORDER Form'!$E$1:$E$355,$AB112)&amp;"")</f>
        <v/>
      </c>
      <c r="L112" s="50" t="str">
        <f>IF($AB112="","",INDEX('ORDER Form'!$F$1:$F$355,$AB112)&amp;"")</f>
        <v/>
      </c>
      <c r="M112" s="50" t="str">
        <f>IF($AB112="","",INDEX('ORDER Form'!$G$1:$G$355,$AB112)&amp;"")</f>
        <v/>
      </c>
      <c r="N112" s="50" t="str">
        <f>IF($AB112="","",INDEX('ORDER Form'!$H$1:$H$355,$AB112)&amp;"")</f>
        <v/>
      </c>
      <c r="O112" s="50" t="str">
        <f>IF($AB112="","",INDEX('ORDER Form'!$I$1:$I$355,$AB112)&amp;"")</f>
        <v/>
      </c>
      <c r="P112" s="50" t="str">
        <f>IF($AB112="","",INDEX('ORDER Form'!$J$1:$J$355,$AB112)&amp;"")</f>
        <v/>
      </c>
      <c r="Q112" s="50" t="str">
        <f>IF($AB112="","",INDEX('ORDER Form'!$AB$1:$AB$355,$AB112)&amp;"")</f>
        <v/>
      </c>
      <c r="R112" s="50" t="str">
        <f>IF($AB112="","",INDEX('ORDER Form'!$L$1:$L$355,$AB112)&amp;"")</f>
        <v/>
      </c>
      <c r="S112" s="50" t="str">
        <f>IF($AB112="","",INDEX('ORDER Form'!$N$1:$N$355,$AB112)&amp;"")</f>
        <v/>
      </c>
      <c r="T112" s="50" t="str">
        <f>IF($AB112="","",IF($AD112,T$3,INDEX('ORDER Form'!$O$1:$O$355,$AB112))&amp;"")</f>
        <v/>
      </c>
      <c r="U112" s="50" t="str">
        <f>IF($AB112="","",IF($AD112,U$3,INDEX('ORDER Form'!$P$1:$P$355,$AB112))&amp;"")</f>
        <v/>
      </c>
      <c r="V112" s="50" t="str">
        <f>IF($AB112="","",IF($AD112,V$3,INDEX('ORDER Form'!$Q$1:$Q$355,$AB112))&amp;"")</f>
        <v/>
      </c>
      <c r="W112" s="50" t="str">
        <f>IF($AB112="","",IF($AD112,W$3,INDEX('ORDER Form'!$R$1:$R$355,$AB112))&amp;"")</f>
        <v/>
      </c>
      <c r="X112" s="50" t="str">
        <f>IF($AB112="","",IF($AD112,X$3,INDEX('ORDER Form'!$S$1:$S$355,$AB112))&amp;"")</f>
        <v/>
      </c>
      <c r="Y112" s="50" t="str">
        <f>IF($AB112="","",IF($AD112,Y$3,INDEX('ORDER Form'!$T$1:$T$355,$AB112))&amp;"")</f>
        <v/>
      </c>
      <c r="Z112" s="50" t="str">
        <f>IF($AB112="","",IF($AD112,Z$3,INDEX('ORDER Form'!$U$1:$U$355,$AB112))&amp;"")</f>
        <v/>
      </c>
      <c r="AB112" s="51" t="str">
        <f>IFERROR(MATCH(108,$AC$5:$AC$354,0)+5,"")</f>
        <v/>
      </c>
      <c r="AC112" s="51" t="str">
        <f>IF('ORDER Form'!$V113="OK",COUNTIF('ORDER Form'!$V$6:$V113,"OK"),"")</f>
        <v/>
      </c>
      <c r="AD112" s="51" t="str">
        <f>IF($AB112="","",(LEN(TRIM(INDEX('ORDER Form'!$O$1:$O$355,$AB112)))+LEN(TRIM(INDEX('ORDER Form'!$P$1:$P$355,$AB112)))+LEN(TRIM(INDEX('ORDER Form'!$Q$1:$Q$355,$AB112)))+LEN(TRIM(INDEX('ORDER Form'!$R$1:$R$355,$AB112)))+LEN(TRIM(INDEX('ORDER Form'!$S$1:$S$355,$AB112)))+LEN(TRIM(INDEX('ORDER Form'!$T$1:$T$355,$AB112)))+LEN(TRIM(INDEX('ORDER Form'!$U$1:$U$355,$AB112))))=0)</f>
        <v/>
      </c>
    </row>
    <row r="113" spans="1:30" ht="15" customHeight="1" x14ac:dyDescent="0.25">
      <c r="A113" s="50" t="str">
        <f>IF($AB113="","",IFERROR(IF(AND(INDEX('ORDER Form'!$N$1:$N$355,$AB113)="GB",LEFT(UPPER(TRIM(INDEX('ORDER Form'!$L$1:$L$355,$AB113))),2)="BT"),INDEX('ORDER Form'!$AC$1:$AC$355,$AB113),IFERROR(VLOOKUP(INDEX('ORDER Form'!$AC$1:$AC$355,$AB113)&amp;"|"&amp;INDEX('PRODUCT DATA'!$A$2:$A$58,MATCH(INDEX('ORDER Form'!$N$1:$N$355,$AB113),'PRODUCT DATA'!$B$2:$B$58,0)),'PRODUCT DATA'!$NO$2:$NP$25,2,FALSE()),INDEX('ORDER Form'!$AC$1:$AC$355,$AB113)))&amp;"",""))</f>
        <v/>
      </c>
      <c r="B113" s="49"/>
      <c r="C113" s="51" t="str">
        <f>IF($AB113="","",INDEX('ORDER Form'!$C$1:$C$355,$AB113))</f>
        <v/>
      </c>
      <c r="D113" s="49"/>
      <c r="E113" s="49"/>
      <c r="F113" s="49"/>
      <c r="G113" s="49"/>
      <c r="H113" s="49"/>
      <c r="I113" s="49"/>
      <c r="J113" s="50" t="str">
        <f>IF($AB113="","",INDEX('ORDER Form'!$D$1:$D$355,$AB113)&amp;"")</f>
        <v/>
      </c>
      <c r="K113" s="50" t="str">
        <f>IF($AB113="","",INDEX('ORDER Form'!$E$1:$E$355,$AB113)&amp;"")</f>
        <v/>
      </c>
      <c r="L113" s="50" t="str">
        <f>IF($AB113="","",INDEX('ORDER Form'!$F$1:$F$355,$AB113)&amp;"")</f>
        <v/>
      </c>
      <c r="M113" s="50" t="str">
        <f>IF($AB113="","",INDEX('ORDER Form'!$G$1:$G$355,$AB113)&amp;"")</f>
        <v/>
      </c>
      <c r="N113" s="50" t="str">
        <f>IF($AB113="","",INDEX('ORDER Form'!$H$1:$H$355,$AB113)&amp;"")</f>
        <v/>
      </c>
      <c r="O113" s="50" t="str">
        <f>IF($AB113="","",INDEX('ORDER Form'!$I$1:$I$355,$AB113)&amp;"")</f>
        <v/>
      </c>
      <c r="P113" s="50" t="str">
        <f>IF($AB113="","",INDEX('ORDER Form'!$J$1:$J$355,$AB113)&amp;"")</f>
        <v/>
      </c>
      <c r="Q113" s="50" t="str">
        <f>IF($AB113="","",INDEX('ORDER Form'!$AB$1:$AB$355,$AB113)&amp;"")</f>
        <v/>
      </c>
      <c r="R113" s="50" t="str">
        <f>IF($AB113="","",INDEX('ORDER Form'!$L$1:$L$355,$AB113)&amp;"")</f>
        <v/>
      </c>
      <c r="S113" s="50" t="str">
        <f>IF($AB113="","",INDEX('ORDER Form'!$N$1:$N$355,$AB113)&amp;"")</f>
        <v/>
      </c>
      <c r="T113" s="50" t="str">
        <f>IF($AB113="","",IF($AD113,T$3,INDEX('ORDER Form'!$O$1:$O$355,$AB113))&amp;"")</f>
        <v/>
      </c>
      <c r="U113" s="50" t="str">
        <f>IF($AB113="","",IF($AD113,U$3,INDEX('ORDER Form'!$P$1:$P$355,$AB113))&amp;"")</f>
        <v/>
      </c>
      <c r="V113" s="50" t="str">
        <f>IF($AB113="","",IF($AD113,V$3,INDEX('ORDER Form'!$Q$1:$Q$355,$AB113))&amp;"")</f>
        <v/>
      </c>
      <c r="W113" s="50" t="str">
        <f>IF($AB113="","",IF($AD113,W$3,INDEX('ORDER Form'!$R$1:$R$355,$AB113))&amp;"")</f>
        <v/>
      </c>
      <c r="X113" s="50" t="str">
        <f>IF($AB113="","",IF($AD113,X$3,INDEX('ORDER Form'!$S$1:$S$355,$AB113))&amp;"")</f>
        <v/>
      </c>
      <c r="Y113" s="50" t="str">
        <f>IF($AB113="","",IF($AD113,Y$3,INDEX('ORDER Form'!$T$1:$T$355,$AB113))&amp;"")</f>
        <v/>
      </c>
      <c r="Z113" s="50" t="str">
        <f>IF($AB113="","",IF($AD113,Z$3,INDEX('ORDER Form'!$U$1:$U$355,$AB113))&amp;"")</f>
        <v/>
      </c>
      <c r="AB113" s="51" t="str">
        <f>IFERROR(MATCH(109,$AC$5:$AC$354,0)+5,"")</f>
        <v/>
      </c>
      <c r="AC113" s="51" t="str">
        <f>IF('ORDER Form'!$V114="OK",COUNTIF('ORDER Form'!$V$6:$V114,"OK"),"")</f>
        <v/>
      </c>
      <c r="AD113" s="51" t="str">
        <f>IF($AB113="","",(LEN(TRIM(INDEX('ORDER Form'!$O$1:$O$355,$AB113)))+LEN(TRIM(INDEX('ORDER Form'!$P$1:$P$355,$AB113)))+LEN(TRIM(INDEX('ORDER Form'!$Q$1:$Q$355,$AB113)))+LEN(TRIM(INDEX('ORDER Form'!$R$1:$R$355,$AB113)))+LEN(TRIM(INDEX('ORDER Form'!$S$1:$S$355,$AB113)))+LEN(TRIM(INDEX('ORDER Form'!$T$1:$T$355,$AB113)))+LEN(TRIM(INDEX('ORDER Form'!$U$1:$U$355,$AB113))))=0)</f>
        <v/>
      </c>
    </row>
    <row r="114" spans="1:30" ht="15" customHeight="1" x14ac:dyDescent="0.25">
      <c r="A114" s="50" t="str">
        <f>IF($AB114="","",IFERROR(IF(AND(INDEX('ORDER Form'!$N$1:$N$355,$AB114)="GB",LEFT(UPPER(TRIM(INDEX('ORDER Form'!$L$1:$L$355,$AB114))),2)="BT"),INDEX('ORDER Form'!$AC$1:$AC$355,$AB114),IFERROR(VLOOKUP(INDEX('ORDER Form'!$AC$1:$AC$355,$AB114)&amp;"|"&amp;INDEX('PRODUCT DATA'!$A$2:$A$58,MATCH(INDEX('ORDER Form'!$N$1:$N$355,$AB114),'PRODUCT DATA'!$B$2:$B$58,0)),'PRODUCT DATA'!$NO$2:$NP$25,2,FALSE()),INDEX('ORDER Form'!$AC$1:$AC$355,$AB114)))&amp;"",""))</f>
        <v/>
      </c>
      <c r="B114" s="49"/>
      <c r="C114" s="51" t="str">
        <f>IF($AB114="","",INDEX('ORDER Form'!$C$1:$C$355,$AB114))</f>
        <v/>
      </c>
      <c r="D114" s="49"/>
      <c r="E114" s="49"/>
      <c r="F114" s="49"/>
      <c r="G114" s="49"/>
      <c r="H114" s="49"/>
      <c r="I114" s="49"/>
      <c r="J114" s="50" t="str">
        <f>IF($AB114="","",INDEX('ORDER Form'!$D$1:$D$355,$AB114)&amp;"")</f>
        <v/>
      </c>
      <c r="K114" s="50" t="str">
        <f>IF($AB114="","",INDEX('ORDER Form'!$E$1:$E$355,$AB114)&amp;"")</f>
        <v/>
      </c>
      <c r="L114" s="50" t="str">
        <f>IF($AB114="","",INDEX('ORDER Form'!$F$1:$F$355,$AB114)&amp;"")</f>
        <v/>
      </c>
      <c r="M114" s="50" t="str">
        <f>IF($AB114="","",INDEX('ORDER Form'!$G$1:$G$355,$AB114)&amp;"")</f>
        <v/>
      </c>
      <c r="N114" s="50" t="str">
        <f>IF($AB114="","",INDEX('ORDER Form'!$H$1:$H$355,$AB114)&amp;"")</f>
        <v/>
      </c>
      <c r="O114" s="50" t="str">
        <f>IF($AB114="","",INDEX('ORDER Form'!$I$1:$I$355,$AB114)&amp;"")</f>
        <v/>
      </c>
      <c r="P114" s="50" t="str">
        <f>IF($AB114="","",INDEX('ORDER Form'!$J$1:$J$355,$AB114)&amp;"")</f>
        <v/>
      </c>
      <c r="Q114" s="50" t="str">
        <f>IF($AB114="","",INDEX('ORDER Form'!$AB$1:$AB$355,$AB114)&amp;"")</f>
        <v/>
      </c>
      <c r="R114" s="50" t="str">
        <f>IF($AB114="","",INDEX('ORDER Form'!$L$1:$L$355,$AB114)&amp;"")</f>
        <v/>
      </c>
      <c r="S114" s="50" t="str">
        <f>IF($AB114="","",INDEX('ORDER Form'!$N$1:$N$355,$AB114)&amp;"")</f>
        <v/>
      </c>
      <c r="T114" s="50" t="str">
        <f>IF($AB114="","",IF($AD114,T$3,INDEX('ORDER Form'!$O$1:$O$355,$AB114))&amp;"")</f>
        <v/>
      </c>
      <c r="U114" s="50" t="str">
        <f>IF($AB114="","",IF($AD114,U$3,INDEX('ORDER Form'!$P$1:$P$355,$AB114))&amp;"")</f>
        <v/>
      </c>
      <c r="V114" s="50" t="str">
        <f>IF($AB114="","",IF($AD114,V$3,INDEX('ORDER Form'!$Q$1:$Q$355,$AB114))&amp;"")</f>
        <v/>
      </c>
      <c r="W114" s="50" t="str">
        <f>IF($AB114="","",IF($AD114,W$3,INDEX('ORDER Form'!$R$1:$R$355,$AB114))&amp;"")</f>
        <v/>
      </c>
      <c r="X114" s="50" t="str">
        <f>IF($AB114="","",IF($AD114,X$3,INDEX('ORDER Form'!$S$1:$S$355,$AB114))&amp;"")</f>
        <v/>
      </c>
      <c r="Y114" s="50" t="str">
        <f>IF($AB114="","",IF($AD114,Y$3,INDEX('ORDER Form'!$T$1:$T$355,$AB114))&amp;"")</f>
        <v/>
      </c>
      <c r="Z114" s="50" t="str">
        <f>IF($AB114="","",IF($AD114,Z$3,INDEX('ORDER Form'!$U$1:$U$355,$AB114))&amp;"")</f>
        <v/>
      </c>
      <c r="AB114" s="51" t="str">
        <f>IFERROR(MATCH(110,$AC$5:$AC$354,0)+5,"")</f>
        <v/>
      </c>
      <c r="AC114" s="51" t="str">
        <f>IF('ORDER Form'!$V115="OK",COUNTIF('ORDER Form'!$V$6:$V115,"OK"),"")</f>
        <v/>
      </c>
      <c r="AD114" s="51" t="str">
        <f>IF($AB114="","",(LEN(TRIM(INDEX('ORDER Form'!$O$1:$O$355,$AB114)))+LEN(TRIM(INDEX('ORDER Form'!$P$1:$P$355,$AB114)))+LEN(TRIM(INDEX('ORDER Form'!$Q$1:$Q$355,$AB114)))+LEN(TRIM(INDEX('ORDER Form'!$R$1:$R$355,$AB114)))+LEN(TRIM(INDEX('ORDER Form'!$S$1:$S$355,$AB114)))+LEN(TRIM(INDEX('ORDER Form'!$T$1:$T$355,$AB114)))+LEN(TRIM(INDEX('ORDER Form'!$U$1:$U$355,$AB114))))=0)</f>
        <v/>
      </c>
    </row>
    <row r="115" spans="1:30" ht="15" customHeight="1" x14ac:dyDescent="0.25">
      <c r="A115" s="50" t="str">
        <f>IF($AB115="","",IFERROR(IF(AND(INDEX('ORDER Form'!$N$1:$N$355,$AB115)="GB",LEFT(UPPER(TRIM(INDEX('ORDER Form'!$L$1:$L$355,$AB115))),2)="BT"),INDEX('ORDER Form'!$AC$1:$AC$355,$AB115),IFERROR(VLOOKUP(INDEX('ORDER Form'!$AC$1:$AC$355,$AB115)&amp;"|"&amp;INDEX('PRODUCT DATA'!$A$2:$A$58,MATCH(INDEX('ORDER Form'!$N$1:$N$355,$AB115),'PRODUCT DATA'!$B$2:$B$58,0)),'PRODUCT DATA'!$NO$2:$NP$25,2,FALSE()),INDEX('ORDER Form'!$AC$1:$AC$355,$AB115)))&amp;"",""))</f>
        <v/>
      </c>
      <c r="B115" s="49"/>
      <c r="C115" s="51" t="str">
        <f>IF($AB115="","",INDEX('ORDER Form'!$C$1:$C$355,$AB115))</f>
        <v/>
      </c>
      <c r="D115" s="49"/>
      <c r="E115" s="49"/>
      <c r="F115" s="49"/>
      <c r="G115" s="49"/>
      <c r="H115" s="49"/>
      <c r="I115" s="49"/>
      <c r="J115" s="50" t="str">
        <f>IF($AB115="","",INDEX('ORDER Form'!$D$1:$D$355,$AB115)&amp;"")</f>
        <v/>
      </c>
      <c r="K115" s="50" t="str">
        <f>IF($AB115="","",INDEX('ORDER Form'!$E$1:$E$355,$AB115)&amp;"")</f>
        <v/>
      </c>
      <c r="L115" s="50" t="str">
        <f>IF($AB115="","",INDEX('ORDER Form'!$F$1:$F$355,$AB115)&amp;"")</f>
        <v/>
      </c>
      <c r="M115" s="50" t="str">
        <f>IF($AB115="","",INDEX('ORDER Form'!$G$1:$G$355,$AB115)&amp;"")</f>
        <v/>
      </c>
      <c r="N115" s="50" t="str">
        <f>IF($AB115="","",INDEX('ORDER Form'!$H$1:$H$355,$AB115)&amp;"")</f>
        <v/>
      </c>
      <c r="O115" s="50" t="str">
        <f>IF($AB115="","",INDEX('ORDER Form'!$I$1:$I$355,$AB115)&amp;"")</f>
        <v/>
      </c>
      <c r="P115" s="50" t="str">
        <f>IF($AB115="","",INDEX('ORDER Form'!$J$1:$J$355,$AB115)&amp;"")</f>
        <v/>
      </c>
      <c r="Q115" s="50" t="str">
        <f>IF($AB115="","",INDEX('ORDER Form'!$AB$1:$AB$355,$AB115)&amp;"")</f>
        <v/>
      </c>
      <c r="R115" s="50" t="str">
        <f>IF($AB115="","",INDEX('ORDER Form'!$L$1:$L$355,$AB115)&amp;"")</f>
        <v/>
      </c>
      <c r="S115" s="50" t="str">
        <f>IF($AB115="","",INDEX('ORDER Form'!$N$1:$N$355,$AB115)&amp;"")</f>
        <v/>
      </c>
      <c r="T115" s="50" t="str">
        <f>IF($AB115="","",IF($AD115,T$3,INDEX('ORDER Form'!$O$1:$O$355,$AB115))&amp;"")</f>
        <v/>
      </c>
      <c r="U115" s="50" t="str">
        <f>IF($AB115="","",IF($AD115,U$3,INDEX('ORDER Form'!$P$1:$P$355,$AB115))&amp;"")</f>
        <v/>
      </c>
      <c r="V115" s="50" t="str">
        <f>IF($AB115="","",IF($AD115,V$3,INDEX('ORDER Form'!$Q$1:$Q$355,$AB115))&amp;"")</f>
        <v/>
      </c>
      <c r="W115" s="50" t="str">
        <f>IF($AB115="","",IF($AD115,W$3,INDEX('ORDER Form'!$R$1:$R$355,$AB115))&amp;"")</f>
        <v/>
      </c>
      <c r="X115" s="50" t="str">
        <f>IF($AB115="","",IF($AD115,X$3,INDEX('ORDER Form'!$S$1:$S$355,$AB115))&amp;"")</f>
        <v/>
      </c>
      <c r="Y115" s="50" t="str">
        <f>IF($AB115="","",IF($AD115,Y$3,INDEX('ORDER Form'!$T$1:$T$355,$AB115))&amp;"")</f>
        <v/>
      </c>
      <c r="Z115" s="50" t="str">
        <f>IF($AB115="","",IF($AD115,Z$3,INDEX('ORDER Form'!$U$1:$U$355,$AB115))&amp;"")</f>
        <v/>
      </c>
      <c r="AB115" s="51" t="str">
        <f>IFERROR(MATCH(111,$AC$5:$AC$354,0)+5,"")</f>
        <v/>
      </c>
      <c r="AC115" s="51" t="str">
        <f>IF('ORDER Form'!$V116="OK",COUNTIF('ORDER Form'!$V$6:$V116,"OK"),"")</f>
        <v/>
      </c>
      <c r="AD115" s="51" t="str">
        <f>IF($AB115="","",(LEN(TRIM(INDEX('ORDER Form'!$O$1:$O$355,$AB115)))+LEN(TRIM(INDEX('ORDER Form'!$P$1:$P$355,$AB115)))+LEN(TRIM(INDEX('ORDER Form'!$Q$1:$Q$355,$AB115)))+LEN(TRIM(INDEX('ORDER Form'!$R$1:$R$355,$AB115)))+LEN(TRIM(INDEX('ORDER Form'!$S$1:$S$355,$AB115)))+LEN(TRIM(INDEX('ORDER Form'!$T$1:$T$355,$AB115)))+LEN(TRIM(INDEX('ORDER Form'!$U$1:$U$355,$AB115))))=0)</f>
        <v/>
      </c>
    </row>
    <row r="116" spans="1:30" ht="15" customHeight="1" x14ac:dyDescent="0.25">
      <c r="A116" s="50" t="str">
        <f>IF($AB116="","",IFERROR(IF(AND(INDEX('ORDER Form'!$N$1:$N$355,$AB116)="GB",LEFT(UPPER(TRIM(INDEX('ORDER Form'!$L$1:$L$355,$AB116))),2)="BT"),INDEX('ORDER Form'!$AC$1:$AC$355,$AB116),IFERROR(VLOOKUP(INDEX('ORDER Form'!$AC$1:$AC$355,$AB116)&amp;"|"&amp;INDEX('PRODUCT DATA'!$A$2:$A$58,MATCH(INDEX('ORDER Form'!$N$1:$N$355,$AB116),'PRODUCT DATA'!$B$2:$B$58,0)),'PRODUCT DATA'!$NO$2:$NP$25,2,FALSE()),INDEX('ORDER Form'!$AC$1:$AC$355,$AB116)))&amp;"",""))</f>
        <v/>
      </c>
      <c r="B116" s="49"/>
      <c r="C116" s="51" t="str">
        <f>IF($AB116="","",INDEX('ORDER Form'!$C$1:$C$355,$AB116))</f>
        <v/>
      </c>
      <c r="D116" s="49"/>
      <c r="E116" s="49"/>
      <c r="F116" s="49"/>
      <c r="G116" s="49"/>
      <c r="H116" s="49"/>
      <c r="I116" s="49"/>
      <c r="J116" s="50" t="str">
        <f>IF($AB116="","",INDEX('ORDER Form'!$D$1:$D$355,$AB116)&amp;"")</f>
        <v/>
      </c>
      <c r="K116" s="50" t="str">
        <f>IF($AB116="","",INDEX('ORDER Form'!$E$1:$E$355,$AB116)&amp;"")</f>
        <v/>
      </c>
      <c r="L116" s="50" t="str">
        <f>IF($AB116="","",INDEX('ORDER Form'!$F$1:$F$355,$AB116)&amp;"")</f>
        <v/>
      </c>
      <c r="M116" s="50" t="str">
        <f>IF($AB116="","",INDEX('ORDER Form'!$G$1:$G$355,$AB116)&amp;"")</f>
        <v/>
      </c>
      <c r="N116" s="50" t="str">
        <f>IF($AB116="","",INDEX('ORDER Form'!$H$1:$H$355,$AB116)&amp;"")</f>
        <v/>
      </c>
      <c r="O116" s="50" t="str">
        <f>IF($AB116="","",INDEX('ORDER Form'!$I$1:$I$355,$AB116)&amp;"")</f>
        <v/>
      </c>
      <c r="P116" s="50" t="str">
        <f>IF($AB116="","",INDEX('ORDER Form'!$J$1:$J$355,$AB116)&amp;"")</f>
        <v/>
      </c>
      <c r="Q116" s="50" t="str">
        <f>IF($AB116="","",INDEX('ORDER Form'!$AB$1:$AB$355,$AB116)&amp;"")</f>
        <v/>
      </c>
      <c r="R116" s="50" t="str">
        <f>IF($AB116="","",INDEX('ORDER Form'!$L$1:$L$355,$AB116)&amp;"")</f>
        <v/>
      </c>
      <c r="S116" s="50" t="str">
        <f>IF($AB116="","",INDEX('ORDER Form'!$N$1:$N$355,$AB116)&amp;"")</f>
        <v/>
      </c>
      <c r="T116" s="50" t="str">
        <f>IF($AB116="","",IF($AD116,T$3,INDEX('ORDER Form'!$O$1:$O$355,$AB116))&amp;"")</f>
        <v/>
      </c>
      <c r="U116" s="50" t="str">
        <f>IF($AB116="","",IF($AD116,U$3,INDEX('ORDER Form'!$P$1:$P$355,$AB116))&amp;"")</f>
        <v/>
      </c>
      <c r="V116" s="50" t="str">
        <f>IF($AB116="","",IF($AD116,V$3,INDEX('ORDER Form'!$Q$1:$Q$355,$AB116))&amp;"")</f>
        <v/>
      </c>
      <c r="W116" s="50" t="str">
        <f>IF($AB116="","",IF($AD116,W$3,INDEX('ORDER Form'!$R$1:$R$355,$AB116))&amp;"")</f>
        <v/>
      </c>
      <c r="X116" s="50" t="str">
        <f>IF($AB116="","",IF($AD116,X$3,INDEX('ORDER Form'!$S$1:$S$355,$AB116))&amp;"")</f>
        <v/>
      </c>
      <c r="Y116" s="50" t="str">
        <f>IF($AB116="","",IF($AD116,Y$3,INDEX('ORDER Form'!$T$1:$T$355,$AB116))&amp;"")</f>
        <v/>
      </c>
      <c r="Z116" s="50" t="str">
        <f>IF($AB116="","",IF($AD116,Z$3,INDEX('ORDER Form'!$U$1:$U$355,$AB116))&amp;"")</f>
        <v/>
      </c>
      <c r="AB116" s="51" t="str">
        <f>IFERROR(MATCH(112,$AC$5:$AC$354,0)+5,"")</f>
        <v/>
      </c>
      <c r="AC116" s="51" t="str">
        <f>IF('ORDER Form'!$V117="OK",COUNTIF('ORDER Form'!$V$6:$V117,"OK"),"")</f>
        <v/>
      </c>
      <c r="AD116" s="51" t="str">
        <f>IF($AB116="","",(LEN(TRIM(INDEX('ORDER Form'!$O$1:$O$355,$AB116)))+LEN(TRIM(INDEX('ORDER Form'!$P$1:$P$355,$AB116)))+LEN(TRIM(INDEX('ORDER Form'!$Q$1:$Q$355,$AB116)))+LEN(TRIM(INDEX('ORDER Form'!$R$1:$R$355,$AB116)))+LEN(TRIM(INDEX('ORDER Form'!$S$1:$S$355,$AB116)))+LEN(TRIM(INDEX('ORDER Form'!$T$1:$T$355,$AB116)))+LEN(TRIM(INDEX('ORDER Form'!$U$1:$U$355,$AB116))))=0)</f>
        <v/>
      </c>
    </row>
    <row r="117" spans="1:30" ht="15" customHeight="1" x14ac:dyDescent="0.25">
      <c r="A117" s="50" t="str">
        <f>IF($AB117="","",IFERROR(IF(AND(INDEX('ORDER Form'!$N$1:$N$355,$AB117)="GB",LEFT(UPPER(TRIM(INDEX('ORDER Form'!$L$1:$L$355,$AB117))),2)="BT"),INDEX('ORDER Form'!$AC$1:$AC$355,$AB117),IFERROR(VLOOKUP(INDEX('ORDER Form'!$AC$1:$AC$355,$AB117)&amp;"|"&amp;INDEX('PRODUCT DATA'!$A$2:$A$58,MATCH(INDEX('ORDER Form'!$N$1:$N$355,$AB117),'PRODUCT DATA'!$B$2:$B$58,0)),'PRODUCT DATA'!$NO$2:$NP$25,2,FALSE()),INDEX('ORDER Form'!$AC$1:$AC$355,$AB117)))&amp;"",""))</f>
        <v/>
      </c>
      <c r="B117" s="49"/>
      <c r="C117" s="51" t="str">
        <f>IF($AB117="","",INDEX('ORDER Form'!$C$1:$C$355,$AB117))</f>
        <v/>
      </c>
      <c r="D117" s="49"/>
      <c r="E117" s="49"/>
      <c r="F117" s="49"/>
      <c r="G117" s="49"/>
      <c r="H117" s="49"/>
      <c r="I117" s="49"/>
      <c r="J117" s="50" t="str">
        <f>IF($AB117="","",INDEX('ORDER Form'!$D$1:$D$355,$AB117)&amp;"")</f>
        <v/>
      </c>
      <c r="K117" s="50" t="str">
        <f>IF($AB117="","",INDEX('ORDER Form'!$E$1:$E$355,$AB117)&amp;"")</f>
        <v/>
      </c>
      <c r="L117" s="50" t="str">
        <f>IF($AB117="","",INDEX('ORDER Form'!$F$1:$F$355,$AB117)&amp;"")</f>
        <v/>
      </c>
      <c r="M117" s="50" t="str">
        <f>IF($AB117="","",INDEX('ORDER Form'!$G$1:$G$355,$AB117)&amp;"")</f>
        <v/>
      </c>
      <c r="N117" s="50" t="str">
        <f>IF($AB117="","",INDEX('ORDER Form'!$H$1:$H$355,$AB117)&amp;"")</f>
        <v/>
      </c>
      <c r="O117" s="50" t="str">
        <f>IF($AB117="","",INDEX('ORDER Form'!$I$1:$I$355,$AB117)&amp;"")</f>
        <v/>
      </c>
      <c r="P117" s="50" t="str">
        <f>IF($AB117="","",INDEX('ORDER Form'!$J$1:$J$355,$AB117)&amp;"")</f>
        <v/>
      </c>
      <c r="Q117" s="50" t="str">
        <f>IF($AB117="","",INDEX('ORDER Form'!$AB$1:$AB$355,$AB117)&amp;"")</f>
        <v/>
      </c>
      <c r="R117" s="50" t="str">
        <f>IF($AB117="","",INDEX('ORDER Form'!$L$1:$L$355,$AB117)&amp;"")</f>
        <v/>
      </c>
      <c r="S117" s="50" t="str">
        <f>IF($AB117="","",INDEX('ORDER Form'!$N$1:$N$355,$AB117)&amp;"")</f>
        <v/>
      </c>
      <c r="T117" s="50" t="str">
        <f>IF($AB117="","",IF($AD117,T$3,INDEX('ORDER Form'!$O$1:$O$355,$AB117))&amp;"")</f>
        <v/>
      </c>
      <c r="U117" s="50" t="str">
        <f>IF($AB117="","",IF($AD117,U$3,INDEX('ORDER Form'!$P$1:$P$355,$AB117))&amp;"")</f>
        <v/>
      </c>
      <c r="V117" s="50" t="str">
        <f>IF($AB117="","",IF($AD117,V$3,INDEX('ORDER Form'!$Q$1:$Q$355,$AB117))&amp;"")</f>
        <v/>
      </c>
      <c r="W117" s="50" t="str">
        <f>IF($AB117="","",IF($AD117,W$3,INDEX('ORDER Form'!$R$1:$R$355,$AB117))&amp;"")</f>
        <v/>
      </c>
      <c r="X117" s="50" t="str">
        <f>IF($AB117="","",IF($AD117,X$3,INDEX('ORDER Form'!$S$1:$S$355,$AB117))&amp;"")</f>
        <v/>
      </c>
      <c r="Y117" s="50" t="str">
        <f>IF($AB117="","",IF($AD117,Y$3,INDEX('ORDER Form'!$T$1:$T$355,$AB117))&amp;"")</f>
        <v/>
      </c>
      <c r="Z117" s="50" t="str">
        <f>IF($AB117="","",IF($AD117,Z$3,INDEX('ORDER Form'!$U$1:$U$355,$AB117))&amp;"")</f>
        <v/>
      </c>
      <c r="AB117" s="51" t="str">
        <f>IFERROR(MATCH(113,$AC$5:$AC$354,0)+5,"")</f>
        <v/>
      </c>
      <c r="AC117" s="51" t="str">
        <f>IF('ORDER Form'!$V118="OK",COUNTIF('ORDER Form'!$V$6:$V118,"OK"),"")</f>
        <v/>
      </c>
      <c r="AD117" s="51" t="str">
        <f>IF($AB117="","",(LEN(TRIM(INDEX('ORDER Form'!$O$1:$O$355,$AB117)))+LEN(TRIM(INDEX('ORDER Form'!$P$1:$P$355,$AB117)))+LEN(TRIM(INDEX('ORDER Form'!$Q$1:$Q$355,$AB117)))+LEN(TRIM(INDEX('ORDER Form'!$R$1:$R$355,$AB117)))+LEN(TRIM(INDEX('ORDER Form'!$S$1:$S$355,$AB117)))+LEN(TRIM(INDEX('ORDER Form'!$T$1:$T$355,$AB117)))+LEN(TRIM(INDEX('ORDER Form'!$U$1:$U$355,$AB117))))=0)</f>
        <v/>
      </c>
    </row>
    <row r="118" spans="1:30" ht="15" customHeight="1" x14ac:dyDescent="0.25">
      <c r="A118" s="50" t="str">
        <f>IF($AB118="","",IFERROR(IF(AND(INDEX('ORDER Form'!$N$1:$N$355,$AB118)="GB",LEFT(UPPER(TRIM(INDEX('ORDER Form'!$L$1:$L$355,$AB118))),2)="BT"),INDEX('ORDER Form'!$AC$1:$AC$355,$AB118),IFERROR(VLOOKUP(INDEX('ORDER Form'!$AC$1:$AC$355,$AB118)&amp;"|"&amp;INDEX('PRODUCT DATA'!$A$2:$A$58,MATCH(INDEX('ORDER Form'!$N$1:$N$355,$AB118),'PRODUCT DATA'!$B$2:$B$58,0)),'PRODUCT DATA'!$NO$2:$NP$25,2,FALSE()),INDEX('ORDER Form'!$AC$1:$AC$355,$AB118)))&amp;"",""))</f>
        <v/>
      </c>
      <c r="B118" s="49"/>
      <c r="C118" s="51" t="str">
        <f>IF($AB118="","",INDEX('ORDER Form'!$C$1:$C$355,$AB118))</f>
        <v/>
      </c>
      <c r="D118" s="49"/>
      <c r="E118" s="49"/>
      <c r="F118" s="49"/>
      <c r="G118" s="49"/>
      <c r="H118" s="49"/>
      <c r="I118" s="49"/>
      <c r="J118" s="50" t="str">
        <f>IF($AB118="","",INDEX('ORDER Form'!$D$1:$D$355,$AB118)&amp;"")</f>
        <v/>
      </c>
      <c r="K118" s="50" t="str">
        <f>IF($AB118="","",INDEX('ORDER Form'!$E$1:$E$355,$AB118)&amp;"")</f>
        <v/>
      </c>
      <c r="L118" s="50" t="str">
        <f>IF($AB118="","",INDEX('ORDER Form'!$F$1:$F$355,$AB118)&amp;"")</f>
        <v/>
      </c>
      <c r="M118" s="50" t="str">
        <f>IF($AB118="","",INDEX('ORDER Form'!$G$1:$G$355,$AB118)&amp;"")</f>
        <v/>
      </c>
      <c r="N118" s="50" t="str">
        <f>IF($AB118="","",INDEX('ORDER Form'!$H$1:$H$355,$AB118)&amp;"")</f>
        <v/>
      </c>
      <c r="O118" s="50" t="str">
        <f>IF($AB118="","",INDEX('ORDER Form'!$I$1:$I$355,$AB118)&amp;"")</f>
        <v/>
      </c>
      <c r="P118" s="50" t="str">
        <f>IF($AB118="","",INDEX('ORDER Form'!$J$1:$J$355,$AB118)&amp;"")</f>
        <v/>
      </c>
      <c r="Q118" s="50" t="str">
        <f>IF($AB118="","",INDEX('ORDER Form'!$AB$1:$AB$355,$AB118)&amp;"")</f>
        <v/>
      </c>
      <c r="R118" s="50" t="str">
        <f>IF($AB118="","",INDEX('ORDER Form'!$L$1:$L$355,$AB118)&amp;"")</f>
        <v/>
      </c>
      <c r="S118" s="50" t="str">
        <f>IF($AB118="","",INDEX('ORDER Form'!$N$1:$N$355,$AB118)&amp;"")</f>
        <v/>
      </c>
      <c r="T118" s="50" t="str">
        <f>IF($AB118="","",IF($AD118,T$3,INDEX('ORDER Form'!$O$1:$O$355,$AB118))&amp;"")</f>
        <v/>
      </c>
      <c r="U118" s="50" t="str">
        <f>IF($AB118="","",IF($AD118,U$3,INDEX('ORDER Form'!$P$1:$P$355,$AB118))&amp;"")</f>
        <v/>
      </c>
      <c r="V118" s="50" t="str">
        <f>IF($AB118="","",IF($AD118,V$3,INDEX('ORDER Form'!$Q$1:$Q$355,$AB118))&amp;"")</f>
        <v/>
      </c>
      <c r="W118" s="50" t="str">
        <f>IF($AB118="","",IF($AD118,W$3,INDEX('ORDER Form'!$R$1:$R$355,$AB118))&amp;"")</f>
        <v/>
      </c>
      <c r="X118" s="50" t="str">
        <f>IF($AB118="","",IF($AD118,X$3,INDEX('ORDER Form'!$S$1:$S$355,$AB118))&amp;"")</f>
        <v/>
      </c>
      <c r="Y118" s="50" t="str">
        <f>IF($AB118="","",IF($AD118,Y$3,INDEX('ORDER Form'!$T$1:$T$355,$AB118))&amp;"")</f>
        <v/>
      </c>
      <c r="Z118" s="50" t="str">
        <f>IF($AB118="","",IF($AD118,Z$3,INDEX('ORDER Form'!$U$1:$U$355,$AB118))&amp;"")</f>
        <v/>
      </c>
      <c r="AB118" s="51" t="str">
        <f>IFERROR(MATCH(114,$AC$5:$AC$354,0)+5,"")</f>
        <v/>
      </c>
      <c r="AC118" s="51" t="str">
        <f>IF('ORDER Form'!$V119="OK",COUNTIF('ORDER Form'!$V$6:$V119,"OK"),"")</f>
        <v/>
      </c>
      <c r="AD118" s="51" t="str">
        <f>IF($AB118="","",(LEN(TRIM(INDEX('ORDER Form'!$O$1:$O$355,$AB118)))+LEN(TRIM(INDEX('ORDER Form'!$P$1:$P$355,$AB118)))+LEN(TRIM(INDEX('ORDER Form'!$Q$1:$Q$355,$AB118)))+LEN(TRIM(INDEX('ORDER Form'!$R$1:$R$355,$AB118)))+LEN(TRIM(INDEX('ORDER Form'!$S$1:$S$355,$AB118)))+LEN(TRIM(INDEX('ORDER Form'!$T$1:$T$355,$AB118)))+LEN(TRIM(INDEX('ORDER Form'!$U$1:$U$355,$AB118))))=0)</f>
        <v/>
      </c>
    </row>
    <row r="119" spans="1:30" ht="15" customHeight="1" x14ac:dyDescent="0.25">
      <c r="A119" s="50" t="str">
        <f>IF($AB119="","",IFERROR(IF(AND(INDEX('ORDER Form'!$N$1:$N$355,$AB119)="GB",LEFT(UPPER(TRIM(INDEX('ORDER Form'!$L$1:$L$355,$AB119))),2)="BT"),INDEX('ORDER Form'!$AC$1:$AC$355,$AB119),IFERROR(VLOOKUP(INDEX('ORDER Form'!$AC$1:$AC$355,$AB119)&amp;"|"&amp;INDEX('PRODUCT DATA'!$A$2:$A$58,MATCH(INDEX('ORDER Form'!$N$1:$N$355,$AB119),'PRODUCT DATA'!$B$2:$B$58,0)),'PRODUCT DATA'!$NO$2:$NP$25,2,FALSE()),INDEX('ORDER Form'!$AC$1:$AC$355,$AB119)))&amp;"",""))</f>
        <v/>
      </c>
      <c r="B119" s="49"/>
      <c r="C119" s="51" t="str">
        <f>IF($AB119="","",INDEX('ORDER Form'!$C$1:$C$355,$AB119))</f>
        <v/>
      </c>
      <c r="D119" s="49"/>
      <c r="E119" s="49"/>
      <c r="F119" s="49"/>
      <c r="G119" s="49"/>
      <c r="H119" s="49"/>
      <c r="I119" s="49"/>
      <c r="J119" s="50" t="str">
        <f>IF($AB119="","",INDEX('ORDER Form'!$D$1:$D$355,$AB119)&amp;"")</f>
        <v/>
      </c>
      <c r="K119" s="50" t="str">
        <f>IF($AB119="","",INDEX('ORDER Form'!$E$1:$E$355,$AB119)&amp;"")</f>
        <v/>
      </c>
      <c r="L119" s="50" t="str">
        <f>IF($AB119="","",INDEX('ORDER Form'!$F$1:$F$355,$AB119)&amp;"")</f>
        <v/>
      </c>
      <c r="M119" s="50" t="str">
        <f>IF($AB119="","",INDEX('ORDER Form'!$G$1:$G$355,$AB119)&amp;"")</f>
        <v/>
      </c>
      <c r="N119" s="50" t="str">
        <f>IF($AB119="","",INDEX('ORDER Form'!$H$1:$H$355,$AB119)&amp;"")</f>
        <v/>
      </c>
      <c r="O119" s="50" t="str">
        <f>IF($AB119="","",INDEX('ORDER Form'!$I$1:$I$355,$AB119)&amp;"")</f>
        <v/>
      </c>
      <c r="P119" s="50" t="str">
        <f>IF($AB119="","",INDEX('ORDER Form'!$J$1:$J$355,$AB119)&amp;"")</f>
        <v/>
      </c>
      <c r="Q119" s="50" t="str">
        <f>IF($AB119="","",INDEX('ORDER Form'!$AB$1:$AB$355,$AB119)&amp;"")</f>
        <v/>
      </c>
      <c r="R119" s="50" t="str">
        <f>IF($AB119="","",INDEX('ORDER Form'!$L$1:$L$355,$AB119)&amp;"")</f>
        <v/>
      </c>
      <c r="S119" s="50" t="str">
        <f>IF($AB119="","",INDEX('ORDER Form'!$N$1:$N$355,$AB119)&amp;"")</f>
        <v/>
      </c>
      <c r="T119" s="50" t="str">
        <f>IF($AB119="","",IF($AD119,T$3,INDEX('ORDER Form'!$O$1:$O$355,$AB119))&amp;"")</f>
        <v/>
      </c>
      <c r="U119" s="50" t="str">
        <f>IF($AB119="","",IF($AD119,U$3,INDEX('ORDER Form'!$P$1:$P$355,$AB119))&amp;"")</f>
        <v/>
      </c>
      <c r="V119" s="50" t="str">
        <f>IF($AB119="","",IF($AD119,V$3,INDEX('ORDER Form'!$Q$1:$Q$355,$AB119))&amp;"")</f>
        <v/>
      </c>
      <c r="W119" s="50" t="str">
        <f>IF($AB119="","",IF($AD119,W$3,INDEX('ORDER Form'!$R$1:$R$355,$AB119))&amp;"")</f>
        <v/>
      </c>
      <c r="X119" s="50" t="str">
        <f>IF($AB119="","",IF($AD119,X$3,INDEX('ORDER Form'!$S$1:$S$355,$AB119))&amp;"")</f>
        <v/>
      </c>
      <c r="Y119" s="50" t="str">
        <f>IF($AB119="","",IF($AD119,Y$3,INDEX('ORDER Form'!$T$1:$T$355,$AB119))&amp;"")</f>
        <v/>
      </c>
      <c r="Z119" s="50" t="str">
        <f>IF($AB119="","",IF($AD119,Z$3,INDEX('ORDER Form'!$U$1:$U$355,$AB119))&amp;"")</f>
        <v/>
      </c>
      <c r="AB119" s="51" t="str">
        <f>IFERROR(MATCH(115,$AC$5:$AC$354,0)+5,"")</f>
        <v/>
      </c>
      <c r="AC119" s="51" t="str">
        <f>IF('ORDER Form'!$V120="OK",COUNTIF('ORDER Form'!$V$6:$V120,"OK"),"")</f>
        <v/>
      </c>
      <c r="AD119" s="51" t="str">
        <f>IF($AB119="","",(LEN(TRIM(INDEX('ORDER Form'!$O$1:$O$355,$AB119)))+LEN(TRIM(INDEX('ORDER Form'!$P$1:$P$355,$AB119)))+LEN(TRIM(INDEX('ORDER Form'!$Q$1:$Q$355,$AB119)))+LEN(TRIM(INDEX('ORDER Form'!$R$1:$R$355,$AB119)))+LEN(TRIM(INDEX('ORDER Form'!$S$1:$S$355,$AB119)))+LEN(TRIM(INDEX('ORDER Form'!$T$1:$T$355,$AB119)))+LEN(TRIM(INDEX('ORDER Form'!$U$1:$U$355,$AB119))))=0)</f>
        <v/>
      </c>
    </row>
    <row r="120" spans="1:30" ht="15" customHeight="1" x14ac:dyDescent="0.25">
      <c r="A120" s="50" t="str">
        <f>IF($AB120="","",IFERROR(IF(AND(INDEX('ORDER Form'!$N$1:$N$355,$AB120)="GB",LEFT(UPPER(TRIM(INDEX('ORDER Form'!$L$1:$L$355,$AB120))),2)="BT"),INDEX('ORDER Form'!$AC$1:$AC$355,$AB120),IFERROR(VLOOKUP(INDEX('ORDER Form'!$AC$1:$AC$355,$AB120)&amp;"|"&amp;INDEX('PRODUCT DATA'!$A$2:$A$58,MATCH(INDEX('ORDER Form'!$N$1:$N$355,$AB120),'PRODUCT DATA'!$B$2:$B$58,0)),'PRODUCT DATA'!$NO$2:$NP$25,2,FALSE()),INDEX('ORDER Form'!$AC$1:$AC$355,$AB120)))&amp;"",""))</f>
        <v/>
      </c>
      <c r="B120" s="49"/>
      <c r="C120" s="51" t="str">
        <f>IF($AB120="","",INDEX('ORDER Form'!$C$1:$C$355,$AB120))</f>
        <v/>
      </c>
      <c r="D120" s="49"/>
      <c r="E120" s="49"/>
      <c r="F120" s="49"/>
      <c r="G120" s="49"/>
      <c r="H120" s="49"/>
      <c r="I120" s="49"/>
      <c r="J120" s="50" t="str">
        <f>IF($AB120="","",INDEX('ORDER Form'!$D$1:$D$355,$AB120)&amp;"")</f>
        <v/>
      </c>
      <c r="K120" s="50" t="str">
        <f>IF($AB120="","",INDEX('ORDER Form'!$E$1:$E$355,$AB120)&amp;"")</f>
        <v/>
      </c>
      <c r="L120" s="50" t="str">
        <f>IF($AB120="","",INDEX('ORDER Form'!$F$1:$F$355,$AB120)&amp;"")</f>
        <v/>
      </c>
      <c r="M120" s="50" t="str">
        <f>IF($AB120="","",INDEX('ORDER Form'!$G$1:$G$355,$AB120)&amp;"")</f>
        <v/>
      </c>
      <c r="N120" s="50" t="str">
        <f>IF($AB120="","",INDEX('ORDER Form'!$H$1:$H$355,$AB120)&amp;"")</f>
        <v/>
      </c>
      <c r="O120" s="50" t="str">
        <f>IF($AB120="","",INDEX('ORDER Form'!$I$1:$I$355,$AB120)&amp;"")</f>
        <v/>
      </c>
      <c r="P120" s="50" t="str">
        <f>IF($AB120="","",INDEX('ORDER Form'!$J$1:$J$355,$AB120)&amp;"")</f>
        <v/>
      </c>
      <c r="Q120" s="50" t="str">
        <f>IF($AB120="","",INDEX('ORDER Form'!$AB$1:$AB$355,$AB120)&amp;"")</f>
        <v/>
      </c>
      <c r="R120" s="50" t="str">
        <f>IF($AB120="","",INDEX('ORDER Form'!$L$1:$L$355,$AB120)&amp;"")</f>
        <v/>
      </c>
      <c r="S120" s="50" t="str">
        <f>IF($AB120="","",INDEX('ORDER Form'!$N$1:$N$355,$AB120)&amp;"")</f>
        <v/>
      </c>
      <c r="T120" s="50" t="str">
        <f>IF($AB120="","",IF($AD120,T$3,INDEX('ORDER Form'!$O$1:$O$355,$AB120))&amp;"")</f>
        <v/>
      </c>
      <c r="U120" s="50" t="str">
        <f>IF($AB120="","",IF($AD120,U$3,INDEX('ORDER Form'!$P$1:$P$355,$AB120))&amp;"")</f>
        <v/>
      </c>
      <c r="V120" s="50" t="str">
        <f>IF($AB120="","",IF($AD120,V$3,INDEX('ORDER Form'!$Q$1:$Q$355,$AB120))&amp;"")</f>
        <v/>
      </c>
      <c r="W120" s="50" t="str">
        <f>IF($AB120="","",IF($AD120,W$3,INDEX('ORDER Form'!$R$1:$R$355,$AB120))&amp;"")</f>
        <v/>
      </c>
      <c r="X120" s="50" t="str">
        <f>IF($AB120="","",IF($AD120,X$3,INDEX('ORDER Form'!$S$1:$S$355,$AB120))&amp;"")</f>
        <v/>
      </c>
      <c r="Y120" s="50" t="str">
        <f>IF($AB120="","",IF($AD120,Y$3,INDEX('ORDER Form'!$T$1:$T$355,$AB120))&amp;"")</f>
        <v/>
      </c>
      <c r="Z120" s="50" t="str">
        <f>IF($AB120="","",IF($AD120,Z$3,INDEX('ORDER Form'!$U$1:$U$355,$AB120))&amp;"")</f>
        <v/>
      </c>
      <c r="AB120" s="51" t="str">
        <f>IFERROR(MATCH(116,$AC$5:$AC$354,0)+5,"")</f>
        <v/>
      </c>
      <c r="AC120" s="51" t="str">
        <f>IF('ORDER Form'!$V121="OK",COUNTIF('ORDER Form'!$V$6:$V121,"OK"),"")</f>
        <v/>
      </c>
      <c r="AD120" s="51" t="str">
        <f>IF($AB120="","",(LEN(TRIM(INDEX('ORDER Form'!$O$1:$O$355,$AB120)))+LEN(TRIM(INDEX('ORDER Form'!$P$1:$P$355,$AB120)))+LEN(TRIM(INDEX('ORDER Form'!$Q$1:$Q$355,$AB120)))+LEN(TRIM(INDEX('ORDER Form'!$R$1:$R$355,$AB120)))+LEN(TRIM(INDEX('ORDER Form'!$S$1:$S$355,$AB120)))+LEN(TRIM(INDEX('ORDER Form'!$T$1:$T$355,$AB120)))+LEN(TRIM(INDEX('ORDER Form'!$U$1:$U$355,$AB120))))=0)</f>
        <v/>
      </c>
    </row>
    <row r="121" spans="1:30" ht="15" customHeight="1" x14ac:dyDescent="0.25">
      <c r="A121" s="50" t="str">
        <f>IF($AB121="","",IFERROR(IF(AND(INDEX('ORDER Form'!$N$1:$N$355,$AB121)="GB",LEFT(UPPER(TRIM(INDEX('ORDER Form'!$L$1:$L$355,$AB121))),2)="BT"),INDEX('ORDER Form'!$AC$1:$AC$355,$AB121),IFERROR(VLOOKUP(INDEX('ORDER Form'!$AC$1:$AC$355,$AB121)&amp;"|"&amp;INDEX('PRODUCT DATA'!$A$2:$A$58,MATCH(INDEX('ORDER Form'!$N$1:$N$355,$AB121),'PRODUCT DATA'!$B$2:$B$58,0)),'PRODUCT DATA'!$NO$2:$NP$25,2,FALSE()),INDEX('ORDER Form'!$AC$1:$AC$355,$AB121)))&amp;"",""))</f>
        <v/>
      </c>
      <c r="B121" s="49"/>
      <c r="C121" s="51" t="str">
        <f>IF($AB121="","",INDEX('ORDER Form'!$C$1:$C$355,$AB121))</f>
        <v/>
      </c>
      <c r="D121" s="49"/>
      <c r="E121" s="49"/>
      <c r="F121" s="49"/>
      <c r="G121" s="49"/>
      <c r="H121" s="49"/>
      <c r="I121" s="49"/>
      <c r="J121" s="50" t="str">
        <f>IF($AB121="","",INDEX('ORDER Form'!$D$1:$D$355,$AB121)&amp;"")</f>
        <v/>
      </c>
      <c r="K121" s="50" t="str">
        <f>IF($AB121="","",INDEX('ORDER Form'!$E$1:$E$355,$AB121)&amp;"")</f>
        <v/>
      </c>
      <c r="L121" s="50" t="str">
        <f>IF($AB121="","",INDEX('ORDER Form'!$F$1:$F$355,$AB121)&amp;"")</f>
        <v/>
      </c>
      <c r="M121" s="50" t="str">
        <f>IF($AB121="","",INDEX('ORDER Form'!$G$1:$G$355,$AB121)&amp;"")</f>
        <v/>
      </c>
      <c r="N121" s="50" t="str">
        <f>IF($AB121="","",INDEX('ORDER Form'!$H$1:$H$355,$AB121)&amp;"")</f>
        <v/>
      </c>
      <c r="O121" s="50" t="str">
        <f>IF($AB121="","",INDEX('ORDER Form'!$I$1:$I$355,$AB121)&amp;"")</f>
        <v/>
      </c>
      <c r="P121" s="50" t="str">
        <f>IF($AB121="","",INDEX('ORDER Form'!$J$1:$J$355,$AB121)&amp;"")</f>
        <v/>
      </c>
      <c r="Q121" s="50" t="str">
        <f>IF($AB121="","",INDEX('ORDER Form'!$AB$1:$AB$355,$AB121)&amp;"")</f>
        <v/>
      </c>
      <c r="R121" s="50" t="str">
        <f>IF($AB121="","",INDEX('ORDER Form'!$L$1:$L$355,$AB121)&amp;"")</f>
        <v/>
      </c>
      <c r="S121" s="50" t="str">
        <f>IF($AB121="","",INDEX('ORDER Form'!$N$1:$N$355,$AB121)&amp;"")</f>
        <v/>
      </c>
      <c r="T121" s="50" t="str">
        <f>IF($AB121="","",IF($AD121,T$3,INDEX('ORDER Form'!$O$1:$O$355,$AB121))&amp;"")</f>
        <v/>
      </c>
      <c r="U121" s="50" t="str">
        <f>IF($AB121="","",IF($AD121,U$3,INDEX('ORDER Form'!$P$1:$P$355,$AB121))&amp;"")</f>
        <v/>
      </c>
      <c r="V121" s="50" t="str">
        <f>IF($AB121="","",IF($AD121,V$3,INDEX('ORDER Form'!$Q$1:$Q$355,$AB121))&amp;"")</f>
        <v/>
      </c>
      <c r="W121" s="50" t="str">
        <f>IF($AB121="","",IF($AD121,W$3,INDEX('ORDER Form'!$R$1:$R$355,$AB121))&amp;"")</f>
        <v/>
      </c>
      <c r="X121" s="50" t="str">
        <f>IF($AB121="","",IF($AD121,X$3,INDEX('ORDER Form'!$S$1:$S$355,$AB121))&amp;"")</f>
        <v/>
      </c>
      <c r="Y121" s="50" t="str">
        <f>IF($AB121="","",IF($AD121,Y$3,INDEX('ORDER Form'!$T$1:$T$355,$AB121))&amp;"")</f>
        <v/>
      </c>
      <c r="Z121" s="50" t="str">
        <f>IF($AB121="","",IF($AD121,Z$3,INDEX('ORDER Form'!$U$1:$U$355,$AB121))&amp;"")</f>
        <v/>
      </c>
      <c r="AB121" s="51" t="str">
        <f>IFERROR(MATCH(117,$AC$5:$AC$354,0)+5,"")</f>
        <v/>
      </c>
      <c r="AC121" s="51" t="str">
        <f>IF('ORDER Form'!$V122="OK",COUNTIF('ORDER Form'!$V$6:$V122,"OK"),"")</f>
        <v/>
      </c>
      <c r="AD121" s="51" t="str">
        <f>IF($AB121="","",(LEN(TRIM(INDEX('ORDER Form'!$O$1:$O$355,$AB121)))+LEN(TRIM(INDEX('ORDER Form'!$P$1:$P$355,$AB121)))+LEN(TRIM(INDEX('ORDER Form'!$Q$1:$Q$355,$AB121)))+LEN(TRIM(INDEX('ORDER Form'!$R$1:$R$355,$AB121)))+LEN(TRIM(INDEX('ORDER Form'!$S$1:$S$355,$AB121)))+LEN(TRIM(INDEX('ORDER Form'!$T$1:$T$355,$AB121)))+LEN(TRIM(INDEX('ORDER Form'!$U$1:$U$355,$AB121))))=0)</f>
        <v/>
      </c>
    </row>
    <row r="122" spans="1:30" ht="15" customHeight="1" x14ac:dyDescent="0.25">
      <c r="A122" s="50" t="str">
        <f>IF($AB122="","",IFERROR(IF(AND(INDEX('ORDER Form'!$N$1:$N$355,$AB122)="GB",LEFT(UPPER(TRIM(INDEX('ORDER Form'!$L$1:$L$355,$AB122))),2)="BT"),INDEX('ORDER Form'!$AC$1:$AC$355,$AB122),IFERROR(VLOOKUP(INDEX('ORDER Form'!$AC$1:$AC$355,$AB122)&amp;"|"&amp;INDEX('PRODUCT DATA'!$A$2:$A$58,MATCH(INDEX('ORDER Form'!$N$1:$N$355,$AB122),'PRODUCT DATA'!$B$2:$B$58,0)),'PRODUCT DATA'!$NO$2:$NP$25,2,FALSE()),INDEX('ORDER Form'!$AC$1:$AC$355,$AB122)))&amp;"",""))</f>
        <v/>
      </c>
      <c r="B122" s="49"/>
      <c r="C122" s="51" t="str">
        <f>IF($AB122="","",INDEX('ORDER Form'!$C$1:$C$355,$AB122))</f>
        <v/>
      </c>
      <c r="D122" s="49"/>
      <c r="E122" s="49"/>
      <c r="F122" s="49"/>
      <c r="G122" s="49"/>
      <c r="H122" s="49"/>
      <c r="I122" s="49"/>
      <c r="J122" s="50" t="str">
        <f>IF($AB122="","",INDEX('ORDER Form'!$D$1:$D$355,$AB122)&amp;"")</f>
        <v/>
      </c>
      <c r="K122" s="50" t="str">
        <f>IF($AB122="","",INDEX('ORDER Form'!$E$1:$E$355,$AB122)&amp;"")</f>
        <v/>
      </c>
      <c r="L122" s="50" t="str">
        <f>IF($AB122="","",INDEX('ORDER Form'!$F$1:$F$355,$AB122)&amp;"")</f>
        <v/>
      </c>
      <c r="M122" s="50" t="str">
        <f>IF($AB122="","",INDEX('ORDER Form'!$G$1:$G$355,$AB122)&amp;"")</f>
        <v/>
      </c>
      <c r="N122" s="50" t="str">
        <f>IF($AB122="","",INDEX('ORDER Form'!$H$1:$H$355,$AB122)&amp;"")</f>
        <v/>
      </c>
      <c r="O122" s="50" t="str">
        <f>IF($AB122="","",INDEX('ORDER Form'!$I$1:$I$355,$AB122)&amp;"")</f>
        <v/>
      </c>
      <c r="P122" s="50" t="str">
        <f>IF($AB122="","",INDEX('ORDER Form'!$J$1:$J$355,$AB122)&amp;"")</f>
        <v/>
      </c>
      <c r="Q122" s="50" t="str">
        <f>IF($AB122="","",INDEX('ORDER Form'!$AB$1:$AB$355,$AB122)&amp;"")</f>
        <v/>
      </c>
      <c r="R122" s="50" t="str">
        <f>IF($AB122="","",INDEX('ORDER Form'!$L$1:$L$355,$AB122)&amp;"")</f>
        <v/>
      </c>
      <c r="S122" s="50" t="str">
        <f>IF($AB122="","",INDEX('ORDER Form'!$N$1:$N$355,$AB122)&amp;"")</f>
        <v/>
      </c>
      <c r="T122" s="50" t="str">
        <f>IF($AB122="","",IF($AD122,T$3,INDEX('ORDER Form'!$O$1:$O$355,$AB122))&amp;"")</f>
        <v/>
      </c>
      <c r="U122" s="50" t="str">
        <f>IF($AB122="","",IF($AD122,U$3,INDEX('ORDER Form'!$P$1:$P$355,$AB122))&amp;"")</f>
        <v/>
      </c>
      <c r="V122" s="50" t="str">
        <f>IF($AB122="","",IF($AD122,V$3,INDEX('ORDER Form'!$Q$1:$Q$355,$AB122))&amp;"")</f>
        <v/>
      </c>
      <c r="W122" s="50" t="str">
        <f>IF($AB122="","",IF($AD122,W$3,INDEX('ORDER Form'!$R$1:$R$355,$AB122))&amp;"")</f>
        <v/>
      </c>
      <c r="X122" s="50" t="str">
        <f>IF($AB122="","",IF($AD122,X$3,INDEX('ORDER Form'!$S$1:$S$355,$AB122))&amp;"")</f>
        <v/>
      </c>
      <c r="Y122" s="50" t="str">
        <f>IF($AB122="","",IF($AD122,Y$3,INDEX('ORDER Form'!$T$1:$T$355,$AB122))&amp;"")</f>
        <v/>
      </c>
      <c r="Z122" s="50" t="str">
        <f>IF($AB122="","",IF($AD122,Z$3,INDEX('ORDER Form'!$U$1:$U$355,$AB122))&amp;"")</f>
        <v/>
      </c>
      <c r="AB122" s="51" t="str">
        <f>IFERROR(MATCH(118,$AC$5:$AC$354,0)+5,"")</f>
        <v/>
      </c>
      <c r="AC122" s="51" t="str">
        <f>IF('ORDER Form'!$V123="OK",COUNTIF('ORDER Form'!$V$6:$V123,"OK"),"")</f>
        <v/>
      </c>
      <c r="AD122" s="51" t="str">
        <f>IF($AB122="","",(LEN(TRIM(INDEX('ORDER Form'!$O$1:$O$355,$AB122)))+LEN(TRIM(INDEX('ORDER Form'!$P$1:$P$355,$AB122)))+LEN(TRIM(INDEX('ORDER Form'!$Q$1:$Q$355,$AB122)))+LEN(TRIM(INDEX('ORDER Form'!$R$1:$R$355,$AB122)))+LEN(TRIM(INDEX('ORDER Form'!$S$1:$S$355,$AB122)))+LEN(TRIM(INDEX('ORDER Form'!$T$1:$T$355,$AB122)))+LEN(TRIM(INDEX('ORDER Form'!$U$1:$U$355,$AB122))))=0)</f>
        <v/>
      </c>
    </row>
    <row r="123" spans="1:30" ht="15" customHeight="1" x14ac:dyDescent="0.25">
      <c r="A123" s="50" t="str">
        <f>IF($AB123="","",IFERROR(IF(AND(INDEX('ORDER Form'!$N$1:$N$355,$AB123)="GB",LEFT(UPPER(TRIM(INDEX('ORDER Form'!$L$1:$L$355,$AB123))),2)="BT"),INDEX('ORDER Form'!$AC$1:$AC$355,$AB123),IFERROR(VLOOKUP(INDEX('ORDER Form'!$AC$1:$AC$355,$AB123)&amp;"|"&amp;INDEX('PRODUCT DATA'!$A$2:$A$58,MATCH(INDEX('ORDER Form'!$N$1:$N$355,$AB123),'PRODUCT DATA'!$B$2:$B$58,0)),'PRODUCT DATA'!$NO$2:$NP$25,2,FALSE()),INDEX('ORDER Form'!$AC$1:$AC$355,$AB123)))&amp;"",""))</f>
        <v/>
      </c>
      <c r="B123" s="49"/>
      <c r="C123" s="51" t="str">
        <f>IF($AB123="","",INDEX('ORDER Form'!$C$1:$C$355,$AB123))</f>
        <v/>
      </c>
      <c r="D123" s="49"/>
      <c r="E123" s="49"/>
      <c r="F123" s="49"/>
      <c r="G123" s="49"/>
      <c r="H123" s="49"/>
      <c r="I123" s="49"/>
      <c r="J123" s="50" t="str">
        <f>IF($AB123="","",INDEX('ORDER Form'!$D$1:$D$355,$AB123)&amp;"")</f>
        <v/>
      </c>
      <c r="K123" s="50" t="str">
        <f>IF($AB123="","",INDEX('ORDER Form'!$E$1:$E$355,$AB123)&amp;"")</f>
        <v/>
      </c>
      <c r="L123" s="50" t="str">
        <f>IF($AB123="","",INDEX('ORDER Form'!$F$1:$F$355,$AB123)&amp;"")</f>
        <v/>
      </c>
      <c r="M123" s="50" t="str">
        <f>IF($AB123="","",INDEX('ORDER Form'!$G$1:$G$355,$AB123)&amp;"")</f>
        <v/>
      </c>
      <c r="N123" s="50" t="str">
        <f>IF($AB123="","",INDEX('ORDER Form'!$H$1:$H$355,$AB123)&amp;"")</f>
        <v/>
      </c>
      <c r="O123" s="50" t="str">
        <f>IF($AB123="","",INDEX('ORDER Form'!$I$1:$I$355,$AB123)&amp;"")</f>
        <v/>
      </c>
      <c r="P123" s="50" t="str">
        <f>IF($AB123="","",INDEX('ORDER Form'!$J$1:$J$355,$AB123)&amp;"")</f>
        <v/>
      </c>
      <c r="Q123" s="50" t="str">
        <f>IF($AB123="","",INDEX('ORDER Form'!$AB$1:$AB$355,$AB123)&amp;"")</f>
        <v/>
      </c>
      <c r="R123" s="50" t="str">
        <f>IF($AB123="","",INDEX('ORDER Form'!$L$1:$L$355,$AB123)&amp;"")</f>
        <v/>
      </c>
      <c r="S123" s="50" t="str">
        <f>IF($AB123="","",INDEX('ORDER Form'!$N$1:$N$355,$AB123)&amp;"")</f>
        <v/>
      </c>
      <c r="T123" s="50" t="str">
        <f>IF($AB123="","",IF($AD123,T$3,INDEX('ORDER Form'!$O$1:$O$355,$AB123))&amp;"")</f>
        <v/>
      </c>
      <c r="U123" s="50" t="str">
        <f>IF($AB123="","",IF($AD123,U$3,INDEX('ORDER Form'!$P$1:$P$355,$AB123))&amp;"")</f>
        <v/>
      </c>
      <c r="V123" s="50" t="str">
        <f>IF($AB123="","",IF($AD123,V$3,INDEX('ORDER Form'!$Q$1:$Q$355,$AB123))&amp;"")</f>
        <v/>
      </c>
      <c r="W123" s="50" t="str">
        <f>IF($AB123="","",IF($AD123,W$3,INDEX('ORDER Form'!$R$1:$R$355,$AB123))&amp;"")</f>
        <v/>
      </c>
      <c r="X123" s="50" t="str">
        <f>IF($AB123="","",IF($AD123,X$3,INDEX('ORDER Form'!$S$1:$S$355,$AB123))&amp;"")</f>
        <v/>
      </c>
      <c r="Y123" s="50" t="str">
        <f>IF($AB123="","",IF($AD123,Y$3,INDEX('ORDER Form'!$T$1:$T$355,$AB123))&amp;"")</f>
        <v/>
      </c>
      <c r="Z123" s="50" t="str">
        <f>IF($AB123="","",IF($AD123,Z$3,INDEX('ORDER Form'!$U$1:$U$355,$AB123))&amp;"")</f>
        <v/>
      </c>
      <c r="AB123" s="51" t="str">
        <f>IFERROR(MATCH(119,$AC$5:$AC$354,0)+5,"")</f>
        <v/>
      </c>
      <c r="AC123" s="51" t="str">
        <f>IF('ORDER Form'!$V124="OK",COUNTIF('ORDER Form'!$V$6:$V124,"OK"),"")</f>
        <v/>
      </c>
      <c r="AD123" s="51" t="str">
        <f>IF($AB123="","",(LEN(TRIM(INDEX('ORDER Form'!$O$1:$O$355,$AB123)))+LEN(TRIM(INDEX('ORDER Form'!$P$1:$P$355,$AB123)))+LEN(TRIM(INDEX('ORDER Form'!$Q$1:$Q$355,$AB123)))+LEN(TRIM(INDEX('ORDER Form'!$R$1:$R$355,$AB123)))+LEN(TRIM(INDEX('ORDER Form'!$S$1:$S$355,$AB123)))+LEN(TRIM(INDEX('ORDER Form'!$T$1:$T$355,$AB123)))+LEN(TRIM(INDEX('ORDER Form'!$U$1:$U$355,$AB123))))=0)</f>
        <v/>
      </c>
    </row>
    <row r="124" spans="1:30" ht="15" customHeight="1" x14ac:dyDescent="0.25">
      <c r="A124" s="50" t="str">
        <f>IF($AB124="","",IFERROR(IF(AND(INDEX('ORDER Form'!$N$1:$N$355,$AB124)="GB",LEFT(UPPER(TRIM(INDEX('ORDER Form'!$L$1:$L$355,$AB124))),2)="BT"),INDEX('ORDER Form'!$AC$1:$AC$355,$AB124),IFERROR(VLOOKUP(INDEX('ORDER Form'!$AC$1:$AC$355,$AB124)&amp;"|"&amp;INDEX('PRODUCT DATA'!$A$2:$A$58,MATCH(INDEX('ORDER Form'!$N$1:$N$355,$AB124),'PRODUCT DATA'!$B$2:$B$58,0)),'PRODUCT DATA'!$NO$2:$NP$25,2,FALSE()),INDEX('ORDER Form'!$AC$1:$AC$355,$AB124)))&amp;"",""))</f>
        <v/>
      </c>
      <c r="B124" s="49"/>
      <c r="C124" s="51" t="str">
        <f>IF($AB124="","",INDEX('ORDER Form'!$C$1:$C$355,$AB124))</f>
        <v/>
      </c>
      <c r="D124" s="49"/>
      <c r="E124" s="49"/>
      <c r="F124" s="49"/>
      <c r="G124" s="49"/>
      <c r="H124" s="49"/>
      <c r="I124" s="49"/>
      <c r="J124" s="50" t="str">
        <f>IF($AB124="","",INDEX('ORDER Form'!$D$1:$D$355,$AB124)&amp;"")</f>
        <v/>
      </c>
      <c r="K124" s="50" t="str">
        <f>IF($AB124="","",INDEX('ORDER Form'!$E$1:$E$355,$AB124)&amp;"")</f>
        <v/>
      </c>
      <c r="L124" s="50" t="str">
        <f>IF($AB124="","",INDEX('ORDER Form'!$F$1:$F$355,$AB124)&amp;"")</f>
        <v/>
      </c>
      <c r="M124" s="50" t="str">
        <f>IF($AB124="","",INDEX('ORDER Form'!$G$1:$G$355,$AB124)&amp;"")</f>
        <v/>
      </c>
      <c r="N124" s="50" t="str">
        <f>IF($AB124="","",INDEX('ORDER Form'!$H$1:$H$355,$AB124)&amp;"")</f>
        <v/>
      </c>
      <c r="O124" s="50" t="str">
        <f>IF($AB124="","",INDEX('ORDER Form'!$I$1:$I$355,$AB124)&amp;"")</f>
        <v/>
      </c>
      <c r="P124" s="50" t="str">
        <f>IF($AB124="","",INDEX('ORDER Form'!$J$1:$J$355,$AB124)&amp;"")</f>
        <v/>
      </c>
      <c r="Q124" s="50" t="str">
        <f>IF($AB124="","",INDEX('ORDER Form'!$AB$1:$AB$355,$AB124)&amp;"")</f>
        <v/>
      </c>
      <c r="R124" s="50" t="str">
        <f>IF($AB124="","",INDEX('ORDER Form'!$L$1:$L$355,$AB124)&amp;"")</f>
        <v/>
      </c>
      <c r="S124" s="50" t="str">
        <f>IF($AB124="","",INDEX('ORDER Form'!$N$1:$N$355,$AB124)&amp;"")</f>
        <v/>
      </c>
      <c r="T124" s="50" t="str">
        <f>IF($AB124="","",IF($AD124,T$3,INDEX('ORDER Form'!$O$1:$O$355,$AB124))&amp;"")</f>
        <v/>
      </c>
      <c r="U124" s="50" t="str">
        <f>IF($AB124="","",IF($AD124,U$3,INDEX('ORDER Form'!$P$1:$P$355,$AB124))&amp;"")</f>
        <v/>
      </c>
      <c r="V124" s="50" t="str">
        <f>IF($AB124="","",IF($AD124,V$3,INDEX('ORDER Form'!$Q$1:$Q$355,$AB124))&amp;"")</f>
        <v/>
      </c>
      <c r="W124" s="50" t="str">
        <f>IF($AB124="","",IF($AD124,W$3,INDEX('ORDER Form'!$R$1:$R$355,$AB124))&amp;"")</f>
        <v/>
      </c>
      <c r="X124" s="50" t="str">
        <f>IF($AB124="","",IF($AD124,X$3,INDEX('ORDER Form'!$S$1:$S$355,$AB124))&amp;"")</f>
        <v/>
      </c>
      <c r="Y124" s="50" t="str">
        <f>IF($AB124="","",IF($AD124,Y$3,INDEX('ORDER Form'!$T$1:$T$355,$AB124))&amp;"")</f>
        <v/>
      </c>
      <c r="Z124" s="50" t="str">
        <f>IF($AB124="","",IF($AD124,Z$3,INDEX('ORDER Form'!$U$1:$U$355,$AB124))&amp;"")</f>
        <v/>
      </c>
      <c r="AB124" s="51" t="str">
        <f>IFERROR(MATCH(120,$AC$5:$AC$354,0)+5,"")</f>
        <v/>
      </c>
      <c r="AC124" s="51" t="str">
        <f>IF('ORDER Form'!$V125="OK",COUNTIF('ORDER Form'!$V$6:$V125,"OK"),"")</f>
        <v/>
      </c>
      <c r="AD124" s="51" t="str">
        <f>IF($AB124="","",(LEN(TRIM(INDEX('ORDER Form'!$O$1:$O$355,$AB124)))+LEN(TRIM(INDEX('ORDER Form'!$P$1:$P$355,$AB124)))+LEN(TRIM(INDEX('ORDER Form'!$Q$1:$Q$355,$AB124)))+LEN(TRIM(INDEX('ORDER Form'!$R$1:$R$355,$AB124)))+LEN(TRIM(INDEX('ORDER Form'!$S$1:$S$355,$AB124)))+LEN(TRIM(INDEX('ORDER Form'!$T$1:$T$355,$AB124)))+LEN(TRIM(INDEX('ORDER Form'!$U$1:$U$355,$AB124))))=0)</f>
        <v/>
      </c>
    </row>
    <row r="125" spans="1:30" ht="15" customHeight="1" x14ac:dyDescent="0.25">
      <c r="A125" s="50" t="str">
        <f>IF($AB125="","",IFERROR(IF(AND(INDEX('ORDER Form'!$N$1:$N$355,$AB125)="GB",LEFT(UPPER(TRIM(INDEX('ORDER Form'!$L$1:$L$355,$AB125))),2)="BT"),INDEX('ORDER Form'!$AC$1:$AC$355,$AB125),IFERROR(VLOOKUP(INDEX('ORDER Form'!$AC$1:$AC$355,$AB125)&amp;"|"&amp;INDEX('PRODUCT DATA'!$A$2:$A$58,MATCH(INDEX('ORDER Form'!$N$1:$N$355,$AB125),'PRODUCT DATA'!$B$2:$B$58,0)),'PRODUCT DATA'!$NO$2:$NP$25,2,FALSE()),INDEX('ORDER Form'!$AC$1:$AC$355,$AB125)))&amp;"",""))</f>
        <v/>
      </c>
      <c r="B125" s="49"/>
      <c r="C125" s="51" t="str">
        <f>IF($AB125="","",INDEX('ORDER Form'!$C$1:$C$355,$AB125))</f>
        <v/>
      </c>
      <c r="D125" s="49"/>
      <c r="E125" s="49"/>
      <c r="F125" s="49"/>
      <c r="G125" s="49"/>
      <c r="H125" s="49"/>
      <c r="I125" s="49"/>
      <c r="J125" s="50" t="str">
        <f>IF($AB125="","",INDEX('ORDER Form'!$D$1:$D$355,$AB125)&amp;"")</f>
        <v/>
      </c>
      <c r="K125" s="50" t="str">
        <f>IF($AB125="","",INDEX('ORDER Form'!$E$1:$E$355,$AB125)&amp;"")</f>
        <v/>
      </c>
      <c r="L125" s="50" t="str">
        <f>IF($AB125="","",INDEX('ORDER Form'!$F$1:$F$355,$AB125)&amp;"")</f>
        <v/>
      </c>
      <c r="M125" s="50" t="str">
        <f>IF($AB125="","",INDEX('ORDER Form'!$G$1:$G$355,$AB125)&amp;"")</f>
        <v/>
      </c>
      <c r="N125" s="50" t="str">
        <f>IF($AB125="","",INDEX('ORDER Form'!$H$1:$H$355,$AB125)&amp;"")</f>
        <v/>
      </c>
      <c r="O125" s="50" t="str">
        <f>IF($AB125="","",INDEX('ORDER Form'!$I$1:$I$355,$AB125)&amp;"")</f>
        <v/>
      </c>
      <c r="P125" s="50" t="str">
        <f>IF($AB125="","",INDEX('ORDER Form'!$J$1:$J$355,$AB125)&amp;"")</f>
        <v/>
      </c>
      <c r="Q125" s="50" t="str">
        <f>IF($AB125="","",INDEX('ORDER Form'!$AB$1:$AB$355,$AB125)&amp;"")</f>
        <v/>
      </c>
      <c r="R125" s="50" t="str">
        <f>IF($AB125="","",INDEX('ORDER Form'!$L$1:$L$355,$AB125)&amp;"")</f>
        <v/>
      </c>
      <c r="S125" s="50" t="str">
        <f>IF($AB125="","",INDEX('ORDER Form'!$N$1:$N$355,$AB125)&amp;"")</f>
        <v/>
      </c>
      <c r="T125" s="50" t="str">
        <f>IF($AB125="","",IF($AD125,T$3,INDEX('ORDER Form'!$O$1:$O$355,$AB125))&amp;"")</f>
        <v/>
      </c>
      <c r="U125" s="50" t="str">
        <f>IF($AB125="","",IF($AD125,U$3,INDEX('ORDER Form'!$P$1:$P$355,$AB125))&amp;"")</f>
        <v/>
      </c>
      <c r="V125" s="50" t="str">
        <f>IF($AB125="","",IF($AD125,V$3,INDEX('ORDER Form'!$Q$1:$Q$355,$AB125))&amp;"")</f>
        <v/>
      </c>
      <c r="W125" s="50" t="str">
        <f>IF($AB125="","",IF($AD125,W$3,INDEX('ORDER Form'!$R$1:$R$355,$AB125))&amp;"")</f>
        <v/>
      </c>
      <c r="X125" s="50" t="str">
        <f>IF($AB125="","",IF($AD125,X$3,INDEX('ORDER Form'!$S$1:$S$355,$AB125))&amp;"")</f>
        <v/>
      </c>
      <c r="Y125" s="50" t="str">
        <f>IF($AB125="","",IF($AD125,Y$3,INDEX('ORDER Form'!$T$1:$T$355,$AB125))&amp;"")</f>
        <v/>
      </c>
      <c r="Z125" s="50" t="str">
        <f>IF($AB125="","",IF($AD125,Z$3,INDEX('ORDER Form'!$U$1:$U$355,$AB125))&amp;"")</f>
        <v/>
      </c>
      <c r="AB125" s="51" t="str">
        <f>IFERROR(MATCH(121,$AC$5:$AC$354,0)+5,"")</f>
        <v/>
      </c>
      <c r="AC125" s="51" t="str">
        <f>IF('ORDER Form'!$V126="OK",COUNTIF('ORDER Form'!$V$6:$V126,"OK"),"")</f>
        <v/>
      </c>
      <c r="AD125" s="51" t="str">
        <f>IF($AB125="","",(LEN(TRIM(INDEX('ORDER Form'!$O$1:$O$355,$AB125)))+LEN(TRIM(INDEX('ORDER Form'!$P$1:$P$355,$AB125)))+LEN(TRIM(INDEX('ORDER Form'!$Q$1:$Q$355,$AB125)))+LEN(TRIM(INDEX('ORDER Form'!$R$1:$R$355,$AB125)))+LEN(TRIM(INDEX('ORDER Form'!$S$1:$S$355,$AB125)))+LEN(TRIM(INDEX('ORDER Form'!$T$1:$T$355,$AB125)))+LEN(TRIM(INDEX('ORDER Form'!$U$1:$U$355,$AB125))))=0)</f>
        <v/>
      </c>
    </row>
    <row r="126" spans="1:30" ht="15" customHeight="1" x14ac:dyDescent="0.25">
      <c r="A126" s="50" t="str">
        <f>IF($AB126="","",IFERROR(IF(AND(INDEX('ORDER Form'!$N$1:$N$355,$AB126)="GB",LEFT(UPPER(TRIM(INDEX('ORDER Form'!$L$1:$L$355,$AB126))),2)="BT"),INDEX('ORDER Form'!$AC$1:$AC$355,$AB126),IFERROR(VLOOKUP(INDEX('ORDER Form'!$AC$1:$AC$355,$AB126)&amp;"|"&amp;INDEX('PRODUCT DATA'!$A$2:$A$58,MATCH(INDEX('ORDER Form'!$N$1:$N$355,$AB126),'PRODUCT DATA'!$B$2:$B$58,0)),'PRODUCT DATA'!$NO$2:$NP$25,2,FALSE()),INDEX('ORDER Form'!$AC$1:$AC$355,$AB126)))&amp;"",""))</f>
        <v/>
      </c>
      <c r="B126" s="49"/>
      <c r="C126" s="51" t="str">
        <f>IF($AB126="","",INDEX('ORDER Form'!$C$1:$C$355,$AB126))</f>
        <v/>
      </c>
      <c r="D126" s="49"/>
      <c r="E126" s="49"/>
      <c r="F126" s="49"/>
      <c r="G126" s="49"/>
      <c r="H126" s="49"/>
      <c r="I126" s="49"/>
      <c r="J126" s="50" t="str">
        <f>IF($AB126="","",INDEX('ORDER Form'!$D$1:$D$355,$AB126)&amp;"")</f>
        <v/>
      </c>
      <c r="K126" s="50" t="str">
        <f>IF($AB126="","",INDEX('ORDER Form'!$E$1:$E$355,$AB126)&amp;"")</f>
        <v/>
      </c>
      <c r="L126" s="50" t="str">
        <f>IF($AB126="","",INDEX('ORDER Form'!$F$1:$F$355,$AB126)&amp;"")</f>
        <v/>
      </c>
      <c r="M126" s="50" t="str">
        <f>IF($AB126="","",INDEX('ORDER Form'!$G$1:$G$355,$AB126)&amp;"")</f>
        <v/>
      </c>
      <c r="N126" s="50" t="str">
        <f>IF($AB126="","",INDEX('ORDER Form'!$H$1:$H$355,$AB126)&amp;"")</f>
        <v/>
      </c>
      <c r="O126" s="50" t="str">
        <f>IF($AB126="","",INDEX('ORDER Form'!$I$1:$I$355,$AB126)&amp;"")</f>
        <v/>
      </c>
      <c r="P126" s="50" t="str">
        <f>IF($AB126="","",INDEX('ORDER Form'!$J$1:$J$355,$AB126)&amp;"")</f>
        <v/>
      </c>
      <c r="Q126" s="50" t="str">
        <f>IF($AB126="","",INDEX('ORDER Form'!$AB$1:$AB$355,$AB126)&amp;"")</f>
        <v/>
      </c>
      <c r="R126" s="50" t="str">
        <f>IF($AB126="","",INDEX('ORDER Form'!$L$1:$L$355,$AB126)&amp;"")</f>
        <v/>
      </c>
      <c r="S126" s="50" t="str">
        <f>IF($AB126="","",INDEX('ORDER Form'!$N$1:$N$355,$AB126)&amp;"")</f>
        <v/>
      </c>
      <c r="T126" s="50" t="str">
        <f>IF($AB126="","",IF($AD126,T$3,INDEX('ORDER Form'!$O$1:$O$355,$AB126))&amp;"")</f>
        <v/>
      </c>
      <c r="U126" s="50" t="str">
        <f>IF($AB126="","",IF($AD126,U$3,INDEX('ORDER Form'!$P$1:$P$355,$AB126))&amp;"")</f>
        <v/>
      </c>
      <c r="V126" s="50" t="str">
        <f>IF($AB126="","",IF($AD126,V$3,INDEX('ORDER Form'!$Q$1:$Q$355,$AB126))&amp;"")</f>
        <v/>
      </c>
      <c r="W126" s="50" t="str">
        <f>IF($AB126="","",IF($AD126,W$3,INDEX('ORDER Form'!$R$1:$R$355,$AB126))&amp;"")</f>
        <v/>
      </c>
      <c r="X126" s="50" t="str">
        <f>IF($AB126="","",IF($AD126,X$3,INDEX('ORDER Form'!$S$1:$S$355,$AB126))&amp;"")</f>
        <v/>
      </c>
      <c r="Y126" s="50" t="str">
        <f>IF($AB126="","",IF($AD126,Y$3,INDEX('ORDER Form'!$T$1:$T$355,$AB126))&amp;"")</f>
        <v/>
      </c>
      <c r="Z126" s="50" t="str">
        <f>IF($AB126="","",IF($AD126,Z$3,INDEX('ORDER Form'!$U$1:$U$355,$AB126))&amp;"")</f>
        <v/>
      </c>
      <c r="AB126" s="51" t="str">
        <f>IFERROR(MATCH(122,$AC$5:$AC$354,0)+5,"")</f>
        <v/>
      </c>
      <c r="AC126" s="51" t="str">
        <f>IF('ORDER Form'!$V127="OK",COUNTIF('ORDER Form'!$V$6:$V127,"OK"),"")</f>
        <v/>
      </c>
      <c r="AD126" s="51" t="str">
        <f>IF($AB126="","",(LEN(TRIM(INDEX('ORDER Form'!$O$1:$O$355,$AB126)))+LEN(TRIM(INDEX('ORDER Form'!$P$1:$P$355,$AB126)))+LEN(TRIM(INDEX('ORDER Form'!$Q$1:$Q$355,$AB126)))+LEN(TRIM(INDEX('ORDER Form'!$R$1:$R$355,$AB126)))+LEN(TRIM(INDEX('ORDER Form'!$S$1:$S$355,$AB126)))+LEN(TRIM(INDEX('ORDER Form'!$T$1:$T$355,$AB126)))+LEN(TRIM(INDEX('ORDER Form'!$U$1:$U$355,$AB126))))=0)</f>
        <v/>
      </c>
    </row>
    <row r="127" spans="1:30" ht="15" customHeight="1" x14ac:dyDescent="0.25">
      <c r="A127" s="50" t="str">
        <f>IF($AB127="","",IFERROR(IF(AND(INDEX('ORDER Form'!$N$1:$N$355,$AB127)="GB",LEFT(UPPER(TRIM(INDEX('ORDER Form'!$L$1:$L$355,$AB127))),2)="BT"),INDEX('ORDER Form'!$AC$1:$AC$355,$AB127),IFERROR(VLOOKUP(INDEX('ORDER Form'!$AC$1:$AC$355,$AB127)&amp;"|"&amp;INDEX('PRODUCT DATA'!$A$2:$A$58,MATCH(INDEX('ORDER Form'!$N$1:$N$355,$AB127),'PRODUCT DATA'!$B$2:$B$58,0)),'PRODUCT DATA'!$NO$2:$NP$25,2,FALSE()),INDEX('ORDER Form'!$AC$1:$AC$355,$AB127)))&amp;"",""))</f>
        <v/>
      </c>
      <c r="B127" s="49"/>
      <c r="C127" s="51" t="str">
        <f>IF($AB127="","",INDEX('ORDER Form'!$C$1:$C$355,$AB127))</f>
        <v/>
      </c>
      <c r="D127" s="49"/>
      <c r="E127" s="49"/>
      <c r="F127" s="49"/>
      <c r="G127" s="49"/>
      <c r="H127" s="49"/>
      <c r="I127" s="49"/>
      <c r="J127" s="50" t="str">
        <f>IF($AB127="","",INDEX('ORDER Form'!$D$1:$D$355,$AB127)&amp;"")</f>
        <v/>
      </c>
      <c r="K127" s="50" t="str">
        <f>IF($AB127="","",INDEX('ORDER Form'!$E$1:$E$355,$AB127)&amp;"")</f>
        <v/>
      </c>
      <c r="L127" s="50" t="str">
        <f>IF($AB127="","",INDEX('ORDER Form'!$F$1:$F$355,$AB127)&amp;"")</f>
        <v/>
      </c>
      <c r="M127" s="50" t="str">
        <f>IF($AB127="","",INDEX('ORDER Form'!$G$1:$G$355,$AB127)&amp;"")</f>
        <v/>
      </c>
      <c r="N127" s="50" t="str">
        <f>IF($AB127="","",INDEX('ORDER Form'!$H$1:$H$355,$AB127)&amp;"")</f>
        <v/>
      </c>
      <c r="O127" s="50" t="str">
        <f>IF($AB127="","",INDEX('ORDER Form'!$I$1:$I$355,$AB127)&amp;"")</f>
        <v/>
      </c>
      <c r="P127" s="50" t="str">
        <f>IF($AB127="","",INDEX('ORDER Form'!$J$1:$J$355,$AB127)&amp;"")</f>
        <v/>
      </c>
      <c r="Q127" s="50" t="str">
        <f>IF($AB127="","",INDEX('ORDER Form'!$AB$1:$AB$355,$AB127)&amp;"")</f>
        <v/>
      </c>
      <c r="R127" s="50" t="str">
        <f>IF($AB127="","",INDEX('ORDER Form'!$L$1:$L$355,$AB127)&amp;"")</f>
        <v/>
      </c>
      <c r="S127" s="50" t="str">
        <f>IF($AB127="","",INDEX('ORDER Form'!$N$1:$N$355,$AB127)&amp;"")</f>
        <v/>
      </c>
      <c r="T127" s="50" t="str">
        <f>IF($AB127="","",IF($AD127,T$3,INDEX('ORDER Form'!$O$1:$O$355,$AB127))&amp;"")</f>
        <v/>
      </c>
      <c r="U127" s="50" t="str">
        <f>IF($AB127="","",IF($AD127,U$3,INDEX('ORDER Form'!$P$1:$P$355,$AB127))&amp;"")</f>
        <v/>
      </c>
      <c r="V127" s="50" t="str">
        <f>IF($AB127="","",IF($AD127,V$3,INDEX('ORDER Form'!$Q$1:$Q$355,$AB127))&amp;"")</f>
        <v/>
      </c>
      <c r="W127" s="50" t="str">
        <f>IF($AB127="","",IF($AD127,W$3,INDEX('ORDER Form'!$R$1:$R$355,$AB127))&amp;"")</f>
        <v/>
      </c>
      <c r="X127" s="50" t="str">
        <f>IF($AB127="","",IF($AD127,X$3,INDEX('ORDER Form'!$S$1:$S$355,$AB127))&amp;"")</f>
        <v/>
      </c>
      <c r="Y127" s="50" t="str">
        <f>IF($AB127="","",IF($AD127,Y$3,INDEX('ORDER Form'!$T$1:$T$355,$AB127))&amp;"")</f>
        <v/>
      </c>
      <c r="Z127" s="50" t="str">
        <f>IF($AB127="","",IF($AD127,Z$3,INDEX('ORDER Form'!$U$1:$U$355,$AB127))&amp;"")</f>
        <v/>
      </c>
      <c r="AB127" s="51" t="str">
        <f>IFERROR(MATCH(123,$AC$5:$AC$354,0)+5,"")</f>
        <v/>
      </c>
      <c r="AC127" s="51" t="str">
        <f>IF('ORDER Form'!$V128="OK",COUNTIF('ORDER Form'!$V$6:$V128,"OK"),"")</f>
        <v/>
      </c>
      <c r="AD127" s="51" t="str">
        <f>IF($AB127="","",(LEN(TRIM(INDEX('ORDER Form'!$O$1:$O$355,$AB127)))+LEN(TRIM(INDEX('ORDER Form'!$P$1:$P$355,$AB127)))+LEN(TRIM(INDEX('ORDER Form'!$Q$1:$Q$355,$AB127)))+LEN(TRIM(INDEX('ORDER Form'!$R$1:$R$355,$AB127)))+LEN(TRIM(INDEX('ORDER Form'!$S$1:$S$355,$AB127)))+LEN(TRIM(INDEX('ORDER Form'!$T$1:$T$355,$AB127)))+LEN(TRIM(INDEX('ORDER Form'!$U$1:$U$355,$AB127))))=0)</f>
        <v/>
      </c>
    </row>
    <row r="128" spans="1:30" ht="15" customHeight="1" x14ac:dyDescent="0.25">
      <c r="A128" s="50" t="str">
        <f>IF($AB128="","",IFERROR(IF(AND(INDEX('ORDER Form'!$N$1:$N$355,$AB128)="GB",LEFT(UPPER(TRIM(INDEX('ORDER Form'!$L$1:$L$355,$AB128))),2)="BT"),INDEX('ORDER Form'!$AC$1:$AC$355,$AB128),IFERROR(VLOOKUP(INDEX('ORDER Form'!$AC$1:$AC$355,$AB128)&amp;"|"&amp;INDEX('PRODUCT DATA'!$A$2:$A$58,MATCH(INDEX('ORDER Form'!$N$1:$N$355,$AB128),'PRODUCT DATA'!$B$2:$B$58,0)),'PRODUCT DATA'!$NO$2:$NP$25,2,FALSE()),INDEX('ORDER Form'!$AC$1:$AC$355,$AB128)))&amp;"",""))</f>
        <v/>
      </c>
      <c r="B128" s="49"/>
      <c r="C128" s="51" t="str">
        <f>IF($AB128="","",INDEX('ORDER Form'!$C$1:$C$355,$AB128))</f>
        <v/>
      </c>
      <c r="D128" s="49"/>
      <c r="E128" s="49"/>
      <c r="F128" s="49"/>
      <c r="G128" s="49"/>
      <c r="H128" s="49"/>
      <c r="I128" s="49"/>
      <c r="J128" s="50" t="str">
        <f>IF($AB128="","",INDEX('ORDER Form'!$D$1:$D$355,$AB128)&amp;"")</f>
        <v/>
      </c>
      <c r="K128" s="50" t="str">
        <f>IF($AB128="","",INDEX('ORDER Form'!$E$1:$E$355,$AB128)&amp;"")</f>
        <v/>
      </c>
      <c r="L128" s="50" t="str">
        <f>IF($AB128="","",INDEX('ORDER Form'!$F$1:$F$355,$AB128)&amp;"")</f>
        <v/>
      </c>
      <c r="M128" s="50" t="str">
        <f>IF($AB128="","",INDEX('ORDER Form'!$G$1:$G$355,$AB128)&amp;"")</f>
        <v/>
      </c>
      <c r="N128" s="50" t="str">
        <f>IF($AB128="","",INDEX('ORDER Form'!$H$1:$H$355,$AB128)&amp;"")</f>
        <v/>
      </c>
      <c r="O128" s="50" t="str">
        <f>IF($AB128="","",INDEX('ORDER Form'!$I$1:$I$355,$AB128)&amp;"")</f>
        <v/>
      </c>
      <c r="P128" s="50" t="str">
        <f>IF($AB128="","",INDEX('ORDER Form'!$J$1:$J$355,$AB128)&amp;"")</f>
        <v/>
      </c>
      <c r="Q128" s="50" t="str">
        <f>IF($AB128="","",INDEX('ORDER Form'!$AB$1:$AB$355,$AB128)&amp;"")</f>
        <v/>
      </c>
      <c r="R128" s="50" t="str">
        <f>IF($AB128="","",INDEX('ORDER Form'!$L$1:$L$355,$AB128)&amp;"")</f>
        <v/>
      </c>
      <c r="S128" s="50" t="str">
        <f>IF($AB128="","",INDEX('ORDER Form'!$N$1:$N$355,$AB128)&amp;"")</f>
        <v/>
      </c>
      <c r="T128" s="50" t="str">
        <f>IF($AB128="","",IF($AD128,T$3,INDEX('ORDER Form'!$O$1:$O$355,$AB128))&amp;"")</f>
        <v/>
      </c>
      <c r="U128" s="50" t="str">
        <f>IF($AB128="","",IF($AD128,U$3,INDEX('ORDER Form'!$P$1:$P$355,$AB128))&amp;"")</f>
        <v/>
      </c>
      <c r="V128" s="50" t="str">
        <f>IF($AB128="","",IF($AD128,V$3,INDEX('ORDER Form'!$Q$1:$Q$355,$AB128))&amp;"")</f>
        <v/>
      </c>
      <c r="W128" s="50" t="str">
        <f>IF($AB128="","",IF($AD128,W$3,INDEX('ORDER Form'!$R$1:$R$355,$AB128))&amp;"")</f>
        <v/>
      </c>
      <c r="X128" s="50" t="str">
        <f>IF($AB128="","",IF($AD128,X$3,INDEX('ORDER Form'!$S$1:$S$355,$AB128))&amp;"")</f>
        <v/>
      </c>
      <c r="Y128" s="50" t="str">
        <f>IF($AB128="","",IF($AD128,Y$3,INDEX('ORDER Form'!$T$1:$T$355,$AB128))&amp;"")</f>
        <v/>
      </c>
      <c r="Z128" s="50" t="str">
        <f>IF($AB128="","",IF($AD128,Z$3,INDEX('ORDER Form'!$U$1:$U$355,$AB128))&amp;"")</f>
        <v/>
      </c>
      <c r="AB128" s="51" t="str">
        <f>IFERROR(MATCH(124,$AC$5:$AC$354,0)+5,"")</f>
        <v/>
      </c>
      <c r="AC128" s="51" t="str">
        <f>IF('ORDER Form'!$V129="OK",COUNTIF('ORDER Form'!$V$6:$V129,"OK"),"")</f>
        <v/>
      </c>
      <c r="AD128" s="51" t="str">
        <f>IF($AB128="","",(LEN(TRIM(INDEX('ORDER Form'!$O$1:$O$355,$AB128)))+LEN(TRIM(INDEX('ORDER Form'!$P$1:$P$355,$AB128)))+LEN(TRIM(INDEX('ORDER Form'!$Q$1:$Q$355,$AB128)))+LEN(TRIM(INDEX('ORDER Form'!$R$1:$R$355,$AB128)))+LEN(TRIM(INDEX('ORDER Form'!$S$1:$S$355,$AB128)))+LEN(TRIM(INDEX('ORDER Form'!$T$1:$T$355,$AB128)))+LEN(TRIM(INDEX('ORDER Form'!$U$1:$U$355,$AB128))))=0)</f>
        <v/>
      </c>
    </row>
    <row r="129" spans="1:30" ht="15" customHeight="1" x14ac:dyDescent="0.25">
      <c r="A129" s="50" t="str">
        <f>IF($AB129="","",IFERROR(IF(AND(INDEX('ORDER Form'!$N$1:$N$355,$AB129)="GB",LEFT(UPPER(TRIM(INDEX('ORDER Form'!$L$1:$L$355,$AB129))),2)="BT"),INDEX('ORDER Form'!$AC$1:$AC$355,$AB129),IFERROR(VLOOKUP(INDEX('ORDER Form'!$AC$1:$AC$355,$AB129)&amp;"|"&amp;INDEX('PRODUCT DATA'!$A$2:$A$58,MATCH(INDEX('ORDER Form'!$N$1:$N$355,$AB129),'PRODUCT DATA'!$B$2:$B$58,0)),'PRODUCT DATA'!$NO$2:$NP$25,2,FALSE()),INDEX('ORDER Form'!$AC$1:$AC$355,$AB129)))&amp;"",""))</f>
        <v/>
      </c>
      <c r="B129" s="49"/>
      <c r="C129" s="51" t="str">
        <f>IF($AB129="","",INDEX('ORDER Form'!$C$1:$C$355,$AB129))</f>
        <v/>
      </c>
      <c r="D129" s="49"/>
      <c r="E129" s="49"/>
      <c r="F129" s="49"/>
      <c r="G129" s="49"/>
      <c r="H129" s="49"/>
      <c r="I129" s="49"/>
      <c r="J129" s="50" t="str">
        <f>IF($AB129="","",INDEX('ORDER Form'!$D$1:$D$355,$AB129)&amp;"")</f>
        <v/>
      </c>
      <c r="K129" s="50" t="str">
        <f>IF($AB129="","",INDEX('ORDER Form'!$E$1:$E$355,$AB129)&amp;"")</f>
        <v/>
      </c>
      <c r="L129" s="50" t="str">
        <f>IF($AB129="","",INDEX('ORDER Form'!$F$1:$F$355,$AB129)&amp;"")</f>
        <v/>
      </c>
      <c r="M129" s="50" t="str">
        <f>IF($AB129="","",INDEX('ORDER Form'!$G$1:$G$355,$AB129)&amp;"")</f>
        <v/>
      </c>
      <c r="N129" s="50" t="str">
        <f>IF($AB129="","",INDEX('ORDER Form'!$H$1:$H$355,$AB129)&amp;"")</f>
        <v/>
      </c>
      <c r="O129" s="50" t="str">
        <f>IF($AB129="","",INDEX('ORDER Form'!$I$1:$I$355,$AB129)&amp;"")</f>
        <v/>
      </c>
      <c r="P129" s="50" t="str">
        <f>IF($AB129="","",INDEX('ORDER Form'!$J$1:$J$355,$AB129)&amp;"")</f>
        <v/>
      </c>
      <c r="Q129" s="50" t="str">
        <f>IF($AB129="","",INDEX('ORDER Form'!$AB$1:$AB$355,$AB129)&amp;"")</f>
        <v/>
      </c>
      <c r="R129" s="50" t="str">
        <f>IF($AB129="","",INDEX('ORDER Form'!$L$1:$L$355,$AB129)&amp;"")</f>
        <v/>
      </c>
      <c r="S129" s="50" t="str">
        <f>IF($AB129="","",INDEX('ORDER Form'!$N$1:$N$355,$AB129)&amp;"")</f>
        <v/>
      </c>
      <c r="T129" s="50" t="str">
        <f>IF($AB129="","",IF($AD129,T$3,INDEX('ORDER Form'!$O$1:$O$355,$AB129))&amp;"")</f>
        <v/>
      </c>
      <c r="U129" s="50" t="str">
        <f>IF($AB129="","",IF($AD129,U$3,INDEX('ORDER Form'!$P$1:$P$355,$AB129))&amp;"")</f>
        <v/>
      </c>
      <c r="V129" s="50" t="str">
        <f>IF($AB129="","",IF($AD129,V$3,INDEX('ORDER Form'!$Q$1:$Q$355,$AB129))&amp;"")</f>
        <v/>
      </c>
      <c r="W129" s="50" t="str">
        <f>IF($AB129="","",IF($AD129,W$3,INDEX('ORDER Form'!$R$1:$R$355,$AB129))&amp;"")</f>
        <v/>
      </c>
      <c r="X129" s="50" t="str">
        <f>IF($AB129="","",IF($AD129,X$3,INDEX('ORDER Form'!$S$1:$S$355,$AB129))&amp;"")</f>
        <v/>
      </c>
      <c r="Y129" s="50" t="str">
        <f>IF($AB129="","",IF($AD129,Y$3,INDEX('ORDER Form'!$T$1:$T$355,$AB129))&amp;"")</f>
        <v/>
      </c>
      <c r="Z129" s="50" t="str">
        <f>IF($AB129="","",IF($AD129,Z$3,INDEX('ORDER Form'!$U$1:$U$355,$AB129))&amp;"")</f>
        <v/>
      </c>
      <c r="AB129" s="51" t="str">
        <f>IFERROR(MATCH(125,$AC$5:$AC$354,0)+5,"")</f>
        <v/>
      </c>
      <c r="AC129" s="51" t="str">
        <f>IF('ORDER Form'!$V130="OK",COUNTIF('ORDER Form'!$V$6:$V130,"OK"),"")</f>
        <v/>
      </c>
      <c r="AD129" s="51" t="str">
        <f>IF($AB129="","",(LEN(TRIM(INDEX('ORDER Form'!$O$1:$O$355,$AB129)))+LEN(TRIM(INDEX('ORDER Form'!$P$1:$P$355,$AB129)))+LEN(TRIM(INDEX('ORDER Form'!$Q$1:$Q$355,$AB129)))+LEN(TRIM(INDEX('ORDER Form'!$R$1:$R$355,$AB129)))+LEN(TRIM(INDEX('ORDER Form'!$S$1:$S$355,$AB129)))+LEN(TRIM(INDEX('ORDER Form'!$T$1:$T$355,$AB129)))+LEN(TRIM(INDEX('ORDER Form'!$U$1:$U$355,$AB129))))=0)</f>
        <v/>
      </c>
    </row>
    <row r="130" spans="1:30" ht="15" customHeight="1" x14ac:dyDescent="0.25">
      <c r="A130" s="50" t="str">
        <f>IF($AB130="","",IFERROR(IF(AND(INDEX('ORDER Form'!$N$1:$N$355,$AB130)="GB",LEFT(UPPER(TRIM(INDEX('ORDER Form'!$L$1:$L$355,$AB130))),2)="BT"),INDEX('ORDER Form'!$AC$1:$AC$355,$AB130),IFERROR(VLOOKUP(INDEX('ORDER Form'!$AC$1:$AC$355,$AB130)&amp;"|"&amp;INDEX('PRODUCT DATA'!$A$2:$A$58,MATCH(INDEX('ORDER Form'!$N$1:$N$355,$AB130),'PRODUCT DATA'!$B$2:$B$58,0)),'PRODUCT DATA'!$NO$2:$NP$25,2,FALSE()),INDEX('ORDER Form'!$AC$1:$AC$355,$AB130)))&amp;"",""))</f>
        <v/>
      </c>
      <c r="B130" s="49"/>
      <c r="C130" s="51" t="str">
        <f>IF($AB130="","",INDEX('ORDER Form'!$C$1:$C$355,$AB130))</f>
        <v/>
      </c>
      <c r="D130" s="49"/>
      <c r="E130" s="49"/>
      <c r="F130" s="49"/>
      <c r="G130" s="49"/>
      <c r="H130" s="49"/>
      <c r="I130" s="49"/>
      <c r="J130" s="50" t="str">
        <f>IF($AB130="","",INDEX('ORDER Form'!$D$1:$D$355,$AB130)&amp;"")</f>
        <v/>
      </c>
      <c r="K130" s="50" t="str">
        <f>IF($AB130="","",INDEX('ORDER Form'!$E$1:$E$355,$AB130)&amp;"")</f>
        <v/>
      </c>
      <c r="L130" s="50" t="str">
        <f>IF($AB130="","",INDEX('ORDER Form'!$F$1:$F$355,$AB130)&amp;"")</f>
        <v/>
      </c>
      <c r="M130" s="50" t="str">
        <f>IF($AB130="","",INDEX('ORDER Form'!$G$1:$G$355,$AB130)&amp;"")</f>
        <v/>
      </c>
      <c r="N130" s="50" t="str">
        <f>IF($AB130="","",INDEX('ORDER Form'!$H$1:$H$355,$AB130)&amp;"")</f>
        <v/>
      </c>
      <c r="O130" s="50" t="str">
        <f>IF($AB130="","",INDEX('ORDER Form'!$I$1:$I$355,$AB130)&amp;"")</f>
        <v/>
      </c>
      <c r="P130" s="50" t="str">
        <f>IF($AB130="","",INDEX('ORDER Form'!$J$1:$J$355,$AB130)&amp;"")</f>
        <v/>
      </c>
      <c r="Q130" s="50" t="str">
        <f>IF($AB130="","",INDEX('ORDER Form'!$AB$1:$AB$355,$AB130)&amp;"")</f>
        <v/>
      </c>
      <c r="R130" s="50" t="str">
        <f>IF($AB130="","",INDEX('ORDER Form'!$L$1:$L$355,$AB130)&amp;"")</f>
        <v/>
      </c>
      <c r="S130" s="50" t="str">
        <f>IF($AB130="","",INDEX('ORDER Form'!$N$1:$N$355,$AB130)&amp;"")</f>
        <v/>
      </c>
      <c r="T130" s="50" t="str">
        <f>IF($AB130="","",IF($AD130,T$3,INDEX('ORDER Form'!$O$1:$O$355,$AB130))&amp;"")</f>
        <v/>
      </c>
      <c r="U130" s="50" t="str">
        <f>IF($AB130="","",IF($AD130,U$3,INDEX('ORDER Form'!$P$1:$P$355,$AB130))&amp;"")</f>
        <v/>
      </c>
      <c r="V130" s="50" t="str">
        <f>IF($AB130="","",IF($AD130,V$3,INDEX('ORDER Form'!$Q$1:$Q$355,$AB130))&amp;"")</f>
        <v/>
      </c>
      <c r="W130" s="50" t="str">
        <f>IF($AB130="","",IF($AD130,W$3,INDEX('ORDER Form'!$R$1:$R$355,$AB130))&amp;"")</f>
        <v/>
      </c>
      <c r="X130" s="50" t="str">
        <f>IF($AB130="","",IF($AD130,X$3,INDEX('ORDER Form'!$S$1:$S$355,$AB130))&amp;"")</f>
        <v/>
      </c>
      <c r="Y130" s="50" t="str">
        <f>IF($AB130="","",IF($AD130,Y$3,INDEX('ORDER Form'!$T$1:$T$355,$AB130))&amp;"")</f>
        <v/>
      </c>
      <c r="Z130" s="50" t="str">
        <f>IF($AB130="","",IF($AD130,Z$3,INDEX('ORDER Form'!$U$1:$U$355,$AB130))&amp;"")</f>
        <v/>
      </c>
      <c r="AB130" s="51" t="str">
        <f>IFERROR(MATCH(126,$AC$5:$AC$354,0)+5,"")</f>
        <v/>
      </c>
      <c r="AC130" s="51" t="str">
        <f>IF('ORDER Form'!$V131="OK",COUNTIF('ORDER Form'!$V$6:$V131,"OK"),"")</f>
        <v/>
      </c>
      <c r="AD130" s="51" t="str">
        <f>IF($AB130="","",(LEN(TRIM(INDEX('ORDER Form'!$O$1:$O$355,$AB130)))+LEN(TRIM(INDEX('ORDER Form'!$P$1:$P$355,$AB130)))+LEN(TRIM(INDEX('ORDER Form'!$Q$1:$Q$355,$AB130)))+LEN(TRIM(INDEX('ORDER Form'!$R$1:$R$355,$AB130)))+LEN(TRIM(INDEX('ORDER Form'!$S$1:$S$355,$AB130)))+LEN(TRIM(INDEX('ORDER Form'!$T$1:$T$355,$AB130)))+LEN(TRIM(INDEX('ORDER Form'!$U$1:$U$355,$AB130))))=0)</f>
        <v/>
      </c>
    </row>
    <row r="131" spans="1:30" ht="15" customHeight="1" x14ac:dyDescent="0.25">
      <c r="A131" s="50" t="str">
        <f>IF($AB131="","",IFERROR(IF(AND(INDEX('ORDER Form'!$N$1:$N$355,$AB131)="GB",LEFT(UPPER(TRIM(INDEX('ORDER Form'!$L$1:$L$355,$AB131))),2)="BT"),INDEX('ORDER Form'!$AC$1:$AC$355,$AB131),IFERROR(VLOOKUP(INDEX('ORDER Form'!$AC$1:$AC$355,$AB131)&amp;"|"&amp;INDEX('PRODUCT DATA'!$A$2:$A$58,MATCH(INDEX('ORDER Form'!$N$1:$N$355,$AB131),'PRODUCT DATA'!$B$2:$B$58,0)),'PRODUCT DATA'!$NO$2:$NP$25,2,FALSE()),INDEX('ORDER Form'!$AC$1:$AC$355,$AB131)))&amp;"",""))</f>
        <v/>
      </c>
      <c r="B131" s="49"/>
      <c r="C131" s="51" t="str">
        <f>IF($AB131="","",INDEX('ORDER Form'!$C$1:$C$355,$AB131))</f>
        <v/>
      </c>
      <c r="D131" s="49"/>
      <c r="E131" s="49"/>
      <c r="F131" s="49"/>
      <c r="G131" s="49"/>
      <c r="H131" s="49"/>
      <c r="I131" s="49"/>
      <c r="J131" s="50" t="str">
        <f>IF($AB131="","",INDEX('ORDER Form'!$D$1:$D$355,$AB131)&amp;"")</f>
        <v/>
      </c>
      <c r="K131" s="50" t="str">
        <f>IF($AB131="","",INDEX('ORDER Form'!$E$1:$E$355,$AB131)&amp;"")</f>
        <v/>
      </c>
      <c r="L131" s="50" t="str">
        <f>IF($AB131="","",INDEX('ORDER Form'!$F$1:$F$355,$AB131)&amp;"")</f>
        <v/>
      </c>
      <c r="M131" s="50" t="str">
        <f>IF($AB131="","",INDEX('ORDER Form'!$G$1:$G$355,$AB131)&amp;"")</f>
        <v/>
      </c>
      <c r="N131" s="50" t="str">
        <f>IF($AB131="","",INDEX('ORDER Form'!$H$1:$H$355,$AB131)&amp;"")</f>
        <v/>
      </c>
      <c r="O131" s="50" t="str">
        <f>IF($AB131="","",INDEX('ORDER Form'!$I$1:$I$355,$AB131)&amp;"")</f>
        <v/>
      </c>
      <c r="P131" s="50" t="str">
        <f>IF($AB131="","",INDEX('ORDER Form'!$J$1:$J$355,$AB131)&amp;"")</f>
        <v/>
      </c>
      <c r="Q131" s="50" t="str">
        <f>IF($AB131="","",INDEX('ORDER Form'!$AB$1:$AB$355,$AB131)&amp;"")</f>
        <v/>
      </c>
      <c r="R131" s="50" t="str">
        <f>IF($AB131="","",INDEX('ORDER Form'!$L$1:$L$355,$AB131)&amp;"")</f>
        <v/>
      </c>
      <c r="S131" s="50" t="str">
        <f>IF($AB131="","",INDEX('ORDER Form'!$N$1:$N$355,$AB131)&amp;"")</f>
        <v/>
      </c>
      <c r="T131" s="50" t="str">
        <f>IF($AB131="","",IF($AD131,T$3,INDEX('ORDER Form'!$O$1:$O$355,$AB131))&amp;"")</f>
        <v/>
      </c>
      <c r="U131" s="50" t="str">
        <f>IF($AB131="","",IF($AD131,U$3,INDEX('ORDER Form'!$P$1:$P$355,$AB131))&amp;"")</f>
        <v/>
      </c>
      <c r="V131" s="50" t="str">
        <f>IF($AB131="","",IF($AD131,V$3,INDEX('ORDER Form'!$Q$1:$Q$355,$AB131))&amp;"")</f>
        <v/>
      </c>
      <c r="W131" s="50" t="str">
        <f>IF($AB131="","",IF($AD131,W$3,INDEX('ORDER Form'!$R$1:$R$355,$AB131))&amp;"")</f>
        <v/>
      </c>
      <c r="X131" s="50" t="str">
        <f>IF($AB131="","",IF($AD131,X$3,INDEX('ORDER Form'!$S$1:$S$355,$AB131))&amp;"")</f>
        <v/>
      </c>
      <c r="Y131" s="50" t="str">
        <f>IF($AB131="","",IF($AD131,Y$3,INDEX('ORDER Form'!$T$1:$T$355,$AB131))&amp;"")</f>
        <v/>
      </c>
      <c r="Z131" s="50" t="str">
        <f>IF($AB131="","",IF($AD131,Z$3,INDEX('ORDER Form'!$U$1:$U$355,$AB131))&amp;"")</f>
        <v/>
      </c>
      <c r="AB131" s="51" t="str">
        <f>IFERROR(MATCH(127,$AC$5:$AC$354,0)+5,"")</f>
        <v/>
      </c>
      <c r="AC131" s="51" t="str">
        <f>IF('ORDER Form'!$V132="OK",COUNTIF('ORDER Form'!$V$6:$V132,"OK"),"")</f>
        <v/>
      </c>
      <c r="AD131" s="51" t="str">
        <f>IF($AB131="","",(LEN(TRIM(INDEX('ORDER Form'!$O$1:$O$355,$AB131)))+LEN(TRIM(INDEX('ORDER Form'!$P$1:$P$355,$AB131)))+LEN(TRIM(INDEX('ORDER Form'!$Q$1:$Q$355,$AB131)))+LEN(TRIM(INDEX('ORDER Form'!$R$1:$R$355,$AB131)))+LEN(TRIM(INDEX('ORDER Form'!$S$1:$S$355,$AB131)))+LEN(TRIM(INDEX('ORDER Form'!$T$1:$T$355,$AB131)))+LEN(TRIM(INDEX('ORDER Form'!$U$1:$U$355,$AB131))))=0)</f>
        <v/>
      </c>
    </row>
    <row r="132" spans="1:30" ht="15" customHeight="1" x14ac:dyDescent="0.25">
      <c r="A132" s="50" t="str">
        <f>IF($AB132="","",IFERROR(IF(AND(INDEX('ORDER Form'!$N$1:$N$355,$AB132)="GB",LEFT(UPPER(TRIM(INDEX('ORDER Form'!$L$1:$L$355,$AB132))),2)="BT"),INDEX('ORDER Form'!$AC$1:$AC$355,$AB132),IFERROR(VLOOKUP(INDEX('ORDER Form'!$AC$1:$AC$355,$AB132)&amp;"|"&amp;INDEX('PRODUCT DATA'!$A$2:$A$58,MATCH(INDEX('ORDER Form'!$N$1:$N$355,$AB132),'PRODUCT DATA'!$B$2:$B$58,0)),'PRODUCT DATA'!$NO$2:$NP$25,2,FALSE()),INDEX('ORDER Form'!$AC$1:$AC$355,$AB132)))&amp;"",""))</f>
        <v/>
      </c>
      <c r="B132" s="49"/>
      <c r="C132" s="51" t="str">
        <f>IF($AB132="","",INDEX('ORDER Form'!$C$1:$C$355,$AB132))</f>
        <v/>
      </c>
      <c r="D132" s="49"/>
      <c r="E132" s="49"/>
      <c r="F132" s="49"/>
      <c r="G132" s="49"/>
      <c r="H132" s="49"/>
      <c r="I132" s="49"/>
      <c r="J132" s="50" t="str">
        <f>IF($AB132="","",INDEX('ORDER Form'!$D$1:$D$355,$AB132)&amp;"")</f>
        <v/>
      </c>
      <c r="K132" s="50" t="str">
        <f>IF($AB132="","",INDEX('ORDER Form'!$E$1:$E$355,$AB132)&amp;"")</f>
        <v/>
      </c>
      <c r="L132" s="50" t="str">
        <f>IF($AB132="","",INDEX('ORDER Form'!$F$1:$F$355,$AB132)&amp;"")</f>
        <v/>
      </c>
      <c r="M132" s="50" t="str">
        <f>IF($AB132="","",INDEX('ORDER Form'!$G$1:$G$355,$AB132)&amp;"")</f>
        <v/>
      </c>
      <c r="N132" s="50" t="str">
        <f>IF($AB132="","",INDEX('ORDER Form'!$H$1:$H$355,$AB132)&amp;"")</f>
        <v/>
      </c>
      <c r="O132" s="50" t="str">
        <f>IF($AB132="","",INDEX('ORDER Form'!$I$1:$I$355,$AB132)&amp;"")</f>
        <v/>
      </c>
      <c r="P132" s="50" t="str">
        <f>IF($AB132="","",INDEX('ORDER Form'!$J$1:$J$355,$AB132)&amp;"")</f>
        <v/>
      </c>
      <c r="Q132" s="50" t="str">
        <f>IF($AB132="","",INDEX('ORDER Form'!$AB$1:$AB$355,$AB132)&amp;"")</f>
        <v/>
      </c>
      <c r="R132" s="50" t="str">
        <f>IF($AB132="","",INDEX('ORDER Form'!$L$1:$L$355,$AB132)&amp;"")</f>
        <v/>
      </c>
      <c r="S132" s="50" t="str">
        <f>IF($AB132="","",INDEX('ORDER Form'!$N$1:$N$355,$AB132)&amp;"")</f>
        <v/>
      </c>
      <c r="T132" s="50" t="str">
        <f>IF($AB132="","",IF($AD132,T$3,INDEX('ORDER Form'!$O$1:$O$355,$AB132))&amp;"")</f>
        <v/>
      </c>
      <c r="U132" s="50" t="str">
        <f>IF($AB132="","",IF($AD132,U$3,INDEX('ORDER Form'!$P$1:$P$355,$AB132))&amp;"")</f>
        <v/>
      </c>
      <c r="V132" s="50" t="str">
        <f>IF($AB132="","",IF($AD132,V$3,INDEX('ORDER Form'!$Q$1:$Q$355,$AB132))&amp;"")</f>
        <v/>
      </c>
      <c r="W132" s="50" t="str">
        <f>IF($AB132="","",IF($AD132,W$3,INDEX('ORDER Form'!$R$1:$R$355,$AB132))&amp;"")</f>
        <v/>
      </c>
      <c r="X132" s="50" t="str">
        <f>IF($AB132="","",IF($AD132,X$3,INDEX('ORDER Form'!$S$1:$S$355,$AB132))&amp;"")</f>
        <v/>
      </c>
      <c r="Y132" s="50" t="str">
        <f>IF($AB132="","",IF($AD132,Y$3,INDEX('ORDER Form'!$T$1:$T$355,$AB132))&amp;"")</f>
        <v/>
      </c>
      <c r="Z132" s="50" t="str">
        <f>IF($AB132="","",IF($AD132,Z$3,INDEX('ORDER Form'!$U$1:$U$355,$AB132))&amp;"")</f>
        <v/>
      </c>
      <c r="AB132" s="51" t="str">
        <f>IFERROR(MATCH(128,$AC$5:$AC$354,0)+5,"")</f>
        <v/>
      </c>
      <c r="AC132" s="51" t="str">
        <f>IF('ORDER Form'!$V133="OK",COUNTIF('ORDER Form'!$V$6:$V133,"OK"),"")</f>
        <v/>
      </c>
      <c r="AD132" s="51" t="str">
        <f>IF($AB132="","",(LEN(TRIM(INDEX('ORDER Form'!$O$1:$O$355,$AB132)))+LEN(TRIM(INDEX('ORDER Form'!$P$1:$P$355,$AB132)))+LEN(TRIM(INDEX('ORDER Form'!$Q$1:$Q$355,$AB132)))+LEN(TRIM(INDEX('ORDER Form'!$R$1:$R$355,$AB132)))+LEN(TRIM(INDEX('ORDER Form'!$S$1:$S$355,$AB132)))+LEN(TRIM(INDEX('ORDER Form'!$T$1:$T$355,$AB132)))+LEN(TRIM(INDEX('ORDER Form'!$U$1:$U$355,$AB132))))=0)</f>
        <v/>
      </c>
    </row>
    <row r="133" spans="1:30" ht="15" customHeight="1" x14ac:dyDescent="0.25">
      <c r="A133" s="50" t="str">
        <f>IF($AB133="","",IFERROR(IF(AND(INDEX('ORDER Form'!$N$1:$N$355,$AB133)="GB",LEFT(UPPER(TRIM(INDEX('ORDER Form'!$L$1:$L$355,$AB133))),2)="BT"),INDEX('ORDER Form'!$AC$1:$AC$355,$AB133),IFERROR(VLOOKUP(INDEX('ORDER Form'!$AC$1:$AC$355,$AB133)&amp;"|"&amp;INDEX('PRODUCT DATA'!$A$2:$A$58,MATCH(INDEX('ORDER Form'!$N$1:$N$355,$AB133),'PRODUCT DATA'!$B$2:$B$58,0)),'PRODUCT DATA'!$NO$2:$NP$25,2,FALSE()),INDEX('ORDER Form'!$AC$1:$AC$355,$AB133)))&amp;"",""))</f>
        <v/>
      </c>
      <c r="B133" s="49"/>
      <c r="C133" s="51" t="str">
        <f>IF($AB133="","",INDEX('ORDER Form'!$C$1:$C$355,$AB133))</f>
        <v/>
      </c>
      <c r="D133" s="49"/>
      <c r="E133" s="49"/>
      <c r="F133" s="49"/>
      <c r="G133" s="49"/>
      <c r="H133" s="49"/>
      <c r="I133" s="49"/>
      <c r="J133" s="50" t="str">
        <f>IF($AB133="","",INDEX('ORDER Form'!$D$1:$D$355,$AB133)&amp;"")</f>
        <v/>
      </c>
      <c r="K133" s="50" t="str">
        <f>IF($AB133="","",INDEX('ORDER Form'!$E$1:$E$355,$AB133)&amp;"")</f>
        <v/>
      </c>
      <c r="L133" s="50" t="str">
        <f>IF($AB133="","",INDEX('ORDER Form'!$F$1:$F$355,$AB133)&amp;"")</f>
        <v/>
      </c>
      <c r="M133" s="50" t="str">
        <f>IF($AB133="","",INDEX('ORDER Form'!$G$1:$G$355,$AB133)&amp;"")</f>
        <v/>
      </c>
      <c r="N133" s="50" t="str">
        <f>IF($AB133="","",INDEX('ORDER Form'!$H$1:$H$355,$AB133)&amp;"")</f>
        <v/>
      </c>
      <c r="O133" s="50" t="str">
        <f>IF($AB133="","",INDEX('ORDER Form'!$I$1:$I$355,$AB133)&amp;"")</f>
        <v/>
      </c>
      <c r="P133" s="50" t="str">
        <f>IF($AB133="","",INDEX('ORDER Form'!$J$1:$J$355,$AB133)&amp;"")</f>
        <v/>
      </c>
      <c r="Q133" s="50" t="str">
        <f>IF($AB133="","",INDEX('ORDER Form'!$AB$1:$AB$355,$AB133)&amp;"")</f>
        <v/>
      </c>
      <c r="R133" s="50" t="str">
        <f>IF($AB133="","",INDEX('ORDER Form'!$L$1:$L$355,$AB133)&amp;"")</f>
        <v/>
      </c>
      <c r="S133" s="50" t="str">
        <f>IF($AB133="","",INDEX('ORDER Form'!$N$1:$N$355,$AB133)&amp;"")</f>
        <v/>
      </c>
      <c r="T133" s="50" t="str">
        <f>IF($AB133="","",IF($AD133,T$3,INDEX('ORDER Form'!$O$1:$O$355,$AB133))&amp;"")</f>
        <v/>
      </c>
      <c r="U133" s="50" t="str">
        <f>IF($AB133="","",IF($AD133,U$3,INDEX('ORDER Form'!$P$1:$P$355,$AB133))&amp;"")</f>
        <v/>
      </c>
      <c r="V133" s="50" t="str">
        <f>IF($AB133="","",IF($AD133,V$3,INDEX('ORDER Form'!$Q$1:$Q$355,$AB133))&amp;"")</f>
        <v/>
      </c>
      <c r="W133" s="50" t="str">
        <f>IF($AB133="","",IF($AD133,W$3,INDEX('ORDER Form'!$R$1:$R$355,$AB133))&amp;"")</f>
        <v/>
      </c>
      <c r="X133" s="50" t="str">
        <f>IF($AB133="","",IF($AD133,X$3,INDEX('ORDER Form'!$S$1:$S$355,$AB133))&amp;"")</f>
        <v/>
      </c>
      <c r="Y133" s="50" t="str">
        <f>IF($AB133="","",IF($AD133,Y$3,INDEX('ORDER Form'!$T$1:$T$355,$AB133))&amp;"")</f>
        <v/>
      </c>
      <c r="Z133" s="50" t="str">
        <f>IF($AB133="","",IF($AD133,Z$3,INDEX('ORDER Form'!$U$1:$U$355,$AB133))&amp;"")</f>
        <v/>
      </c>
      <c r="AB133" s="51" t="str">
        <f>IFERROR(MATCH(129,$AC$5:$AC$354,0)+5,"")</f>
        <v/>
      </c>
      <c r="AC133" s="51" t="str">
        <f>IF('ORDER Form'!$V134="OK",COUNTIF('ORDER Form'!$V$6:$V134,"OK"),"")</f>
        <v/>
      </c>
      <c r="AD133" s="51" t="str">
        <f>IF($AB133="","",(LEN(TRIM(INDEX('ORDER Form'!$O$1:$O$355,$AB133)))+LEN(TRIM(INDEX('ORDER Form'!$P$1:$P$355,$AB133)))+LEN(TRIM(INDEX('ORDER Form'!$Q$1:$Q$355,$AB133)))+LEN(TRIM(INDEX('ORDER Form'!$R$1:$R$355,$AB133)))+LEN(TRIM(INDEX('ORDER Form'!$S$1:$S$355,$AB133)))+LEN(TRIM(INDEX('ORDER Form'!$T$1:$T$355,$AB133)))+LEN(TRIM(INDEX('ORDER Form'!$U$1:$U$355,$AB133))))=0)</f>
        <v/>
      </c>
    </row>
    <row r="134" spans="1:30" ht="15" customHeight="1" x14ac:dyDescent="0.25">
      <c r="A134" s="50" t="str">
        <f>IF($AB134="","",IFERROR(IF(AND(INDEX('ORDER Form'!$N$1:$N$355,$AB134)="GB",LEFT(UPPER(TRIM(INDEX('ORDER Form'!$L$1:$L$355,$AB134))),2)="BT"),INDEX('ORDER Form'!$AC$1:$AC$355,$AB134),IFERROR(VLOOKUP(INDEX('ORDER Form'!$AC$1:$AC$355,$AB134)&amp;"|"&amp;INDEX('PRODUCT DATA'!$A$2:$A$58,MATCH(INDEX('ORDER Form'!$N$1:$N$355,$AB134),'PRODUCT DATA'!$B$2:$B$58,0)),'PRODUCT DATA'!$NO$2:$NP$25,2,FALSE()),INDEX('ORDER Form'!$AC$1:$AC$355,$AB134)))&amp;"",""))</f>
        <v/>
      </c>
      <c r="B134" s="49"/>
      <c r="C134" s="51" t="str">
        <f>IF($AB134="","",INDEX('ORDER Form'!$C$1:$C$355,$AB134))</f>
        <v/>
      </c>
      <c r="D134" s="49"/>
      <c r="E134" s="49"/>
      <c r="F134" s="49"/>
      <c r="G134" s="49"/>
      <c r="H134" s="49"/>
      <c r="I134" s="49"/>
      <c r="J134" s="50" t="str">
        <f>IF($AB134="","",INDEX('ORDER Form'!$D$1:$D$355,$AB134)&amp;"")</f>
        <v/>
      </c>
      <c r="K134" s="50" t="str">
        <f>IF($AB134="","",INDEX('ORDER Form'!$E$1:$E$355,$AB134)&amp;"")</f>
        <v/>
      </c>
      <c r="L134" s="50" t="str">
        <f>IF($AB134="","",INDEX('ORDER Form'!$F$1:$F$355,$AB134)&amp;"")</f>
        <v/>
      </c>
      <c r="M134" s="50" t="str">
        <f>IF($AB134="","",INDEX('ORDER Form'!$G$1:$G$355,$AB134)&amp;"")</f>
        <v/>
      </c>
      <c r="N134" s="50" t="str">
        <f>IF($AB134="","",INDEX('ORDER Form'!$H$1:$H$355,$AB134)&amp;"")</f>
        <v/>
      </c>
      <c r="O134" s="50" t="str">
        <f>IF($AB134="","",INDEX('ORDER Form'!$I$1:$I$355,$AB134)&amp;"")</f>
        <v/>
      </c>
      <c r="P134" s="50" t="str">
        <f>IF($AB134="","",INDEX('ORDER Form'!$J$1:$J$355,$AB134)&amp;"")</f>
        <v/>
      </c>
      <c r="Q134" s="50" t="str">
        <f>IF($AB134="","",INDEX('ORDER Form'!$AB$1:$AB$355,$AB134)&amp;"")</f>
        <v/>
      </c>
      <c r="R134" s="50" t="str">
        <f>IF($AB134="","",INDEX('ORDER Form'!$L$1:$L$355,$AB134)&amp;"")</f>
        <v/>
      </c>
      <c r="S134" s="50" t="str">
        <f>IF($AB134="","",INDEX('ORDER Form'!$N$1:$N$355,$AB134)&amp;"")</f>
        <v/>
      </c>
      <c r="T134" s="50" t="str">
        <f>IF($AB134="","",IF($AD134,T$3,INDEX('ORDER Form'!$O$1:$O$355,$AB134))&amp;"")</f>
        <v/>
      </c>
      <c r="U134" s="50" t="str">
        <f>IF($AB134="","",IF($AD134,U$3,INDEX('ORDER Form'!$P$1:$P$355,$AB134))&amp;"")</f>
        <v/>
      </c>
      <c r="V134" s="50" t="str">
        <f>IF($AB134="","",IF($AD134,V$3,INDEX('ORDER Form'!$Q$1:$Q$355,$AB134))&amp;"")</f>
        <v/>
      </c>
      <c r="W134" s="50" t="str">
        <f>IF($AB134="","",IF($AD134,W$3,INDEX('ORDER Form'!$R$1:$R$355,$AB134))&amp;"")</f>
        <v/>
      </c>
      <c r="X134" s="50" t="str">
        <f>IF($AB134="","",IF($AD134,X$3,INDEX('ORDER Form'!$S$1:$S$355,$AB134))&amp;"")</f>
        <v/>
      </c>
      <c r="Y134" s="50" t="str">
        <f>IF($AB134="","",IF($AD134,Y$3,INDEX('ORDER Form'!$T$1:$T$355,$AB134))&amp;"")</f>
        <v/>
      </c>
      <c r="Z134" s="50" t="str">
        <f>IF($AB134="","",IF($AD134,Z$3,INDEX('ORDER Form'!$U$1:$U$355,$AB134))&amp;"")</f>
        <v/>
      </c>
      <c r="AB134" s="51" t="str">
        <f>IFERROR(MATCH(130,$AC$5:$AC$354,0)+5,"")</f>
        <v/>
      </c>
      <c r="AC134" s="51" t="str">
        <f>IF('ORDER Form'!$V135="OK",COUNTIF('ORDER Form'!$V$6:$V135,"OK"),"")</f>
        <v/>
      </c>
      <c r="AD134" s="51" t="str">
        <f>IF($AB134="","",(LEN(TRIM(INDEX('ORDER Form'!$O$1:$O$355,$AB134)))+LEN(TRIM(INDEX('ORDER Form'!$P$1:$P$355,$AB134)))+LEN(TRIM(INDEX('ORDER Form'!$Q$1:$Q$355,$AB134)))+LEN(TRIM(INDEX('ORDER Form'!$R$1:$R$355,$AB134)))+LEN(TRIM(INDEX('ORDER Form'!$S$1:$S$355,$AB134)))+LEN(TRIM(INDEX('ORDER Form'!$T$1:$T$355,$AB134)))+LEN(TRIM(INDEX('ORDER Form'!$U$1:$U$355,$AB134))))=0)</f>
        <v/>
      </c>
    </row>
    <row r="135" spans="1:30" ht="15" customHeight="1" x14ac:dyDescent="0.25">
      <c r="A135" s="50" t="str">
        <f>IF($AB135="","",IFERROR(IF(AND(INDEX('ORDER Form'!$N$1:$N$355,$AB135)="GB",LEFT(UPPER(TRIM(INDEX('ORDER Form'!$L$1:$L$355,$AB135))),2)="BT"),INDEX('ORDER Form'!$AC$1:$AC$355,$AB135),IFERROR(VLOOKUP(INDEX('ORDER Form'!$AC$1:$AC$355,$AB135)&amp;"|"&amp;INDEX('PRODUCT DATA'!$A$2:$A$58,MATCH(INDEX('ORDER Form'!$N$1:$N$355,$AB135),'PRODUCT DATA'!$B$2:$B$58,0)),'PRODUCT DATA'!$NO$2:$NP$25,2,FALSE()),INDEX('ORDER Form'!$AC$1:$AC$355,$AB135)))&amp;"",""))</f>
        <v/>
      </c>
      <c r="B135" s="49"/>
      <c r="C135" s="51" t="str">
        <f>IF($AB135="","",INDEX('ORDER Form'!$C$1:$C$355,$AB135))</f>
        <v/>
      </c>
      <c r="D135" s="49"/>
      <c r="E135" s="49"/>
      <c r="F135" s="49"/>
      <c r="G135" s="49"/>
      <c r="H135" s="49"/>
      <c r="I135" s="49"/>
      <c r="J135" s="50" t="str">
        <f>IF($AB135="","",INDEX('ORDER Form'!$D$1:$D$355,$AB135)&amp;"")</f>
        <v/>
      </c>
      <c r="K135" s="50" t="str">
        <f>IF($AB135="","",INDEX('ORDER Form'!$E$1:$E$355,$AB135)&amp;"")</f>
        <v/>
      </c>
      <c r="L135" s="50" t="str">
        <f>IF($AB135="","",INDEX('ORDER Form'!$F$1:$F$355,$AB135)&amp;"")</f>
        <v/>
      </c>
      <c r="M135" s="50" t="str">
        <f>IF($AB135="","",INDEX('ORDER Form'!$G$1:$G$355,$AB135)&amp;"")</f>
        <v/>
      </c>
      <c r="N135" s="50" t="str">
        <f>IF($AB135="","",INDEX('ORDER Form'!$H$1:$H$355,$AB135)&amp;"")</f>
        <v/>
      </c>
      <c r="O135" s="50" t="str">
        <f>IF($AB135="","",INDEX('ORDER Form'!$I$1:$I$355,$AB135)&amp;"")</f>
        <v/>
      </c>
      <c r="P135" s="50" t="str">
        <f>IF($AB135="","",INDEX('ORDER Form'!$J$1:$J$355,$AB135)&amp;"")</f>
        <v/>
      </c>
      <c r="Q135" s="50" t="str">
        <f>IF($AB135="","",INDEX('ORDER Form'!$AB$1:$AB$355,$AB135)&amp;"")</f>
        <v/>
      </c>
      <c r="R135" s="50" t="str">
        <f>IF($AB135="","",INDEX('ORDER Form'!$L$1:$L$355,$AB135)&amp;"")</f>
        <v/>
      </c>
      <c r="S135" s="50" t="str">
        <f>IF($AB135="","",INDEX('ORDER Form'!$N$1:$N$355,$AB135)&amp;"")</f>
        <v/>
      </c>
      <c r="T135" s="50" t="str">
        <f>IF($AB135="","",IF($AD135,T$3,INDEX('ORDER Form'!$O$1:$O$355,$AB135))&amp;"")</f>
        <v/>
      </c>
      <c r="U135" s="50" t="str">
        <f>IF($AB135="","",IF($AD135,U$3,INDEX('ORDER Form'!$P$1:$P$355,$AB135))&amp;"")</f>
        <v/>
      </c>
      <c r="V135" s="50" t="str">
        <f>IF($AB135="","",IF($AD135,V$3,INDEX('ORDER Form'!$Q$1:$Q$355,$AB135))&amp;"")</f>
        <v/>
      </c>
      <c r="W135" s="50" t="str">
        <f>IF($AB135="","",IF($AD135,W$3,INDEX('ORDER Form'!$R$1:$R$355,$AB135))&amp;"")</f>
        <v/>
      </c>
      <c r="X135" s="50" t="str">
        <f>IF($AB135="","",IF($AD135,X$3,INDEX('ORDER Form'!$S$1:$S$355,$AB135))&amp;"")</f>
        <v/>
      </c>
      <c r="Y135" s="50" t="str">
        <f>IF($AB135="","",IF($AD135,Y$3,INDEX('ORDER Form'!$T$1:$T$355,$AB135))&amp;"")</f>
        <v/>
      </c>
      <c r="Z135" s="50" t="str">
        <f>IF($AB135="","",IF($AD135,Z$3,INDEX('ORDER Form'!$U$1:$U$355,$AB135))&amp;"")</f>
        <v/>
      </c>
      <c r="AB135" s="51" t="str">
        <f>IFERROR(MATCH(131,$AC$5:$AC$354,0)+5,"")</f>
        <v/>
      </c>
      <c r="AC135" s="51" t="str">
        <f>IF('ORDER Form'!$V136="OK",COUNTIF('ORDER Form'!$V$6:$V136,"OK"),"")</f>
        <v/>
      </c>
      <c r="AD135" s="51" t="str">
        <f>IF($AB135="","",(LEN(TRIM(INDEX('ORDER Form'!$O$1:$O$355,$AB135)))+LEN(TRIM(INDEX('ORDER Form'!$P$1:$P$355,$AB135)))+LEN(TRIM(INDEX('ORDER Form'!$Q$1:$Q$355,$AB135)))+LEN(TRIM(INDEX('ORDER Form'!$R$1:$R$355,$AB135)))+LEN(TRIM(INDEX('ORDER Form'!$S$1:$S$355,$AB135)))+LEN(TRIM(INDEX('ORDER Form'!$T$1:$T$355,$AB135)))+LEN(TRIM(INDEX('ORDER Form'!$U$1:$U$355,$AB135))))=0)</f>
        <v/>
      </c>
    </row>
    <row r="136" spans="1:30" ht="15" customHeight="1" x14ac:dyDescent="0.25">
      <c r="A136" s="50" t="str">
        <f>IF($AB136="","",IFERROR(IF(AND(INDEX('ORDER Form'!$N$1:$N$355,$AB136)="GB",LEFT(UPPER(TRIM(INDEX('ORDER Form'!$L$1:$L$355,$AB136))),2)="BT"),INDEX('ORDER Form'!$AC$1:$AC$355,$AB136),IFERROR(VLOOKUP(INDEX('ORDER Form'!$AC$1:$AC$355,$AB136)&amp;"|"&amp;INDEX('PRODUCT DATA'!$A$2:$A$58,MATCH(INDEX('ORDER Form'!$N$1:$N$355,$AB136),'PRODUCT DATA'!$B$2:$B$58,0)),'PRODUCT DATA'!$NO$2:$NP$25,2,FALSE()),INDEX('ORDER Form'!$AC$1:$AC$355,$AB136)))&amp;"",""))</f>
        <v/>
      </c>
      <c r="B136" s="49"/>
      <c r="C136" s="51" t="str">
        <f>IF($AB136="","",INDEX('ORDER Form'!$C$1:$C$355,$AB136))</f>
        <v/>
      </c>
      <c r="D136" s="49"/>
      <c r="E136" s="49"/>
      <c r="F136" s="49"/>
      <c r="G136" s="49"/>
      <c r="H136" s="49"/>
      <c r="I136" s="49"/>
      <c r="J136" s="50" t="str">
        <f>IF($AB136="","",INDEX('ORDER Form'!$D$1:$D$355,$AB136)&amp;"")</f>
        <v/>
      </c>
      <c r="K136" s="50" t="str">
        <f>IF($AB136="","",INDEX('ORDER Form'!$E$1:$E$355,$AB136)&amp;"")</f>
        <v/>
      </c>
      <c r="L136" s="50" t="str">
        <f>IF($AB136="","",INDEX('ORDER Form'!$F$1:$F$355,$AB136)&amp;"")</f>
        <v/>
      </c>
      <c r="M136" s="50" t="str">
        <f>IF($AB136="","",INDEX('ORDER Form'!$G$1:$G$355,$AB136)&amp;"")</f>
        <v/>
      </c>
      <c r="N136" s="50" t="str">
        <f>IF($AB136="","",INDEX('ORDER Form'!$H$1:$H$355,$AB136)&amp;"")</f>
        <v/>
      </c>
      <c r="O136" s="50" t="str">
        <f>IF($AB136="","",INDEX('ORDER Form'!$I$1:$I$355,$AB136)&amp;"")</f>
        <v/>
      </c>
      <c r="P136" s="50" t="str">
        <f>IF($AB136="","",INDEX('ORDER Form'!$J$1:$J$355,$AB136)&amp;"")</f>
        <v/>
      </c>
      <c r="Q136" s="50" t="str">
        <f>IF($AB136="","",INDEX('ORDER Form'!$AB$1:$AB$355,$AB136)&amp;"")</f>
        <v/>
      </c>
      <c r="R136" s="50" t="str">
        <f>IF($AB136="","",INDEX('ORDER Form'!$L$1:$L$355,$AB136)&amp;"")</f>
        <v/>
      </c>
      <c r="S136" s="50" t="str">
        <f>IF($AB136="","",INDEX('ORDER Form'!$N$1:$N$355,$AB136)&amp;"")</f>
        <v/>
      </c>
      <c r="T136" s="50" t="str">
        <f>IF($AB136="","",IF($AD136,T$3,INDEX('ORDER Form'!$O$1:$O$355,$AB136))&amp;"")</f>
        <v/>
      </c>
      <c r="U136" s="50" t="str">
        <f>IF($AB136="","",IF($AD136,U$3,INDEX('ORDER Form'!$P$1:$P$355,$AB136))&amp;"")</f>
        <v/>
      </c>
      <c r="V136" s="50" t="str">
        <f>IF($AB136="","",IF($AD136,V$3,INDEX('ORDER Form'!$Q$1:$Q$355,$AB136))&amp;"")</f>
        <v/>
      </c>
      <c r="W136" s="50" t="str">
        <f>IF($AB136="","",IF($AD136,W$3,INDEX('ORDER Form'!$R$1:$R$355,$AB136))&amp;"")</f>
        <v/>
      </c>
      <c r="X136" s="50" t="str">
        <f>IF($AB136="","",IF($AD136,X$3,INDEX('ORDER Form'!$S$1:$S$355,$AB136))&amp;"")</f>
        <v/>
      </c>
      <c r="Y136" s="50" t="str">
        <f>IF($AB136="","",IF($AD136,Y$3,INDEX('ORDER Form'!$T$1:$T$355,$AB136))&amp;"")</f>
        <v/>
      </c>
      <c r="Z136" s="50" t="str">
        <f>IF($AB136="","",IF($AD136,Z$3,INDEX('ORDER Form'!$U$1:$U$355,$AB136))&amp;"")</f>
        <v/>
      </c>
      <c r="AB136" s="51" t="str">
        <f>IFERROR(MATCH(132,$AC$5:$AC$354,0)+5,"")</f>
        <v/>
      </c>
      <c r="AC136" s="51" t="str">
        <f>IF('ORDER Form'!$V137="OK",COUNTIF('ORDER Form'!$V$6:$V137,"OK"),"")</f>
        <v/>
      </c>
      <c r="AD136" s="51" t="str">
        <f>IF($AB136="","",(LEN(TRIM(INDEX('ORDER Form'!$O$1:$O$355,$AB136)))+LEN(TRIM(INDEX('ORDER Form'!$P$1:$P$355,$AB136)))+LEN(TRIM(INDEX('ORDER Form'!$Q$1:$Q$355,$AB136)))+LEN(TRIM(INDEX('ORDER Form'!$R$1:$R$355,$AB136)))+LEN(TRIM(INDEX('ORDER Form'!$S$1:$S$355,$AB136)))+LEN(TRIM(INDEX('ORDER Form'!$T$1:$T$355,$AB136)))+LEN(TRIM(INDEX('ORDER Form'!$U$1:$U$355,$AB136))))=0)</f>
        <v/>
      </c>
    </row>
    <row r="137" spans="1:30" ht="15" customHeight="1" x14ac:dyDescent="0.25">
      <c r="A137" s="50" t="str">
        <f>IF($AB137="","",IFERROR(IF(AND(INDEX('ORDER Form'!$N$1:$N$355,$AB137)="GB",LEFT(UPPER(TRIM(INDEX('ORDER Form'!$L$1:$L$355,$AB137))),2)="BT"),INDEX('ORDER Form'!$AC$1:$AC$355,$AB137),IFERROR(VLOOKUP(INDEX('ORDER Form'!$AC$1:$AC$355,$AB137)&amp;"|"&amp;INDEX('PRODUCT DATA'!$A$2:$A$58,MATCH(INDEX('ORDER Form'!$N$1:$N$355,$AB137),'PRODUCT DATA'!$B$2:$B$58,0)),'PRODUCT DATA'!$NO$2:$NP$25,2,FALSE()),INDEX('ORDER Form'!$AC$1:$AC$355,$AB137)))&amp;"",""))</f>
        <v/>
      </c>
      <c r="B137" s="49"/>
      <c r="C137" s="51" t="str">
        <f>IF($AB137="","",INDEX('ORDER Form'!$C$1:$C$355,$AB137))</f>
        <v/>
      </c>
      <c r="D137" s="49"/>
      <c r="E137" s="49"/>
      <c r="F137" s="49"/>
      <c r="G137" s="49"/>
      <c r="H137" s="49"/>
      <c r="I137" s="49"/>
      <c r="J137" s="50" t="str">
        <f>IF($AB137="","",INDEX('ORDER Form'!$D$1:$D$355,$AB137)&amp;"")</f>
        <v/>
      </c>
      <c r="K137" s="50" t="str">
        <f>IF($AB137="","",INDEX('ORDER Form'!$E$1:$E$355,$AB137)&amp;"")</f>
        <v/>
      </c>
      <c r="L137" s="50" t="str">
        <f>IF($AB137="","",INDEX('ORDER Form'!$F$1:$F$355,$AB137)&amp;"")</f>
        <v/>
      </c>
      <c r="M137" s="50" t="str">
        <f>IF($AB137="","",INDEX('ORDER Form'!$G$1:$G$355,$AB137)&amp;"")</f>
        <v/>
      </c>
      <c r="N137" s="50" t="str">
        <f>IF($AB137="","",INDEX('ORDER Form'!$H$1:$H$355,$AB137)&amp;"")</f>
        <v/>
      </c>
      <c r="O137" s="50" t="str">
        <f>IF($AB137="","",INDEX('ORDER Form'!$I$1:$I$355,$AB137)&amp;"")</f>
        <v/>
      </c>
      <c r="P137" s="50" t="str">
        <f>IF($AB137="","",INDEX('ORDER Form'!$J$1:$J$355,$AB137)&amp;"")</f>
        <v/>
      </c>
      <c r="Q137" s="50" t="str">
        <f>IF($AB137="","",INDEX('ORDER Form'!$AB$1:$AB$355,$AB137)&amp;"")</f>
        <v/>
      </c>
      <c r="R137" s="50" t="str">
        <f>IF($AB137="","",INDEX('ORDER Form'!$L$1:$L$355,$AB137)&amp;"")</f>
        <v/>
      </c>
      <c r="S137" s="50" t="str">
        <f>IF($AB137="","",INDEX('ORDER Form'!$N$1:$N$355,$AB137)&amp;"")</f>
        <v/>
      </c>
      <c r="T137" s="50" t="str">
        <f>IF($AB137="","",IF($AD137,T$3,INDEX('ORDER Form'!$O$1:$O$355,$AB137))&amp;"")</f>
        <v/>
      </c>
      <c r="U137" s="50" t="str">
        <f>IF($AB137="","",IF($AD137,U$3,INDEX('ORDER Form'!$P$1:$P$355,$AB137))&amp;"")</f>
        <v/>
      </c>
      <c r="V137" s="50" t="str">
        <f>IF($AB137="","",IF($AD137,V$3,INDEX('ORDER Form'!$Q$1:$Q$355,$AB137))&amp;"")</f>
        <v/>
      </c>
      <c r="W137" s="50" t="str">
        <f>IF($AB137="","",IF($AD137,W$3,INDEX('ORDER Form'!$R$1:$R$355,$AB137))&amp;"")</f>
        <v/>
      </c>
      <c r="X137" s="50" t="str">
        <f>IF($AB137="","",IF($AD137,X$3,INDEX('ORDER Form'!$S$1:$S$355,$AB137))&amp;"")</f>
        <v/>
      </c>
      <c r="Y137" s="50" t="str">
        <f>IF($AB137="","",IF($AD137,Y$3,INDEX('ORDER Form'!$T$1:$T$355,$AB137))&amp;"")</f>
        <v/>
      </c>
      <c r="Z137" s="50" t="str">
        <f>IF($AB137="","",IF($AD137,Z$3,INDEX('ORDER Form'!$U$1:$U$355,$AB137))&amp;"")</f>
        <v/>
      </c>
      <c r="AB137" s="51" t="str">
        <f>IFERROR(MATCH(133,$AC$5:$AC$354,0)+5,"")</f>
        <v/>
      </c>
      <c r="AC137" s="51" t="str">
        <f>IF('ORDER Form'!$V138="OK",COUNTIF('ORDER Form'!$V$6:$V138,"OK"),"")</f>
        <v/>
      </c>
      <c r="AD137" s="51" t="str">
        <f>IF($AB137="","",(LEN(TRIM(INDEX('ORDER Form'!$O$1:$O$355,$AB137)))+LEN(TRIM(INDEX('ORDER Form'!$P$1:$P$355,$AB137)))+LEN(TRIM(INDEX('ORDER Form'!$Q$1:$Q$355,$AB137)))+LEN(TRIM(INDEX('ORDER Form'!$R$1:$R$355,$AB137)))+LEN(TRIM(INDEX('ORDER Form'!$S$1:$S$355,$AB137)))+LEN(TRIM(INDEX('ORDER Form'!$T$1:$T$355,$AB137)))+LEN(TRIM(INDEX('ORDER Form'!$U$1:$U$355,$AB137))))=0)</f>
        <v/>
      </c>
    </row>
    <row r="138" spans="1:30" ht="15" customHeight="1" x14ac:dyDescent="0.25">
      <c r="A138" s="50" t="str">
        <f>IF($AB138="","",IFERROR(IF(AND(INDEX('ORDER Form'!$N$1:$N$355,$AB138)="GB",LEFT(UPPER(TRIM(INDEX('ORDER Form'!$L$1:$L$355,$AB138))),2)="BT"),INDEX('ORDER Form'!$AC$1:$AC$355,$AB138),IFERROR(VLOOKUP(INDEX('ORDER Form'!$AC$1:$AC$355,$AB138)&amp;"|"&amp;INDEX('PRODUCT DATA'!$A$2:$A$58,MATCH(INDEX('ORDER Form'!$N$1:$N$355,$AB138),'PRODUCT DATA'!$B$2:$B$58,0)),'PRODUCT DATA'!$NO$2:$NP$25,2,FALSE()),INDEX('ORDER Form'!$AC$1:$AC$355,$AB138)))&amp;"",""))</f>
        <v/>
      </c>
      <c r="B138" s="49"/>
      <c r="C138" s="51" t="str">
        <f>IF($AB138="","",INDEX('ORDER Form'!$C$1:$C$355,$AB138))</f>
        <v/>
      </c>
      <c r="D138" s="49"/>
      <c r="E138" s="49"/>
      <c r="F138" s="49"/>
      <c r="G138" s="49"/>
      <c r="H138" s="49"/>
      <c r="I138" s="49"/>
      <c r="J138" s="50" t="str">
        <f>IF($AB138="","",INDEX('ORDER Form'!$D$1:$D$355,$AB138)&amp;"")</f>
        <v/>
      </c>
      <c r="K138" s="50" t="str">
        <f>IF($AB138="","",INDEX('ORDER Form'!$E$1:$E$355,$AB138)&amp;"")</f>
        <v/>
      </c>
      <c r="L138" s="50" t="str">
        <f>IF($AB138="","",INDEX('ORDER Form'!$F$1:$F$355,$AB138)&amp;"")</f>
        <v/>
      </c>
      <c r="M138" s="50" t="str">
        <f>IF($AB138="","",INDEX('ORDER Form'!$G$1:$G$355,$AB138)&amp;"")</f>
        <v/>
      </c>
      <c r="N138" s="50" t="str">
        <f>IF($AB138="","",INDEX('ORDER Form'!$H$1:$H$355,$AB138)&amp;"")</f>
        <v/>
      </c>
      <c r="O138" s="50" t="str">
        <f>IF($AB138="","",INDEX('ORDER Form'!$I$1:$I$355,$AB138)&amp;"")</f>
        <v/>
      </c>
      <c r="P138" s="50" t="str">
        <f>IF($AB138="","",INDEX('ORDER Form'!$J$1:$J$355,$AB138)&amp;"")</f>
        <v/>
      </c>
      <c r="Q138" s="50" t="str">
        <f>IF($AB138="","",INDEX('ORDER Form'!$AB$1:$AB$355,$AB138)&amp;"")</f>
        <v/>
      </c>
      <c r="R138" s="50" t="str">
        <f>IF($AB138="","",INDEX('ORDER Form'!$L$1:$L$355,$AB138)&amp;"")</f>
        <v/>
      </c>
      <c r="S138" s="50" t="str">
        <f>IF($AB138="","",INDEX('ORDER Form'!$N$1:$N$355,$AB138)&amp;"")</f>
        <v/>
      </c>
      <c r="T138" s="50" t="str">
        <f>IF($AB138="","",IF($AD138,T$3,INDEX('ORDER Form'!$O$1:$O$355,$AB138))&amp;"")</f>
        <v/>
      </c>
      <c r="U138" s="50" t="str">
        <f>IF($AB138="","",IF($AD138,U$3,INDEX('ORDER Form'!$P$1:$P$355,$AB138))&amp;"")</f>
        <v/>
      </c>
      <c r="V138" s="50" t="str">
        <f>IF($AB138="","",IF($AD138,V$3,INDEX('ORDER Form'!$Q$1:$Q$355,$AB138))&amp;"")</f>
        <v/>
      </c>
      <c r="W138" s="50" t="str">
        <f>IF($AB138="","",IF($AD138,W$3,INDEX('ORDER Form'!$R$1:$R$355,$AB138))&amp;"")</f>
        <v/>
      </c>
      <c r="X138" s="50" t="str">
        <f>IF($AB138="","",IF($AD138,X$3,INDEX('ORDER Form'!$S$1:$S$355,$AB138))&amp;"")</f>
        <v/>
      </c>
      <c r="Y138" s="50" t="str">
        <f>IF($AB138="","",IF($AD138,Y$3,INDEX('ORDER Form'!$T$1:$T$355,$AB138))&amp;"")</f>
        <v/>
      </c>
      <c r="Z138" s="50" t="str">
        <f>IF($AB138="","",IF($AD138,Z$3,INDEX('ORDER Form'!$U$1:$U$355,$AB138))&amp;"")</f>
        <v/>
      </c>
      <c r="AB138" s="51" t="str">
        <f>IFERROR(MATCH(134,$AC$5:$AC$354,0)+5,"")</f>
        <v/>
      </c>
      <c r="AC138" s="51" t="str">
        <f>IF('ORDER Form'!$V139="OK",COUNTIF('ORDER Form'!$V$6:$V139,"OK"),"")</f>
        <v/>
      </c>
      <c r="AD138" s="51" t="str">
        <f>IF($AB138="","",(LEN(TRIM(INDEX('ORDER Form'!$O$1:$O$355,$AB138)))+LEN(TRIM(INDEX('ORDER Form'!$P$1:$P$355,$AB138)))+LEN(TRIM(INDEX('ORDER Form'!$Q$1:$Q$355,$AB138)))+LEN(TRIM(INDEX('ORDER Form'!$R$1:$R$355,$AB138)))+LEN(TRIM(INDEX('ORDER Form'!$S$1:$S$355,$AB138)))+LEN(TRIM(INDEX('ORDER Form'!$T$1:$T$355,$AB138)))+LEN(TRIM(INDEX('ORDER Form'!$U$1:$U$355,$AB138))))=0)</f>
        <v/>
      </c>
    </row>
    <row r="139" spans="1:30" ht="15" customHeight="1" x14ac:dyDescent="0.25">
      <c r="A139" s="50" t="str">
        <f>IF($AB139="","",IFERROR(IF(AND(INDEX('ORDER Form'!$N$1:$N$355,$AB139)="GB",LEFT(UPPER(TRIM(INDEX('ORDER Form'!$L$1:$L$355,$AB139))),2)="BT"),INDEX('ORDER Form'!$AC$1:$AC$355,$AB139),IFERROR(VLOOKUP(INDEX('ORDER Form'!$AC$1:$AC$355,$AB139)&amp;"|"&amp;INDEX('PRODUCT DATA'!$A$2:$A$58,MATCH(INDEX('ORDER Form'!$N$1:$N$355,$AB139),'PRODUCT DATA'!$B$2:$B$58,0)),'PRODUCT DATA'!$NO$2:$NP$25,2,FALSE()),INDEX('ORDER Form'!$AC$1:$AC$355,$AB139)))&amp;"",""))</f>
        <v/>
      </c>
      <c r="B139" s="49"/>
      <c r="C139" s="51" t="str">
        <f>IF($AB139="","",INDEX('ORDER Form'!$C$1:$C$355,$AB139))</f>
        <v/>
      </c>
      <c r="D139" s="49"/>
      <c r="E139" s="49"/>
      <c r="F139" s="49"/>
      <c r="G139" s="49"/>
      <c r="H139" s="49"/>
      <c r="I139" s="49"/>
      <c r="J139" s="50" t="str">
        <f>IF($AB139="","",INDEX('ORDER Form'!$D$1:$D$355,$AB139)&amp;"")</f>
        <v/>
      </c>
      <c r="K139" s="50" t="str">
        <f>IF($AB139="","",INDEX('ORDER Form'!$E$1:$E$355,$AB139)&amp;"")</f>
        <v/>
      </c>
      <c r="L139" s="50" t="str">
        <f>IF($AB139="","",INDEX('ORDER Form'!$F$1:$F$355,$AB139)&amp;"")</f>
        <v/>
      </c>
      <c r="M139" s="50" t="str">
        <f>IF($AB139="","",INDEX('ORDER Form'!$G$1:$G$355,$AB139)&amp;"")</f>
        <v/>
      </c>
      <c r="N139" s="50" t="str">
        <f>IF($AB139="","",INDEX('ORDER Form'!$H$1:$H$355,$AB139)&amp;"")</f>
        <v/>
      </c>
      <c r="O139" s="50" t="str">
        <f>IF($AB139="","",INDEX('ORDER Form'!$I$1:$I$355,$AB139)&amp;"")</f>
        <v/>
      </c>
      <c r="P139" s="50" t="str">
        <f>IF($AB139="","",INDEX('ORDER Form'!$J$1:$J$355,$AB139)&amp;"")</f>
        <v/>
      </c>
      <c r="Q139" s="50" t="str">
        <f>IF($AB139="","",INDEX('ORDER Form'!$AB$1:$AB$355,$AB139)&amp;"")</f>
        <v/>
      </c>
      <c r="R139" s="50" t="str">
        <f>IF($AB139="","",INDEX('ORDER Form'!$L$1:$L$355,$AB139)&amp;"")</f>
        <v/>
      </c>
      <c r="S139" s="50" t="str">
        <f>IF($AB139="","",INDEX('ORDER Form'!$N$1:$N$355,$AB139)&amp;"")</f>
        <v/>
      </c>
      <c r="T139" s="50" t="str">
        <f>IF($AB139="","",IF($AD139,T$3,INDEX('ORDER Form'!$O$1:$O$355,$AB139))&amp;"")</f>
        <v/>
      </c>
      <c r="U139" s="50" t="str">
        <f>IF($AB139="","",IF($AD139,U$3,INDEX('ORDER Form'!$P$1:$P$355,$AB139))&amp;"")</f>
        <v/>
      </c>
      <c r="V139" s="50" t="str">
        <f>IF($AB139="","",IF($AD139,V$3,INDEX('ORDER Form'!$Q$1:$Q$355,$AB139))&amp;"")</f>
        <v/>
      </c>
      <c r="W139" s="50" t="str">
        <f>IF($AB139="","",IF($AD139,W$3,INDEX('ORDER Form'!$R$1:$R$355,$AB139))&amp;"")</f>
        <v/>
      </c>
      <c r="X139" s="50" t="str">
        <f>IF($AB139="","",IF($AD139,X$3,INDEX('ORDER Form'!$S$1:$S$355,$AB139))&amp;"")</f>
        <v/>
      </c>
      <c r="Y139" s="50" t="str">
        <f>IF($AB139="","",IF($AD139,Y$3,INDEX('ORDER Form'!$T$1:$T$355,$AB139))&amp;"")</f>
        <v/>
      </c>
      <c r="Z139" s="50" t="str">
        <f>IF($AB139="","",IF($AD139,Z$3,INDEX('ORDER Form'!$U$1:$U$355,$AB139))&amp;"")</f>
        <v/>
      </c>
      <c r="AB139" s="51" t="str">
        <f>IFERROR(MATCH(135,$AC$5:$AC$354,0)+5,"")</f>
        <v/>
      </c>
      <c r="AC139" s="51" t="str">
        <f>IF('ORDER Form'!$V140="OK",COUNTIF('ORDER Form'!$V$6:$V140,"OK"),"")</f>
        <v/>
      </c>
      <c r="AD139" s="51" t="str">
        <f>IF($AB139="","",(LEN(TRIM(INDEX('ORDER Form'!$O$1:$O$355,$AB139)))+LEN(TRIM(INDEX('ORDER Form'!$P$1:$P$355,$AB139)))+LEN(TRIM(INDEX('ORDER Form'!$Q$1:$Q$355,$AB139)))+LEN(TRIM(INDEX('ORDER Form'!$R$1:$R$355,$AB139)))+LEN(TRIM(INDEX('ORDER Form'!$S$1:$S$355,$AB139)))+LEN(TRIM(INDEX('ORDER Form'!$T$1:$T$355,$AB139)))+LEN(TRIM(INDEX('ORDER Form'!$U$1:$U$355,$AB139))))=0)</f>
        <v/>
      </c>
    </row>
    <row r="140" spans="1:30" ht="15" customHeight="1" x14ac:dyDescent="0.25">
      <c r="A140" s="50" t="str">
        <f>IF($AB140="","",IFERROR(IF(AND(INDEX('ORDER Form'!$N$1:$N$355,$AB140)="GB",LEFT(UPPER(TRIM(INDEX('ORDER Form'!$L$1:$L$355,$AB140))),2)="BT"),INDEX('ORDER Form'!$AC$1:$AC$355,$AB140),IFERROR(VLOOKUP(INDEX('ORDER Form'!$AC$1:$AC$355,$AB140)&amp;"|"&amp;INDEX('PRODUCT DATA'!$A$2:$A$58,MATCH(INDEX('ORDER Form'!$N$1:$N$355,$AB140),'PRODUCT DATA'!$B$2:$B$58,0)),'PRODUCT DATA'!$NO$2:$NP$25,2,FALSE()),INDEX('ORDER Form'!$AC$1:$AC$355,$AB140)))&amp;"",""))</f>
        <v/>
      </c>
      <c r="B140" s="49"/>
      <c r="C140" s="51" t="str">
        <f>IF($AB140="","",INDEX('ORDER Form'!$C$1:$C$355,$AB140))</f>
        <v/>
      </c>
      <c r="D140" s="49"/>
      <c r="E140" s="49"/>
      <c r="F140" s="49"/>
      <c r="G140" s="49"/>
      <c r="H140" s="49"/>
      <c r="I140" s="49"/>
      <c r="J140" s="50" t="str">
        <f>IF($AB140="","",INDEX('ORDER Form'!$D$1:$D$355,$AB140)&amp;"")</f>
        <v/>
      </c>
      <c r="K140" s="50" t="str">
        <f>IF($AB140="","",INDEX('ORDER Form'!$E$1:$E$355,$AB140)&amp;"")</f>
        <v/>
      </c>
      <c r="L140" s="50" t="str">
        <f>IF($AB140="","",INDEX('ORDER Form'!$F$1:$F$355,$AB140)&amp;"")</f>
        <v/>
      </c>
      <c r="M140" s="50" t="str">
        <f>IF($AB140="","",INDEX('ORDER Form'!$G$1:$G$355,$AB140)&amp;"")</f>
        <v/>
      </c>
      <c r="N140" s="50" t="str">
        <f>IF($AB140="","",INDEX('ORDER Form'!$H$1:$H$355,$AB140)&amp;"")</f>
        <v/>
      </c>
      <c r="O140" s="50" t="str">
        <f>IF($AB140="","",INDEX('ORDER Form'!$I$1:$I$355,$AB140)&amp;"")</f>
        <v/>
      </c>
      <c r="P140" s="50" t="str">
        <f>IF($AB140="","",INDEX('ORDER Form'!$J$1:$J$355,$AB140)&amp;"")</f>
        <v/>
      </c>
      <c r="Q140" s="50" t="str">
        <f>IF($AB140="","",INDEX('ORDER Form'!$AB$1:$AB$355,$AB140)&amp;"")</f>
        <v/>
      </c>
      <c r="R140" s="50" t="str">
        <f>IF($AB140="","",INDEX('ORDER Form'!$L$1:$L$355,$AB140)&amp;"")</f>
        <v/>
      </c>
      <c r="S140" s="50" t="str">
        <f>IF($AB140="","",INDEX('ORDER Form'!$N$1:$N$355,$AB140)&amp;"")</f>
        <v/>
      </c>
      <c r="T140" s="50" t="str">
        <f>IF($AB140="","",IF($AD140,T$3,INDEX('ORDER Form'!$O$1:$O$355,$AB140))&amp;"")</f>
        <v/>
      </c>
      <c r="U140" s="50" t="str">
        <f>IF($AB140="","",IF($AD140,U$3,INDEX('ORDER Form'!$P$1:$P$355,$AB140))&amp;"")</f>
        <v/>
      </c>
      <c r="V140" s="50" t="str">
        <f>IF($AB140="","",IF($AD140,V$3,INDEX('ORDER Form'!$Q$1:$Q$355,$AB140))&amp;"")</f>
        <v/>
      </c>
      <c r="W140" s="50" t="str">
        <f>IF($AB140="","",IF($AD140,W$3,INDEX('ORDER Form'!$R$1:$R$355,$AB140))&amp;"")</f>
        <v/>
      </c>
      <c r="X140" s="50" t="str">
        <f>IF($AB140="","",IF($AD140,X$3,INDEX('ORDER Form'!$S$1:$S$355,$AB140))&amp;"")</f>
        <v/>
      </c>
      <c r="Y140" s="50" t="str">
        <f>IF($AB140="","",IF($AD140,Y$3,INDEX('ORDER Form'!$T$1:$T$355,$AB140))&amp;"")</f>
        <v/>
      </c>
      <c r="Z140" s="50" t="str">
        <f>IF($AB140="","",IF($AD140,Z$3,INDEX('ORDER Form'!$U$1:$U$355,$AB140))&amp;"")</f>
        <v/>
      </c>
      <c r="AB140" s="51" t="str">
        <f>IFERROR(MATCH(136,$AC$5:$AC$354,0)+5,"")</f>
        <v/>
      </c>
      <c r="AC140" s="51" t="str">
        <f>IF('ORDER Form'!$V141="OK",COUNTIF('ORDER Form'!$V$6:$V141,"OK"),"")</f>
        <v/>
      </c>
      <c r="AD140" s="51" t="str">
        <f>IF($AB140="","",(LEN(TRIM(INDEX('ORDER Form'!$O$1:$O$355,$AB140)))+LEN(TRIM(INDEX('ORDER Form'!$P$1:$P$355,$AB140)))+LEN(TRIM(INDEX('ORDER Form'!$Q$1:$Q$355,$AB140)))+LEN(TRIM(INDEX('ORDER Form'!$R$1:$R$355,$AB140)))+LEN(TRIM(INDEX('ORDER Form'!$S$1:$S$355,$AB140)))+LEN(TRIM(INDEX('ORDER Form'!$T$1:$T$355,$AB140)))+LEN(TRIM(INDEX('ORDER Form'!$U$1:$U$355,$AB140))))=0)</f>
        <v/>
      </c>
    </row>
    <row r="141" spans="1:30" ht="15" customHeight="1" x14ac:dyDescent="0.25">
      <c r="A141" s="50" t="str">
        <f>IF($AB141="","",IFERROR(IF(AND(INDEX('ORDER Form'!$N$1:$N$355,$AB141)="GB",LEFT(UPPER(TRIM(INDEX('ORDER Form'!$L$1:$L$355,$AB141))),2)="BT"),INDEX('ORDER Form'!$AC$1:$AC$355,$AB141),IFERROR(VLOOKUP(INDEX('ORDER Form'!$AC$1:$AC$355,$AB141)&amp;"|"&amp;INDEX('PRODUCT DATA'!$A$2:$A$58,MATCH(INDEX('ORDER Form'!$N$1:$N$355,$AB141),'PRODUCT DATA'!$B$2:$B$58,0)),'PRODUCT DATA'!$NO$2:$NP$25,2,FALSE()),INDEX('ORDER Form'!$AC$1:$AC$355,$AB141)))&amp;"",""))</f>
        <v/>
      </c>
      <c r="B141" s="49"/>
      <c r="C141" s="51" t="str">
        <f>IF($AB141="","",INDEX('ORDER Form'!$C$1:$C$355,$AB141))</f>
        <v/>
      </c>
      <c r="D141" s="49"/>
      <c r="E141" s="49"/>
      <c r="F141" s="49"/>
      <c r="G141" s="49"/>
      <c r="H141" s="49"/>
      <c r="I141" s="49"/>
      <c r="J141" s="50" t="str">
        <f>IF($AB141="","",INDEX('ORDER Form'!$D$1:$D$355,$AB141)&amp;"")</f>
        <v/>
      </c>
      <c r="K141" s="50" t="str">
        <f>IF($AB141="","",INDEX('ORDER Form'!$E$1:$E$355,$AB141)&amp;"")</f>
        <v/>
      </c>
      <c r="L141" s="50" t="str">
        <f>IF($AB141="","",INDEX('ORDER Form'!$F$1:$F$355,$AB141)&amp;"")</f>
        <v/>
      </c>
      <c r="M141" s="50" t="str">
        <f>IF($AB141="","",INDEX('ORDER Form'!$G$1:$G$355,$AB141)&amp;"")</f>
        <v/>
      </c>
      <c r="N141" s="50" t="str">
        <f>IF($AB141="","",INDEX('ORDER Form'!$H$1:$H$355,$AB141)&amp;"")</f>
        <v/>
      </c>
      <c r="O141" s="50" t="str">
        <f>IF($AB141="","",INDEX('ORDER Form'!$I$1:$I$355,$AB141)&amp;"")</f>
        <v/>
      </c>
      <c r="P141" s="50" t="str">
        <f>IF($AB141="","",INDEX('ORDER Form'!$J$1:$J$355,$AB141)&amp;"")</f>
        <v/>
      </c>
      <c r="Q141" s="50" t="str">
        <f>IF($AB141="","",INDEX('ORDER Form'!$AB$1:$AB$355,$AB141)&amp;"")</f>
        <v/>
      </c>
      <c r="R141" s="50" t="str">
        <f>IF($AB141="","",INDEX('ORDER Form'!$L$1:$L$355,$AB141)&amp;"")</f>
        <v/>
      </c>
      <c r="S141" s="50" t="str">
        <f>IF($AB141="","",INDEX('ORDER Form'!$N$1:$N$355,$AB141)&amp;"")</f>
        <v/>
      </c>
      <c r="T141" s="50" t="str">
        <f>IF($AB141="","",IF($AD141,T$3,INDEX('ORDER Form'!$O$1:$O$355,$AB141))&amp;"")</f>
        <v/>
      </c>
      <c r="U141" s="50" t="str">
        <f>IF($AB141="","",IF($AD141,U$3,INDEX('ORDER Form'!$P$1:$P$355,$AB141))&amp;"")</f>
        <v/>
      </c>
      <c r="V141" s="50" t="str">
        <f>IF($AB141="","",IF($AD141,V$3,INDEX('ORDER Form'!$Q$1:$Q$355,$AB141))&amp;"")</f>
        <v/>
      </c>
      <c r="W141" s="50" t="str">
        <f>IF($AB141="","",IF($AD141,W$3,INDEX('ORDER Form'!$R$1:$R$355,$AB141))&amp;"")</f>
        <v/>
      </c>
      <c r="X141" s="50" t="str">
        <f>IF($AB141="","",IF($AD141,X$3,INDEX('ORDER Form'!$S$1:$S$355,$AB141))&amp;"")</f>
        <v/>
      </c>
      <c r="Y141" s="50" t="str">
        <f>IF($AB141="","",IF($AD141,Y$3,INDEX('ORDER Form'!$T$1:$T$355,$AB141))&amp;"")</f>
        <v/>
      </c>
      <c r="Z141" s="50" t="str">
        <f>IF($AB141="","",IF($AD141,Z$3,INDEX('ORDER Form'!$U$1:$U$355,$AB141))&amp;"")</f>
        <v/>
      </c>
      <c r="AB141" s="51" t="str">
        <f>IFERROR(MATCH(137,$AC$5:$AC$354,0)+5,"")</f>
        <v/>
      </c>
      <c r="AC141" s="51" t="str">
        <f>IF('ORDER Form'!$V142="OK",COUNTIF('ORDER Form'!$V$6:$V142,"OK"),"")</f>
        <v/>
      </c>
      <c r="AD141" s="51" t="str">
        <f>IF($AB141="","",(LEN(TRIM(INDEX('ORDER Form'!$O$1:$O$355,$AB141)))+LEN(TRIM(INDEX('ORDER Form'!$P$1:$P$355,$AB141)))+LEN(TRIM(INDEX('ORDER Form'!$Q$1:$Q$355,$AB141)))+LEN(TRIM(INDEX('ORDER Form'!$R$1:$R$355,$AB141)))+LEN(TRIM(INDEX('ORDER Form'!$S$1:$S$355,$AB141)))+LEN(TRIM(INDEX('ORDER Form'!$T$1:$T$355,$AB141)))+LEN(TRIM(INDEX('ORDER Form'!$U$1:$U$355,$AB141))))=0)</f>
        <v/>
      </c>
    </row>
    <row r="142" spans="1:30" ht="15" customHeight="1" x14ac:dyDescent="0.25">
      <c r="A142" s="50" t="str">
        <f>IF($AB142="","",IFERROR(IF(AND(INDEX('ORDER Form'!$N$1:$N$355,$AB142)="GB",LEFT(UPPER(TRIM(INDEX('ORDER Form'!$L$1:$L$355,$AB142))),2)="BT"),INDEX('ORDER Form'!$AC$1:$AC$355,$AB142),IFERROR(VLOOKUP(INDEX('ORDER Form'!$AC$1:$AC$355,$AB142)&amp;"|"&amp;INDEX('PRODUCT DATA'!$A$2:$A$58,MATCH(INDEX('ORDER Form'!$N$1:$N$355,$AB142),'PRODUCT DATA'!$B$2:$B$58,0)),'PRODUCT DATA'!$NO$2:$NP$25,2,FALSE()),INDEX('ORDER Form'!$AC$1:$AC$355,$AB142)))&amp;"",""))</f>
        <v/>
      </c>
      <c r="B142" s="49"/>
      <c r="C142" s="51" t="str">
        <f>IF($AB142="","",INDEX('ORDER Form'!$C$1:$C$355,$AB142))</f>
        <v/>
      </c>
      <c r="D142" s="49"/>
      <c r="E142" s="49"/>
      <c r="F142" s="49"/>
      <c r="G142" s="49"/>
      <c r="H142" s="49"/>
      <c r="I142" s="49"/>
      <c r="J142" s="50" t="str">
        <f>IF($AB142="","",INDEX('ORDER Form'!$D$1:$D$355,$AB142)&amp;"")</f>
        <v/>
      </c>
      <c r="K142" s="50" t="str">
        <f>IF($AB142="","",INDEX('ORDER Form'!$E$1:$E$355,$AB142)&amp;"")</f>
        <v/>
      </c>
      <c r="L142" s="50" t="str">
        <f>IF($AB142="","",INDEX('ORDER Form'!$F$1:$F$355,$AB142)&amp;"")</f>
        <v/>
      </c>
      <c r="M142" s="50" t="str">
        <f>IF($AB142="","",INDEX('ORDER Form'!$G$1:$G$355,$AB142)&amp;"")</f>
        <v/>
      </c>
      <c r="N142" s="50" t="str">
        <f>IF($AB142="","",INDEX('ORDER Form'!$H$1:$H$355,$AB142)&amp;"")</f>
        <v/>
      </c>
      <c r="O142" s="50" t="str">
        <f>IF($AB142="","",INDEX('ORDER Form'!$I$1:$I$355,$AB142)&amp;"")</f>
        <v/>
      </c>
      <c r="P142" s="50" t="str">
        <f>IF($AB142="","",INDEX('ORDER Form'!$J$1:$J$355,$AB142)&amp;"")</f>
        <v/>
      </c>
      <c r="Q142" s="50" t="str">
        <f>IF($AB142="","",INDEX('ORDER Form'!$AB$1:$AB$355,$AB142)&amp;"")</f>
        <v/>
      </c>
      <c r="R142" s="50" t="str">
        <f>IF($AB142="","",INDEX('ORDER Form'!$L$1:$L$355,$AB142)&amp;"")</f>
        <v/>
      </c>
      <c r="S142" s="50" t="str">
        <f>IF($AB142="","",INDEX('ORDER Form'!$N$1:$N$355,$AB142)&amp;"")</f>
        <v/>
      </c>
      <c r="T142" s="50" t="str">
        <f>IF($AB142="","",IF($AD142,T$3,INDEX('ORDER Form'!$O$1:$O$355,$AB142))&amp;"")</f>
        <v/>
      </c>
      <c r="U142" s="50" t="str">
        <f>IF($AB142="","",IF($AD142,U$3,INDEX('ORDER Form'!$P$1:$P$355,$AB142))&amp;"")</f>
        <v/>
      </c>
      <c r="V142" s="50" t="str">
        <f>IF($AB142="","",IF($AD142,V$3,INDEX('ORDER Form'!$Q$1:$Q$355,$AB142))&amp;"")</f>
        <v/>
      </c>
      <c r="W142" s="50" t="str">
        <f>IF($AB142="","",IF($AD142,W$3,INDEX('ORDER Form'!$R$1:$R$355,$AB142))&amp;"")</f>
        <v/>
      </c>
      <c r="X142" s="50" t="str">
        <f>IF($AB142="","",IF($AD142,X$3,INDEX('ORDER Form'!$S$1:$S$355,$AB142))&amp;"")</f>
        <v/>
      </c>
      <c r="Y142" s="50" t="str">
        <f>IF($AB142="","",IF($AD142,Y$3,INDEX('ORDER Form'!$T$1:$T$355,$AB142))&amp;"")</f>
        <v/>
      </c>
      <c r="Z142" s="50" t="str">
        <f>IF($AB142="","",IF($AD142,Z$3,INDEX('ORDER Form'!$U$1:$U$355,$AB142))&amp;"")</f>
        <v/>
      </c>
      <c r="AB142" s="51" t="str">
        <f>IFERROR(MATCH(138,$AC$5:$AC$354,0)+5,"")</f>
        <v/>
      </c>
      <c r="AC142" s="51" t="str">
        <f>IF('ORDER Form'!$V143="OK",COUNTIF('ORDER Form'!$V$6:$V143,"OK"),"")</f>
        <v/>
      </c>
      <c r="AD142" s="51" t="str">
        <f>IF($AB142="","",(LEN(TRIM(INDEX('ORDER Form'!$O$1:$O$355,$AB142)))+LEN(TRIM(INDEX('ORDER Form'!$P$1:$P$355,$AB142)))+LEN(TRIM(INDEX('ORDER Form'!$Q$1:$Q$355,$AB142)))+LEN(TRIM(INDEX('ORDER Form'!$R$1:$R$355,$AB142)))+LEN(TRIM(INDEX('ORDER Form'!$S$1:$S$355,$AB142)))+LEN(TRIM(INDEX('ORDER Form'!$T$1:$T$355,$AB142)))+LEN(TRIM(INDEX('ORDER Form'!$U$1:$U$355,$AB142))))=0)</f>
        <v/>
      </c>
    </row>
    <row r="143" spans="1:30" ht="15" customHeight="1" x14ac:dyDescent="0.25">
      <c r="A143" s="50" t="str">
        <f>IF($AB143="","",IFERROR(IF(AND(INDEX('ORDER Form'!$N$1:$N$355,$AB143)="GB",LEFT(UPPER(TRIM(INDEX('ORDER Form'!$L$1:$L$355,$AB143))),2)="BT"),INDEX('ORDER Form'!$AC$1:$AC$355,$AB143),IFERROR(VLOOKUP(INDEX('ORDER Form'!$AC$1:$AC$355,$AB143)&amp;"|"&amp;INDEX('PRODUCT DATA'!$A$2:$A$58,MATCH(INDEX('ORDER Form'!$N$1:$N$355,$AB143),'PRODUCT DATA'!$B$2:$B$58,0)),'PRODUCT DATA'!$NO$2:$NP$25,2,FALSE()),INDEX('ORDER Form'!$AC$1:$AC$355,$AB143)))&amp;"",""))</f>
        <v/>
      </c>
      <c r="B143" s="49"/>
      <c r="C143" s="51" t="str">
        <f>IF($AB143="","",INDEX('ORDER Form'!$C$1:$C$355,$AB143))</f>
        <v/>
      </c>
      <c r="D143" s="49"/>
      <c r="E143" s="49"/>
      <c r="F143" s="49"/>
      <c r="G143" s="49"/>
      <c r="H143" s="49"/>
      <c r="I143" s="49"/>
      <c r="J143" s="50" t="str">
        <f>IF($AB143="","",INDEX('ORDER Form'!$D$1:$D$355,$AB143)&amp;"")</f>
        <v/>
      </c>
      <c r="K143" s="50" t="str">
        <f>IF($AB143="","",INDEX('ORDER Form'!$E$1:$E$355,$AB143)&amp;"")</f>
        <v/>
      </c>
      <c r="L143" s="50" t="str">
        <f>IF($AB143="","",INDEX('ORDER Form'!$F$1:$F$355,$AB143)&amp;"")</f>
        <v/>
      </c>
      <c r="M143" s="50" t="str">
        <f>IF($AB143="","",INDEX('ORDER Form'!$G$1:$G$355,$AB143)&amp;"")</f>
        <v/>
      </c>
      <c r="N143" s="50" t="str">
        <f>IF($AB143="","",INDEX('ORDER Form'!$H$1:$H$355,$AB143)&amp;"")</f>
        <v/>
      </c>
      <c r="O143" s="50" t="str">
        <f>IF($AB143="","",INDEX('ORDER Form'!$I$1:$I$355,$AB143)&amp;"")</f>
        <v/>
      </c>
      <c r="P143" s="50" t="str">
        <f>IF($AB143="","",INDEX('ORDER Form'!$J$1:$J$355,$AB143)&amp;"")</f>
        <v/>
      </c>
      <c r="Q143" s="50" t="str">
        <f>IF($AB143="","",INDEX('ORDER Form'!$AB$1:$AB$355,$AB143)&amp;"")</f>
        <v/>
      </c>
      <c r="R143" s="50" t="str">
        <f>IF($AB143="","",INDEX('ORDER Form'!$L$1:$L$355,$AB143)&amp;"")</f>
        <v/>
      </c>
      <c r="S143" s="50" t="str">
        <f>IF($AB143="","",INDEX('ORDER Form'!$N$1:$N$355,$AB143)&amp;"")</f>
        <v/>
      </c>
      <c r="T143" s="50" t="str">
        <f>IF($AB143="","",IF($AD143,T$3,INDEX('ORDER Form'!$O$1:$O$355,$AB143))&amp;"")</f>
        <v/>
      </c>
      <c r="U143" s="50" t="str">
        <f>IF($AB143="","",IF($AD143,U$3,INDEX('ORDER Form'!$P$1:$P$355,$AB143))&amp;"")</f>
        <v/>
      </c>
      <c r="V143" s="50" t="str">
        <f>IF($AB143="","",IF($AD143,V$3,INDEX('ORDER Form'!$Q$1:$Q$355,$AB143))&amp;"")</f>
        <v/>
      </c>
      <c r="W143" s="50" t="str">
        <f>IF($AB143="","",IF($AD143,W$3,INDEX('ORDER Form'!$R$1:$R$355,$AB143))&amp;"")</f>
        <v/>
      </c>
      <c r="X143" s="50" t="str">
        <f>IF($AB143="","",IF($AD143,X$3,INDEX('ORDER Form'!$S$1:$S$355,$AB143))&amp;"")</f>
        <v/>
      </c>
      <c r="Y143" s="50" t="str">
        <f>IF($AB143="","",IF($AD143,Y$3,INDEX('ORDER Form'!$T$1:$T$355,$AB143))&amp;"")</f>
        <v/>
      </c>
      <c r="Z143" s="50" t="str">
        <f>IF($AB143="","",IF($AD143,Z$3,INDEX('ORDER Form'!$U$1:$U$355,$AB143))&amp;"")</f>
        <v/>
      </c>
      <c r="AB143" s="51" t="str">
        <f>IFERROR(MATCH(139,$AC$5:$AC$354,0)+5,"")</f>
        <v/>
      </c>
      <c r="AC143" s="51" t="str">
        <f>IF('ORDER Form'!$V144="OK",COUNTIF('ORDER Form'!$V$6:$V144,"OK"),"")</f>
        <v/>
      </c>
      <c r="AD143" s="51" t="str">
        <f>IF($AB143="","",(LEN(TRIM(INDEX('ORDER Form'!$O$1:$O$355,$AB143)))+LEN(TRIM(INDEX('ORDER Form'!$P$1:$P$355,$AB143)))+LEN(TRIM(INDEX('ORDER Form'!$Q$1:$Q$355,$AB143)))+LEN(TRIM(INDEX('ORDER Form'!$R$1:$R$355,$AB143)))+LEN(TRIM(INDEX('ORDER Form'!$S$1:$S$355,$AB143)))+LEN(TRIM(INDEX('ORDER Form'!$T$1:$T$355,$AB143)))+LEN(TRIM(INDEX('ORDER Form'!$U$1:$U$355,$AB143))))=0)</f>
        <v/>
      </c>
    </row>
    <row r="144" spans="1:30" ht="15" customHeight="1" x14ac:dyDescent="0.25">
      <c r="A144" s="50" t="str">
        <f>IF($AB144="","",IFERROR(IF(AND(INDEX('ORDER Form'!$N$1:$N$355,$AB144)="GB",LEFT(UPPER(TRIM(INDEX('ORDER Form'!$L$1:$L$355,$AB144))),2)="BT"),INDEX('ORDER Form'!$AC$1:$AC$355,$AB144),IFERROR(VLOOKUP(INDEX('ORDER Form'!$AC$1:$AC$355,$AB144)&amp;"|"&amp;INDEX('PRODUCT DATA'!$A$2:$A$58,MATCH(INDEX('ORDER Form'!$N$1:$N$355,$AB144),'PRODUCT DATA'!$B$2:$B$58,0)),'PRODUCT DATA'!$NO$2:$NP$25,2,FALSE()),INDEX('ORDER Form'!$AC$1:$AC$355,$AB144)))&amp;"",""))</f>
        <v/>
      </c>
      <c r="B144" s="49"/>
      <c r="C144" s="51" t="str">
        <f>IF($AB144="","",INDEX('ORDER Form'!$C$1:$C$355,$AB144))</f>
        <v/>
      </c>
      <c r="D144" s="49"/>
      <c r="E144" s="49"/>
      <c r="F144" s="49"/>
      <c r="G144" s="49"/>
      <c r="H144" s="49"/>
      <c r="I144" s="49"/>
      <c r="J144" s="50" t="str">
        <f>IF($AB144="","",INDEX('ORDER Form'!$D$1:$D$355,$AB144)&amp;"")</f>
        <v/>
      </c>
      <c r="K144" s="50" t="str">
        <f>IF($AB144="","",INDEX('ORDER Form'!$E$1:$E$355,$AB144)&amp;"")</f>
        <v/>
      </c>
      <c r="L144" s="50" t="str">
        <f>IF($AB144="","",INDEX('ORDER Form'!$F$1:$F$355,$AB144)&amp;"")</f>
        <v/>
      </c>
      <c r="M144" s="50" t="str">
        <f>IF($AB144="","",INDEX('ORDER Form'!$G$1:$G$355,$AB144)&amp;"")</f>
        <v/>
      </c>
      <c r="N144" s="50" t="str">
        <f>IF($AB144="","",INDEX('ORDER Form'!$H$1:$H$355,$AB144)&amp;"")</f>
        <v/>
      </c>
      <c r="O144" s="50" t="str">
        <f>IF($AB144="","",INDEX('ORDER Form'!$I$1:$I$355,$AB144)&amp;"")</f>
        <v/>
      </c>
      <c r="P144" s="50" t="str">
        <f>IF($AB144="","",INDEX('ORDER Form'!$J$1:$J$355,$AB144)&amp;"")</f>
        <v/>
      </c>
      <c r="Q144" s="50" t="str">
        <f>IF($AB144="","",INDEX('ORDER Form'!$AB$1:$AB$355,$AB144)&amp;"")</f>
        <v/>
      </c>
      <c r="R144" s="50" t="str">
        <f>IF($AB144="","",INDEX('ORDER Form'!$L$1:$L$355,$AB144)&amp;"")</f>
        <v/>
      </c>
      <c r="S144" s="50" t="str">
        <f>IF($AB144="","",INDEX('ORDER Form'!$N$1:$N$355,$AB144)&amp;"")</f>
        <v/>
      </c>
      <c r="T144" s="50" t="str">
        <f>IF($AB144="","",IF($AD144,T$3,INDEX('ORDER Form'!$O$1:$O$355,$AB144))&amp;"")</f>
        <v/>
      </c>
      <c r="U144" s="50" t="str">
        <f>IF($AB144="","",IF($AD144,U$3,INDEX('ORDER Form'!$P$1:$P$355,$AB144))&amp;"")</f>
        <v/>
      </c>
      <c r="V144" s="50" t="str">
        <f>IF($AB144="","",IF($AD144,V$3,INDEX('ORDER Form'!$Q$1:$Q$355,$AB144))&amp;"")</f>
        <v/>
      </c>
      <c r="W144" s="50" t="str">
        <f>IF($AB144="","",IF($AD144,W$3,INDEX('ORDER Form'!$R$1:$R$355,$AB144))&amp;"")</f>
        <v/>
      </c>
      <c r="X144" s="50" t="str">
        <f>IF($AB144="","",IF($AD144,X$3,INDEX('ORDER Form'!$S$1:$S$355,$AB144))&amp;"")</f>
        <v/>
      </c>
      <c r="Y144" s="50" t="str">
        <f>IF($AB144="","",IF($AD144,Y$3,INDEX('ORDER Form'!$T$1:$T$355,$AB144))&amp;"")</f>
        <v/>
      </c>
      <c r="Z144" s="50" t="str">
        <f>IF($AB144="","",IF($AD144,Z$3,INDEX('ORDER Form'!$U$1:$U$355,$AB144))&amp;"")</f>
        <v/>
      </c>
      <c r="AB144" s="51" t="str">
        <f>IFERROR(MATCH(140,$AC$5:$AC$354,0)+5,"")</f>
        <v/>
      </c>
      <c r="AC144" s="51" t="str">
        <f>IF('ORDER Form'!$V145="OK",COUNTIF('ORDER Form'!$V$6:$V145,"OK"),"")</f>
        <v/>
      </c>
      <c r="AD144" s="51" t="str">
        <f>IF($AB144="","",(LEN(TRIM(INDEX('ORDER Form'!$O$1:$O$355,$AB144)))+LEN(TRIM(INDEX('ORDER Form'!$P$1:$P$355,$AB144)))+LEN(TRIM(INDEX('ORDER Form'!$Q$1:$Q$355,$AB144)))+LEN(TRIM(INDEX('ORDER Form'!$R$1:$R$355,$AB144)))+LEN(TRIM(INDEX('ORDER Form'!$S$1:$S$355,$AB144)))+LEN(TRIM(INDEX('ORDER Form'!$T$1:$T$355,$AB144)))+LEN(TRIM(INDEX('ORDER Form'!$U$1:$U$355,$AB144))))=0)</f>
        <v/>
      </c>
    </row>
    <row r="145" spans="1:30" ht="15" customHeight="1" x14ac:dyDescent="0.25">
      <c r="A145" s="50" t="str">
        <f>IF($AB145="","",IFERROR(IF(AND(INDEX('ORDER Form'!$N$1:$N$355,$AB145)="GB",LEFT(UPPER(TRIM(INDEX('ORDER Form'!$L$1:$L$355,$AB145))),2)="BT"),INDEX('ORDER Form'!$AC$1:$AC$355,$AB145),IFERROR(VLOOKUP(INDEX('ORDER Form'!$AC$1:$AC$355,$AB145)&amp;"|"&amp;INDEX('PRODUCT DATA'!$A$2:$A$58,MATCH(INDEX('ORDER Form'!$N$1:$N$355,$AB145),'PRODUCT DATA'!$B$2:$B$58,0)),'PRODUCT DATA'!$NO$2:$NP$25,2,FALSE()),INDEX('ORDER Form'!$AC$1:$AC$355,$AB145)))&amp;"",""))</f>
        <v/>
      </c>
      <c r="B145" s="49"/>
      <c r="C145" s="51" t="str">
        <f>IF($AB145="","",INDEX('ORDER Form'!$C$1:$C$355,$AB145))</f>
        <v/>
      </c>
      <c r="D145" s="49"/>
      <c r="E145" s="49"/>
      <c r="F145" s="49"/>
      <c r="G145" s="49"/>
      <c r="H145" s="49"/>
      <c r="I145" s="49"/>
      <c r="J145" s="50" t="str">
        <f>IF($AB145="","",INDEX('ORDER Form'!$D$1:$D$355,$AB145)&amp;"")</f>
        <v/>
      </c>
      <c r="K145" s="50" t="str">
        <f>IF($AB145="","",INDEX('ORDER Form'!$E$1:$E$355,$AB145)&amp;"")</f>
        <v/>
      </c>
      <c r="L145" s="50" t="str">
        <f>IF($AB145="","",INDEX('ORDER Form'!$F$1:$F$355,$AB145)&amp;"")</f>
        <v/>
      </c>
      <c r="M145" s="50" t="str">
        <f>IF($AB145="","",INDEX('ORDER Form'!$G$1:$G$355,$AB145)&amp;"")</f>
        <v/>
      </c>
      <c r="N145" s="50" t="str">
        <f>IF($AB145="","",INDEX('ORDER Form'!$H$1:$H$355,$AB145)&amp;"")</f>
        <v/>
      </c>
      <c r="O145" s="50" t="str">
        <f>IF($AB145="","",INDEX('ORDER Form'!$I$1:$I$355,$AB145)&amp;"")</f>
        <v/>
      </c>
      <c r="P145" s="50" t="str">
        <f>IF($AB145="","",INDEX('ORDER Form'!$J$1:$J$355,$AB145)&amp;"")</f>
        <v/>
      </c>
      <c r="Q145" s="50" t="str">
        <f>IF($AB145="","",INDEX('ORDER Form'!$AB$1:$AB$355,$AB145)&amp;"")</f>
        <v/>
      </c>
      <c r="R145" s="50" t="str">
        <f>IF($AB145="","",INDEX('ORDER Form'!$L$1:$L$355,$AB145)&amp;"")</f>
        <v/>
      </c>
      <c r="S145" s="50" t="str">
        <f>IF($AB145="","",INDEX('ORDER Form'!$N$1:$N$355,$AB145)&amp;"")</f>
        <v/>
      </c>
      <c r="T145" s="50" t="str">
        <f>IF($AB145="","",IF($AD145,T$3,INDEX('ORDER Form'!$O$1:$O$355,$AB145))&amp;"")</f>
        <v/>
      </c>
      <c r="U145" s="50" t="str">
        <f>IF($AB145="","",IF($AD145,U$3,INDEX('ORDER Form'!$P$1:$P$355,$AB145))&amp;"")</f>
        <v/>
      </c>
      <c r="V145" s="50" t="str">
        <f>IF($AB145="","",IF($AD145,V$3,INDEX('ORDER Form'!$Q$1:$Q$355,$AB145))&amp;"")</f>
        <v/>
      </c>
      <c r="W145" s="50" t="str">
        <f>IF($AB145="","",IF($AD145,W$3,INDEX('ORDER Form'!$R$1:$R$355,$AB145))&amp;"")</f>
        <v/>
      </c>
      <c r="X145" s="50" t="str">
        <f>IF($AB145="","",IF($AD145,X$3,INDEX('ORDER Form'!$S$1:$S$355,$AB145))&amp;"")</f>
        <v/>
      </c>
      <c r="Y145" s="50" t="str">
        <f>IF($AB145="","",IF($AD145,Y$3,INDEX('ORDER Form'!$T$1:$T$355,$AB145))&amp;"")</f>
        <v/>
      </c>
      <c r="Z145" s="50" t="str">
        <f>IF($AB145="","",IF($AD145,Z$3,INDEX('ORDER Form'!$U$1:$U$355,$AB145))&amp;"")</f>
        <v/>
      </c>
      <c r="AB145" s="51" t="str">
        <f>IFERROR(MATCH(141,$AC$5:$AC$354,0)+5,"")</f>
        <v/>
      </c>
      <c r="AC145" s="51" t="str">
        <f>IF('ORDER Form'!$V146="OK",COUNTIF('ORDER Form'!$V$6:$V146,"OK"),"")</f>
        <v/>
      </c>
      <c r="AD145" s="51" t="str">
        <f>IF($AB145="","",(LEN(TRIM(INDEX('ORDER Form'!$O$1:$O$355,$AB145)))+LEN(TRIM(INDEX('ORDER Form'!$P$1:$P$355,$AB145)))+LEN(TRIM(INDEX('ORDER Form'!$Q$1:$Q$355,$AB145)))+LEN(TRIM(INDEX('ORDER Form'!$R$1:$R$355,$AB145)))+LEN(TRIM(INDEX('ORDER Form'!$S$1:$S$355,$AB145)))+LEN(TRIM(INDEX('ORDER Form'!$T$1:$T$355,$AB145)))+LEN(TRIM(INDEX('ORDER Form'!$U$1:$U$355,$AB145))))=0)</f>
        <v/>
      </c>
    </row>
    <row r="146" spans="1:30" ht="15" customHeight="1" x14ac:dyDescent="0.25">
      <c r="A146" s="50" t="str">
        <f>IF($AB146="","",IFERROR(IF(AND(INDEX('ORDER Form'!$N$1:$N$355,$AB146)="GB",LEFT(UPPER(TRIM(INDEX('ORDER Form'!$L$1:$L$355,$AB146))),2)="BT"),INDEX('ORDER Form'!$AC$1:$AC$355,$AB146),IFERROR(VLOOKUP(INDEX('ORDER Form'!$AC$1:$AC$355,$AB146)&amp;"|"&amp;INDEX('PRODUCT DATA'!$A$2:$A$58,MATCH(INDEX('ORDER Form'!$N$1:$N$355,$AB146),'PRODUCT DATA'!$B$2:$B$58,0)),'PRODUCT DATA'!$NO$2:$NP$25,2,FALSE()),INDEX('ORDER Form'!$AC$1:$AC$355,$AB146)))&amp;"",""))</f>
        <v/>
      </c>
      <c r="B146" s="49"/>
      <c r="C146" s="51" t="str">
        <f>IF($AB146="","",INDEX('ORDER Form'!$C$1:$C$355,$AB146))</f>
        <v/>
      </c>
      <c r="D146" s="49"/>
      <c r="E146" s="49"/>
      <c r="F146" s="49"/>
      <c r="G146" s="49"/>
      <c r="H146" s="49"/>
      <c r="I146" s="49"/>
      <c r="J146" s="50" t="str">
        <f>IF($AB146="","",INDEX('ORDER Form'!$D$1:$D$355,$AB146)&amp;"")</f>
        <v/>
      </c>
      <c r="K146" s="50" t="str">
        <f>IF($AB146="","",INDEX('ORDER Form'!$E$1:$E$355,$AB146)&amp;"")</f>
        <v/>
      </c>
      <c r="L146" s="50" t="str">
        <f>IF($AB146="","",INDEX('ORDER Form'!$F$1:$F$355,$AB146)&amp;"")</f>
        <v/>
      </c>
      <c r="M146" s="50" t="str">
        <f>IF($AB146="","",INDEX('ORDER Form'!$G$1:$G$355,$AB146)&amp;"")</f>
        <v/>
      </c>
      <c r="N146" s="50" t="str">
        <f>IF($AB146="","",INDEX('ORDER Form'!$H$1:$H$355,$AB146)&amp;"")</f>
        <v/>
      </c>
      <c r="O146" s="50" t="str">
        <f>IF($AB146="","",INDEX('ORDER Form'!$I$1:$I$355,$AB146)&amp;"")</f>
        <v/>
      </c>
      <c r="P146" s="50" t="str">
        <f>IF($AB146="","",INDEX('ORDER Form'!$J$1:$J$355,$AB146)&amp;"")</f>
        <v/>
      </c>
      <c r="Q146" s="50" t="str">
        <f>IF($AB146="","",INDEX('ORDER Form'!$AB$1:$AB$355,$AB146)&amp;"")</f>
        <v/>
      </c>
      <c r="R146" s="50" t="str">
        <f>IF($AB146="","",INDEX('ORDER Form'!$L$1:$L$355,$AB146)&amp;"")</f>
        <v/>
      </c>
      <c r="S146" s="50" t="str">
        <f>IF($AB146="","",INDEX('ORDER Form'!$N$1:$N$355,$AB146)&amp;"")</f>
        <v/>
      </c>
      <c r="T146" s="50" t="str">
        <f>IF($AB146="","",IF($AD146,T$3,INDEX('ORDER Form'!$O$1:$O$355,$AB146))&amp;"")</f>
        <v/>
      </c>
      <c r="U146" s="50" t="str">
        <f>IF($AB146="","",IF($AD146,U$3,INDEX('ORDER Form'!$P$1:$P$355,$AB146))&amp;"")</f>
        <v/>
      </c>
      <c r="V146" s="50" t="str">
        <f>IF($AB146="","",IF($AD146,V$3,INDEX('ORDER Form'!$Q$1:$Q$355,$AB146))&amp;"")</f>
        <v/>
      </c>
      <c r="W146" s="50" t="str">
        <f>IF($AB146="","",IF($AD146,W$3,INDEX('ORDER Form'!$R$1:$R$355,$AB146))&amp;"")</f>
        <v/>
      </c>
      <c r="X146" s="50" t="str">
        <f>IF($AB146="","",IF($AD146,X$3,INDEX('ORDER Form'!$S$1:$S$355,$AB146))&amp;"")</f>
        <v/>
      </c>
      <c r="Y146" s="50" t="str">
        <f>IF($AB146="","",IF($AD146,Y$3,INDEX('ORDER Form'!$T$1:$T$355,$AB146))&amp;"")</f>
        <v/>
      </c>
      <c r="Z146" s="50" t="str">
        <f>IF($AB146="","",IF($AD146,Z$3,INDEX('ORDER Form'!$U$1:$U$355,$AB146))&amp;"")</f>
        <v/>
      </c>
      <c r="AB146" s="51" t="str">
        <f>IFERROR(MATCH(142,$AC$5:$AC$354,0)+5,"")</f>
        <v/>
      </c>
      <c r="AC146" s="51" t="str">
        <f>IF('ORDER Form'!$V147="OK",COUNTIF('ORDER Form'!$V$6:$V147,"OK"),"")</f>
        <v/>
      </c>
      <c r="AD146" s="51" t="str">
        <f>IF($AB146="","",(LEN(TRIM(INDEX('ORDER Form'!$O$1:$O$355,$AB146)))+LEN(TRIM(INDEX('ORDER Form'!$P$1:$P$355,$AB146)))+LEN(TRIM(INDEX('ORDER Form'!$Q$1:$Q$355,$AB146)))+LEN(TRIM(INDEX('ORDER Form'!$R$1:$R$355,$AB146)))+LEN(TRIM(INDEX('ORDER Form'!$S$1:$S$355,$AB146)))+LEN(TRIM(INDEX('ORDER Form'!$T$1:$T$355,$AB146)))+LEN(TRIM(INDEX('ORDER Form'!$U$1:$U$355,$AB146))))=0)</f>
        <v/>
      </c>
    </row>
    <row r="147" spans="1:30" ht="15" customHeight="1" x14ac:dyDescent="0.25">
      <c r="A147" s="50" t="str">
        <f>IF($AB147="","",IFERROR(IF(AND(INDEX('ORDER Form'!$N$1:$N$355,$AB147)="GB",LEFT(UPPER(TRIM(INDEX('ORDER Form'!$L$1:$L$355,$AB147))),2)="BT"),INDEX('ORDER Form'!$AC$1:$AC$355,$AB147),IFERROR(VLOOKUP(INDEX('ORDER Form'!$AC$1:$AC$355,$AB147)&amp;"|"&amp;INDEX('PRODUCT DATA'!$A$2:$A$58,MATCH(INDEX('ORDER Form'!$N$1:$N$355,$AB147),'PRODUCT DATA'!$B$2:$B$58,0)),'PRODUCT DATA'!$NO$2:$NP$25,2,FALSE()),INDEX('ORDER Form'!$AC$1:$AC$355,$AB147)))&amp;"",""))</f>
        <v/>
      </c>
      <c r="B147" s="49"/>
      <c r="C147" s="51" t="str">
        <f>IF($AB147="","",INDEX('ORDER Form'!$C$1:$C$355,$AB147))</f>
        <v/>
      </c>
      <c r="D147" s="49"/>
      <c r="E147" s="49"/>
      <c r="F147" s="49"/>
      <c r="G147" s="49"/>
      <c r="H147" s="49"/>
      <c r="I147" s="49"/>
      <c r="J147" s="50" t="str">
        <f>IF($AB147="","",INDEX('ORDER Form'!$D$1:$D$355,$AB147)&amp;"")</f>
        <v/>
      </c>
      <c r="K147" s="50" t="str">
        <f>IF($AB147="","",INDEX('ORDER Form'!$E$1:$E$355,$AB147)&amp;"")</f>
        <v/>
      </c>
      <c r="L147" s="50" t="str">
        <f>IF($AB147="","",INDEX('ORDER Form'!$F$1:$F$355,$AB147)&amp;"")</f>
        <v/>
      </c>
      <c r="M147" s="50" t="str">
        <f>IF($AB147="","",INDEX('ORDER Form'!$G$1:$G$355,$AB147)&amp;"")</f>
        <v/>
      </c>
      <c r="N147" s="50" t="str">
        <f>IF($AB147="","",INDEX('ORDER Form'!$H$1:$H$355,$AB147)&amp;"")</f>
        <v/>
      </c>
      <c r="O147" s="50" t="str">
        <f>IF($AB147="","",INDEX('ORDER Form'!$I$1:$I$355,$AB147)&amp;"")</f>
        <v/>
      </c>
      <c r="P147" s="50" t="str">
        <f>IF($AB147="","",INDEX('ORDER Form'!$J$1:$J$355,$AB147)&amp;"")</f>
        <v/>
      </c>
      <c r="Q147" s="50" t="str">
        <f>IF($AB147="","",INDEX('ORDER Form'!$AB$1:$AB$355,$AB147)&amp;"")</f>
        <v/>
      </c>
      <c r="R147" s="50" t="str">
        <f>IF($AB147="","",INDEX('ORDER Form'!$L$1:$L$355,$AB147)&amp;"")</f>
        <v/>
      </c>
      <c r="S147" s="50" t="str">
        <f>IF($AB147="","",INDEX('ORDER Form'!$N$1:$N$355,$AB147)&amp;"")</f>
        <v/>
      </c>
      <c r="T147" s="50" t="str">
        <f>IF($AB147="","",IF($AD147,T$3,INDEX('ORDER Form'!$O$1:$O$355,$AB147))&amp;"")</f>
        <v/>
      </c>
      <c r="U147" s="50" t="str">
        <f>IF($AB147="","",IF($AD147,U$3,INDEX('ORDER Form'!$P$1:$P$355,$AB147))&amp;"")</f>
        <v/>
      </c>
      <c r="V147" s="50" t="str">
        <f>IF($AB147="","",IF($AD147,V$3,INDEX('ORDER Form'!$Q$1:$Q$355,$AB147))&amp;"")</f>
        <v/>
      </c>
      <c r="W147" s="50" t="str">
        <f>IF($AB147="","",IF($AD147,W$3,INDEX('ORDER Form'!$R$1:$R$355,$AB147))&amp;"")</f>
        <v/>
      </c>
      <c r="X147" s="50" t="str">
        <f>IF($AB147="","",IF($AD147,X$3,INDEX('ORDER Form'!$S$1:$S$355,$AB147))&amp;"")</f>
        <v/>
      </c>
      <c r="Y147" s="50" t="str">
        <f>IF($AB147="","",IF($AD147,Y$3,INDEX('ORDER Form'!$T$1:$T$355,$AB147))&amp;"")</f>
        <v/>
      </c>
      <c r="Z147" s="50" t="str">
        <f>IF($AB147="","",IF($AD147,Z$3,INDEX('ORDER Form'!$U$1:$U$355,$AB147))&amp;"")</f>
        <v/>
      </c>
      <c r="AB147" s="51" t="str">
        <f>IFERROR(MATCH(143,$AC$5:$AC$354,0)+5,"")</f>
        <v/>
      </c>
      <c r="AC147" s="51" t="str">
        <f>IF('ORDER Form'!$V148="OK",COUNTIF('ORDER Form'!$V$6:$V148,"OK"),"")</f>
        <v/>
      </c>
      <c r="AD147" s="51" t="str">
        <f>IF($AB147="","",(LEN(TRIM(INDEX('ORDER Form'!$O$1:$O$355,$AB147)))+LEN(TRIM(INDEX('ORDER Form'!$P$1:$P$355,$AB147)))+LEN(TRIM(INDEX('ORDER Form'!$Q$1:$Q$355,$AB147)))+LEN(TRIM(INDEX('ORDER Form'!$R$1:$R$355,$AB147)))+LEN(TRIM(INDEX('ORDER Form'!$S$1:$S$355,$AB147)))+LEN(TRIM(INDEX('ORDER Form'!$T$1:$T$355,$AB147)))+LEN(TRIM(INDEX('ORDER Form'!$U$1:$U$355,$AB147))))=0)</f>
        <v/>
      </c>
    </row>
    <row r="148" spans="1:30" ht="15" customHeight="1" x14ac:dyDescent="0.25">
      <c r="A148" s="50" t="str">
        <f>IF($AB148="","",IFERROR(IF(AND(INDEX('ORDER Form'!$N$1:$N$355,$AB148)="GB",LEFT(UPPER(TRIM(INDEX('ORDER Form'!$L$1:$L$355,$AB148))),2)="BT"),INDEX('ORDER Form'!$AC$1:$AC$355,$AB148),IFERROR(VLOOKUP(INDEX('ORDER Form'!$AC$1:$AC$355,$AB148)&amp;"|"&amp;INDEX('PRODUCT DATA'!$A$2:$A$58,MATCH(INDEX('ORDER Form'!$N$1:$N$355,$AB148),'PRODUCT DATA'!$B$2:$B$58,0)),'PRODUCT DATA'!$NO$2:$NP$25,2,FALSE()),INDEX('ORDER Form'!$AC$1:$AC$355,$AB148)))&amp;"",""))</f>
        <v/>
      </c>
      <c r="B148" s="49"/>
      <c r="C148" s="51" t="str">
        <f>IF($AB148="","",INDEX('ORDER Form'!$C$1:$C$355,$AB148))</f>
        <v/>
      </c>
      <c r="D148" s="49"/>
      <c r="E148" s="49"/>
      <c r="F148" s="49"/>
      <c r="G148" s="49"/>
      <c r="H148" s="49"/>
      <c r="I148" s="49"/>
      <c r="J148" s="50" t="str">
        <f>IF($AB148="","",INDEX('ORDER Form'!$D$1:$D$355,$AB148)&amp;"")</f>
        <v/>
      </c>
      <c r="K148" s="50" t="str">
        <f>IF($AB148="","",INDEX('ORDER Form'!$E$1:$E$355,$AB148)&amp;"")</f>
        <v/>
      </c>
      <c r="L148" s="50" t="str">
        <f>IF($AB148="","",INDEX('ORDER Form'!$F$1:$F$355,$AB148)&amp;"")</f>
        <v/>
      </c>
      <c r="M148" s="50" t="str">
        <f>IF($AB148="","",INDEX('ORDER Form'!$G$1:$G$355,$AB148)&amp;"")</f>
        <v/>
      </c>
      <c r="N148" s="50" t="str">
        <f>IF($AB148="","",INDEX('ORDER Form'!$H$1:$H$355,$AB148)&amp;"")</f>
        <v/>
      </c>
      <c r="O148" s="50" t="str">
        <f>IF($AB148="","",INDEX('ORDER Form'!$I$1:$I$355,$AB148)&amp;"")</f>
        <v/>
      </c>
      <c r="P148" s="50" t="str">
        <f>IF($AB148="","",INDEX('ORDER Form'!$J$1:$J$355,$AB148)&amp;"")</f>
        <v/>
      </c>
      <c r="Q148" s="50" t="str">
        <f>IF($AB148="","",INDEX('ORDER Form'!$AB$1:$AB$355,$AB148)&amp;"")</f>
        <v/>
      </c>
      <c r="R148" s="50" t="str">
        <f>IF($AB148="","",INDEX('ORDER Form'!$L$1:$L$355,$AB148)&amp;"")</f>
        <v/>
      </c>
      <c r="S148" s="50" t="str">
        <f>IF($AB148="","",INDEX('ORDER Form'!$N$1:$N$355,$AB148)&amp;"")</f>
        <v/>
      </c>
      <c r="T148" s="50" t="str">
        <f>IF($AB148="","",IF($AD148,T$3,INDEX('ORDER Form'!$O$1:$O$355,$AB148))&amp;"")</f>
        <v/>
      </c>
      <c r="U148" s="50" t="str">
        <f>IF($AB148="","",IF($AD148,U$3,INDEX('ORDER Form'!$P$1:$P$355,$AB148))&amp;"")</f>
        <v/>
      </c>
      <c r="V148" s="50" t="str">
        <f>IF($AB148="","",IF($AD148,V$3,INDEX('ORDER Form'!$Q$1:$Q$355,$AB148))&amp;"")</f>
        <v/>
      </c>
      <c r="W148" s="50" t="str">
        <f>IF($AB148="","",IF($AD148,W$3,INDEX('ORDER Form'!$R$1:$R$355,$AB148))&amp;"")</f>
        <v/>
      </c>
      <c r="X148" s="50" t="str">
        <f>IF($AB148="","",IF($AD148,X$3,INDEX('ORDER Form'!$S$1:$S$355,$AB148))&amp;"")</f>
        <v/>
      </c>
      <c r="Y148" s="50" t="str">
        <f>IF($AB148="","",IF($AD148,Y$3,INDEX('ORDER Form'!$T$1:$T$355,$AB148))&amp;"")</f>
        <v/>
      </c>
      <c r="Z148" s="50" t="str">
        <f>IF($AB148="","",IF($AD148,Z$3,INDEX('ORDER Form'!$U$1:$U$355,$AB148))&amp;"")</f>
        <v/>
      </c>
      <c r="AB148" s="51" t="str">
        <f>IFERROR(MATCH(144,$AC$5:$AC$354,0)+5,"")</f>
        <v/>
      </c>
      <c r="AC148" s="51" t="str">
        <f>IF('ORDER Form'!$V149="OK",COUNTIF('ORDER Form'!$V$6:$V149,"OK"),"")</f>
        <v/>
      </c>
      <c r="AD148" s="51" t="str">
        <f>IF($AB148="","",(LEN(TRIM(INDEX('ORDER Form'!$O$1:$O$355,$AB148)))+LEN(TRIM(INDEX('ORDER Form'!$P$1:$P$355,$AB148)))+LEN(TRIM(INDEX('ORDER Form'!$Q$1:$Q$355,$AB148)))+LEN(TRIM(INDEX('ORDER Form'!$R$1:$R$355,$AB148)))+LEN(TRIM(INDEX('ORDER Form'!$S$1:$S$355,$AB148)))+LEN(TRIM(INDEX('ORDER Form'!$T$1:$T$355,$AB148)))+LEN(TRIM(INDEX('ORDER Form'!$U$1:$U$355,$AB148))))=0)</f>
        <v/>
      </c>
    </row>
    <row r="149" spans="1:30" ht="15" customHeight="1" x14ac:dyDescent="0.25">
      <c r="A149" s="50" t="str">
        <f>IF($AB149="","",IFERROR(IF(AND(INDEX('ORDER Form'!$N$1:$N$355,$AB149)="GB",LEFT(UPPER(TRIM(INDEX('ORDER Form'!$L$1:$L$355,$AB149))),2)="BT"),INDEX('ORDER Form'!$AC$1:$AC$355,$AB149),IFERROR(VLOOKUP(INDEX('ORDER Form'!$AC$1:$AC$355,$AB149)&amp;"|"&amp;INDEX('PRODUCT DATA'!$A$2:$A$58,MATCH(INDEX('ORDER Form'!$N$1:$N$355,$AB149),'PRODUCT DATA'!$B$2:$B$58,0)),'PRODUCT DATA'!$NO$2:$NP$25,2,FALSE()),INDEX('ORDER Form'!$AC$1:$AC$355,$AB149)))&amp;"",""))</f>
        <v/>
      </c>
      <c r="B149" s="49"/>
      <c r="C149" s="51" t="str">
        <f>IF($AB149="","",INDEX('ORDER Form'!$C$1:$C$355,$AB149))</f>
        <v/>
      </c>
      <c r="D149" s="49"/>
      <c r="E149" s="49"/>
      <c r="F149" s="49"/>
      <c r="G149" s="49"/>
      <c r="H149" s="49"/>
      <c r="I149" s="49"/>
      <c r="J149" s="50" t="str">
        <f>IF($AB149="","",INDEX('ORDER Form'!$D$1:$D$355,$AB149)&amp;"")</f>
        <v/>
      </c>
      <c r="K149" s="50" t="str">
        <f>IF($AB149="","",INDEX('ORDER Form'!$E$1:$E$355,$AB149)&amp;"")</f>
        <v/>
      </c>
      <c r="L149" s="50" t="str">
        <f>IF($AB149="","",INDEX('ORDER Form'!$F$1:$F$355,$AB149)&amp;"")</f>
        <v/>
      </c>
      <c r="M149" s="50" t="str">
        <f>IF($AB149="","",INDEX('ORDER Form'!$G$1:$G$355,$AB149)&amp;"")</f>
        <v/>
      </c>
      <c r="N149" s="50" t="str">
        <f>IF($AB149="","",INDEX('ORDER Form'!$H$1:$H$355,$AB149)&amp;"")</f>
        <v/>
      </c>
      <c r="O149" s="50" t="str">
        <f>IF($AB149="","",INDEX('ORDER Form'!$I$1:$I$355,$AB149)&amp;"")</f>
        <v/>
      </c>
      <c r="P149" s="50" t="str">
        <f>IF($AB149="","",INDEX('ORDER Form'!$J$1:$J$355,$AB149)&amp;"")</f>
        <v/>
      </c>
      <c r="Q149" s="50" t="str">
        <f>IF($AB149="","",INDEX('ORDER Form'!$AB$1:$AB$355,$AB149)&amp;"")</f>
        <v/>
      </c>
      <c r="R149" s="50" t="str">
        <f>IF($AB149="","",INDEX('ORDER Form'!$L$1:$L$355,$AB149)&amp;"")</f>
        <v/>
      </c>
      <c r="S149" s="50" t="str">
        <f>IF($AB149="","",INDEX('ORDER Form'!$N$1:$N$355,$AB149)&amp;"")</f>
        <v/>
      </c>
      <c r="T149" s="50" t="str">
        <f>IF($AB149="","",IF($AD149,T$3,INDEX('ORDER Form'!$O$1:$O$355,$AB149))&amp;"")</f>
        <v/>
      </c>
      <c r="U149" s="50" t="str">
        <f>IF($AB149="","",IF($AD149,U$3,INDEX('ORDER Form'!$P$1:$P$355,$AB149))&amp;"")</f>
        <v/>
      </c>
      <c r="V149" s="50" t="str">
        <f>IF($AB149="","",IF($AD149,V$3,INDEX('ORDER Form'!$Q$1:$Q$355,$AB149))&amp;"")</f>
        <v/>
      </c>
      <c r="W149" s="50" t="str">
        <f>IF($AB149="","",IF($AD149,W$3,INDEX('ORDER Form'!$R$1:$R$355,$AB149))&amp;"")</f>
        <v/>
      </c>
      <c r="X149" s="50" t="str">
        <f>IF($AB149="","",IF($AD149,X$3,INDEX('ORDER Form'!$S$1:$S$355,$AB149))&amp;"")</f>
        <v/>
      </c>
      <c r="Y149" s="50" t="str">
        <f>IF($AB149="","",IF($AD149,Y$3,INDEX('ORDER Form'!$T$1:$T$355,$AB149))&amp;"")</f>
        <v/>
      </c>
      <c r="Z149" s="50" t="str">
        <f>IF($AB149="","",IF($AD149,Z$3,INDEX('ORDER Form'!$U$1:$U$355,$AB149))&amp;"")</f>
        <v/>
      </c>
      <c r="AB149" s="51" t="str">
        <f>IFERROR(MATCH(145,$AC$5:$AC$354,0)+5,"")</f>
        <v/>
      </c>
      <c r="AC149" s="51" t="str">
        <f>IF('ORDER Form'!$V150="OK",COUNTIF('ORDER Form'!$V$6:$V150,"OK"),"")</f>
        <v/>
      </c>
      <c r="AD149" s="51" t="str">
        <f>IF($AB149="","",(LEN(TRIM(INDEX('ORDER Form'!$O$1:$O$355,$AB149)))+LEN(TRIM(INDEX('ORDER Form'!$P$1:$P$355,$AB149)))+LEN(TRIM(INDEX('ORDER Form'!$Q$1:$Q$355,$AB149)))+LEN(TRIM(INDEX('ORDER Form'!$R$1:$R$355,$AB149)))+LEN(TRIM(INDEX('ORDER Form'!$S$1:$S$355,$AB149)))+LEN(TRIM(INDEX('ORDER Form'!$T$1:$T$355,$AB149)))+LEN(TRIM(INDEX('ORDER Form'!$U$1:$U$355,$AB149))))=0)</f>
        <v/>
      </c>
    </row>
    <row r="150" spans="1:30" ht="15" customHeight="1" x14ac:dyDescent="0.25">
      <c r="A150" s="50" t="str">
        <f>IF($AB150="","",IFERROR(IF(AND(INDEX('ORDER Form'!$N$1:$N$355,$AB150)="GB",LEFT(UPPER(TRIM(INDEX('ORDER Form'!$L$1:$L$355,$AB150))),2)="BT"),INDEX('ORDER Form'!$AC$1:$AC$355,$AB150),IFERROR(VLOOKUP(INDEX('ORDER Form'!$AC$1:$AC$355,$AB150)&amp;"|"&amp;INDEX('PRODUCT DATA'!$A$2:$A$58,MATCH(INDEX('ORDER Form'!$N$1:$N$355,$AB150),'PRODUCT DATA'!$B$2:$B$58,0)),'PRODUCT DATA'!$NO$2:$NP$25,2,FALSE()),INDEX('ORDER Form'!$AC$1:$AC$355,$AB150)))&amp;"",""))</f>
        <v/>
      </c>
      <c r="B150" s="49"/>
      <c r="C150" s="51" t="str">
        <f>IF($AB150="","",INDEX('ORDER Form'!$C$1:$C$355,$AB150))</f>
        <v/>
      </c>
      <c r="D150" s="49"/>
      <c r="E150" s="49"/>
      <c r="F150" s="49"/>
      <c r="G150" s="49"/>
      <c r="H150" s="49"/>
      <c r="I150" s="49"/>
      <c r="J150" s="50" t="str">
        <f>IF($AB150="","",INDEX('ORDER Form'!$D$1:$D$355,$AB150)&amp;"")</f>
        <v/>
      </c>
      <c r="K150" s="50" t="str">
        <f>IF($AB150="","",INDEX('ORDER Form'!$E$1:$E$355,$AB150)&amp;"")</f>
        <v/>
      </c>
      <c r="L150" s="50" t="str">
        <f>IF($AB150="","",INDEX('ORDER Form'!$F$1:$F$355,$AB150)&amp;"")</f>
        <v/>
      </c>
      <c r="M150" s="50" t="str">
        <f>IF($AB150="","",INDEX('ORDER Form'!$G$1:$G$355,$AB150)&amp;"")</f>
        <v/>
      </c>
      <c r="N150" s="50" t="str">
        <f>IF($AB150="","",INDEX('ORDER Form'!$H$1:$H$355,$AB150)&amp;"")</f>
        <v/>
      </c>
      <c r="O150" s="50" t="str">
        <f>IF($AB150="","",INDEX('ORDER Form'!$I$1:$I$355,$AB150)&amp;"")</f>
        <v/>
      </c>
      <c r="P150" s="50" t="str">
        <f>IF($AB150="","",INDEX('ORDER Form'!$J$1:$J$355,$AB150)&amp;"")</f>
        <v/>
      </c>
      <c r="Q150" s="50" t="str">
        <f>IF($AB150="","",INDEX('ORDER Form'!$AB$1:$AB$355,$AB150)&amp;"")</f>
        <v/>
      </c>
      <c r="R150" s="50" t="str">
        <f>IF($AB150="","",INDEX('ORDER Form'!$L$1:$L$355,$AB150)&amp;"")</f>
        <v/>
      </c>
      <c r="S150" s="50" t="str">
        <f>IF($AB150="","",INDEX('ORDER Form'!$N$1:$N$355,$AB150)&amp;"")</f>
        <v/>
      </c>
      <c r="T150" s="50" t="str">
        <f>IF($AB150="","",IF($AD150,T$3,INDEX('ORDER Form'!$O$1:$O$355,$AB150))&amp;"")</f>
        <v/>
      </c>
      <c r="U150" s="50" t="str">
        <f>IF($AB150="","",IF($AD150,U$3,INDEX('ORDER Form'!$P$1:$P$355,$AB150))&amp;"")</f>
        <v/>
      </c>
      <c r="V150" s="50" t="str">
        <f>IF($AB150="","",IF($AD150,V$3,INDEX('ORDER Form'!$Q$1:$Q$355,$AB150))&amp;"")</f>
        <v/>
      </c>
      <c r="W150" s="50" t="str">
        <f>IF($AB150="","",IF($AD150,W$3,INDEX('ORDER Form'!$R$1:$R$355,$AB150))&amp;"")</f>
        <v/>
      </c>
      <c r="X150" s="50" t="str">
        <f>IF($AB150="","",IF($AD150,X$3,INDEX('ORDER Form'!$S$1:$S$355,$AB150))&amp;"")</f>
        <v/>
      </c>
      <c r="Y150" s="50" t="str">
        <f>IF($AB150="","",IF($AD150,Y$3,INDEX('ORDER Form'!$T$1:$T$355,$AB150))&amp;"")</f>
        <v/>
      </c>
      <c r="Z150" s="50" t="str">
        <f>IF($AB150="","",IF($AD150,Z$3,INDEX('ORDER Form'!$U$1:$U$355,$AB150))&amp;"")</f>
        <v/>
      </c>
      <c r="AB150" s="51" t="str">
        <f>IFERROR(MATCH(146,$AC$5:$AC$354,0)+5,"")</f>
        <v/>
      </c>
      <c r="AC150" s="51" t="str">
        <f>IF('ORDER Form'!$V151="OK",COUNTIF('ORDER Form'!$V$6:$V151,"OK"),"")</f>
        <v/>
      </c>
      <c r="AD150" s="51" t="str">
        <f>IF($AB150="","",(LEN(TRIM(INDEX('ORDER Form'!$O$1:$O$355,$AB150)))+LEN(TRIM(INDEX('ORDER Form'!$P$1:$P$355,$AB150)))+LEN(TRIM(INDEX('ORDER Form'!$Q$1:$Q$355,$AB150)))+LEN(TRIM(INDEX('ORDER Form'!$R$1:$R$355,$AB150)))+LEN(TRIM(INDEX('ORDER Form'!$S$1:$S$355,$AB150)))+LEN(TRIM(INDEX('ORDER Form'!$T$1:$T$355,$AB150)))+LEN(TRIM(INDEX('ORDER Form'!$U$1:$U$355,$AB150))))=0)</f>
        <v/>
      </c>
    </row>
    <row r="151" spans="1:30" ht="15" customHeight="1" x14ac:dyDescent="0.25">
      <c r="A151" s="50" t="str">
        <f>IF($AB151="","",IFERROR(IF(AND(INDEX('ORDER Form'!$N$1:$N$355,$AB151)="GB",LEFT(UPPER(TRIM(INDEX('ORDER Form'!$L$1:$L$355,$AB151))),2)="BT"),INDEX('ORDER Form'!$AC$1:$AC$355,$AB151),IFERROR(VLOOKUP(INDEX('ORDER Form'!$AC$1:$AC$355,$AB151)&amp;"|"&amp;INDEX('PRODUCT DATA'!$A$2:$A$58,MATCH(INDEX('ORDER Form'!$N$1:$N$355,$AB151),'PRODUCT DATA'!$B$2:$B$58,0)),'PRODUCT DATA'!$NO$2:$NP$25,2,FALSE()),INDEX('ORDER Form'!$AC$1:$AC$355,$AB151)))&amp;"",""))</f>
        <v/>
      </c>
      <c r="B151" s="49"/>
      <c r="C151" s="51" t="str">
        <f>IF($AB151="","",INDEX('ORDER Form'!$C$1:$C$355,$AB151))</f>
        <v/>
      </c>
      <c r="D151" s="49"/>
      <c r="E151" s="49"/>
      <c r="F151" s="49"/>
      <c r="G151" s="49"/>
      <c r="H151" s="49"/>
      <c r="I151" s="49"/>
      <c r="J151" s="50" t="str">
        <f>IF($AB151="","",INDEX('ORDER Form'!$D$1:$D$355,$AB151)&amp;"")</f>
        <v/>
      </c>
      <c r="K151" s="50" t="str">
        <f>IF($AB151="","",INDEX('ORDER Form'!$E$1:$E$355,$AB151)&amp;"")</f>
        <v/>
      </c>
      <c r="L151" s="50" t="str">
        <f>IF($AB151="","",INDEX('ORDER Form'!$F$1:$F$355,$AB151)&amp;"")</f>
        <v/>
      </c>
      <c r="M151" s="50" t="str">
        <f>IF($AB151="","",INDEX('ORDER Form'!$G$1:$G$355,$AB151)&amp;"")</f>
        <v/>
      </c>
      <c r="N151" s="50" t="str">
        <f>IF($AB151="","",INDEX('ORDER Form'!$H$1:$H$355,$AB151)&amp;"")</f>
        <v/>
      </c>
      <c r="O151" s="50" t="str">
        <f>IF($AB151="","",INDEX('ORDER Form'!$I$1:$I$355,$AB151)&amp;"")</f>
        <v/>
      </c>
      <c r="P151" s="50" t="str">
        <f>IF($AB151="","",INDEX('ORDER Form'!$J$1:$J$355,$AB151)&amp;"")</f>
        <v/>
      </c>
      <c r="Q151" s="50" t="str">
        <f>IF($AB151="","",INDEX('ORDER Form'!$AB$1:$AB$355,$AB151)&amp;"")</f>
        <v/>
      </c>
      <c r="R151" s="50" t="str">
        <f>IF($AB151="","",INDEX('ORDER Form'!$L$1:$L$355,$AB151)&amp;"")</f>
        <v/>
      </c>
      <c r="S151" s="50" t="str">
        <f>IF($AB151="","",INDEX('ORDER Form'!$N$1:$N$355,$AB151)&amp;"")</f>
        <v/>
      </c>
      <c r="T151" s="50" t="str">
        <f>IF($AB151="","",IF($AD151,T$3,INDEX('ORDER Form'!$O$1:$O$355,$AB151))&amp;"")</f>
        <v/>
      </c>
      <c r="U151" s="50" t="str">
        <f>IF($AB151="","",IF($AD151,U$3,INDEX('ORDER Form'!$P$1:$P$355,$AB151))&amp;"")</f>
        <v/>
      </c>
      <c r="V151" s="50" t="str">
        <f>IF($AB151="","",IF($AD151,V$3,INDEX('ORDER Form'!$Q$1:$Q$355,$AB151))&amp;"")</f>
        <v/>
      </c>
      <c r="W151" s="50" t="str">
        <f>IF($AB151="","",IF($AD151,W$3,INDEX('ORDER Form'!$R$1:$R$355,$AB151))&amp;"")</f>
        <v/>
      </c>
      <c r="X151" s="50" t="str">
        <f>IF($AB151="","",IF($AD151,X$3,INDEX('ORDER Form'!$S$1:$S$355,$AB151))&amp;"")</f>
        <v/>
      </c>
      <c r="Y151" s="50" t="str">
        <f>IF($AB151="","",IF($AD151,Y$3,INDEX('ORDER Form'!$T$1:$T$355,$AB151))&amp;"")</f>
        <v/>
      </c>
      <c r="Z151" s="50" t="str">
        <f>IF($AB151="","",IF($AD151,Z$3,INDEX('ORDER Form'!$U$1:$U$355,$AB151))&amp;"")</f>
        <v/>
      </c>
      <c r="AB151" s="51" t="str">
        <f>IFERROR(MATCH(147,$AC$5:$AC$354,0)+5,"")</f>
        <v/>
      </c>
      <c r="AC151" s="51" t="str">
        <f>IF('ORDER Form'!$V152="OK",COUNTIF('ORDER Form'!$V$6:$V152,"OK"),"")</f>
        <v/>
      </c>
      <c r="AD151" s="51" t="str">
        <f>IF($AB151="","",(LEN(TRIM(INDEX('ORDER Form'!$O$1:$O$355,$AB151)))+LEN(TRIM(INDEX('ORDER Form'!$P$1:$P$355,$AB151)))+LEN(TRIM(INDEX('ORDER Form'!$Q$1:$Q$355,$AB151)))+LEN(TRIM(INDEX('ORDER Form'!$R$1:$R$355,$AB151)))+LEN(TRIM(INDEX('ORDER Form'!$S$1:$S$355,$AB151)))+LEN(TRIM(INDEX('ORDER Form'!$T$1:$T$355,$AB151)))+LEN(TRIM(INDEX('ORDER Form'!$U$1:$U$355,$AB151))))=0)</f>
        <v/>
      </c>
    </row>
    <row r="152" spans="1:30" ht="15" customHeight="1" x14ac:dyDescent="0.25">
      <c r="A152" s="50" t="str">
        <f>IF($AB152="","",IFERROR(IF(AND(INDEX('ORDER Form'!$N$1:$N$355,$AB152)="GB",LEFT(UPPER(TRIM(INDEX('ORDER Form'!$L$1:$L$355,$AB152))),2)="BT"),INDEX('ORDER Form'!$AC$1:$AC$355,$AB152),IFERROR(VLOOKUP(INDEX('ORDER Form'!$AC$1:$AC$355,$AB152)&amp;"|"&amp;INDEX('PRODUCT DATA'!$A$2:$A$58,MATCH(INDEX('ORDER Form'!$N$1:$N$355,$AB152),'PRODUCT DATA'!$B$2:$B$58,0)),'PRODUCT DATA'!$NO$2:$NP$25,2,FALSE()),INDEX('ORDER Form'!$AC$1:$AC$355,$AB152)))&amp;"",""))</f>
        <v/>
      </c>
      <c r="B152" s="49"/>
      <c r="C152" s="51" t="str">
        <f>IF($AB152="","",INDEX('ORDER Form'!$C$1:$C$355,$AB152))</f>
        <v/>
      </c>
      <c r="D152" s="49"/>
      <c r="E152" s="49"/>
      <c r="F152" s="49"/>
      <c r="G152" s="49"/>
      <c r="H152" s="49"/>
      <c r="I152" s="49"/>
      <c r="J152" s="50" t="str">
        <f>IF($AB152="","",INDEX('ORDER Form'!$D$1:$D$355,$AB152)&amp;"")</f>
        <v/>
      </c>
      <c r="K152" s="50" t="str">
        <f>IF($AB152="","",INDEX('ORDER Form'!$E$1:$E$355,$AB152)&amp;"")</f>
        <v/>
      </c>
      <c r="L152" s="50" t="str">
        <f>IF($AB152="","",INDEX('ORDER Form'!$F$1:$F$355,$AB152)&amp;"")</f>
        <v/>
      </c>
      <c r="M152" s="50" t="str">
        <f>IF($AB152="","",INDEX('ORDER Form'!$G$1:$G$355,$AB152)&amp;"")</f>
        <v/>
      </c>
      <c r="N152" s="50" t="str">
        <f>IF($AB152="","",INDEX('ORDER Form'!$H$1:$H$355,$AB152)&amp;"")</f>
        <v/>
      </c>
      <c r="O152" s="50" t="str">
        <f>IF($AB152="","",INDEX('ORDER Form'!$I$1:$I$355,$AB152)&amp;"")</f>
        <v/>
      </c>
      <c r="P152" s="50" t="str">
        <f>IF($AB152="","",INDEX('ORDER Form'!$J$1:$J$355,$AB152)&amp;"")</f>
        <v/>
      </c>
      <c r="Q152" s="50" t="str">
        <f>IF($AB152="","",INDEX('ORDER Form'!$AB$1:$AB$355,$AB152)&amp;"")</f>
        <v/>
      </c>
      <c r="R152" s="50" t="str">
        <f>IF($AB152="","",INDEX('ORDER Form'!$L$1:$L$355,$AB152)&amp;"")</f>
        <v/>
      </c>
      <c r="S152" s="50" t="str">
        <f>IF($AB152="","",INDEX('ORDER Form'!$N$1:$N$355,$AB152)&amp;"")</f>
        <v/>
      </c>
      <c r="T152" s="50" t="str">
        <f>IF($AB152="","",IF($AD152,T$3,INDEX('ORDER Form'!$O$1:$O$355,$AB152))&amp;"")</f>
        <v/>
      </c>
      <c r="U152" s="50" t="str">
        <f>IF($AB152="","",IF($AD152,U$3,INDEX('ORDER Form'!$P$1:$P$355,$AB152))&amp;"")</f>
        <v/>
      </c>
      <c r="V152" s="50" t="str">
        <f>IF($AB152="","",IF($AD152,V$3,INDEX('ORDER Form'!$Q$1:$Q$355,$AB152))&amp;"")</f>
        <v/>
      </c>
      <c r="W152" s="50" t="str">
        <f>IF($AB152="","",IF($AD152,W$3,INDEX('ORDER Form'!$R$1:$R$355,$AB152))&amp;"")</f>
        <v/>
      </c>
      <c r="X152" s="50" t="str">
        <f>IF($AB152="","",IF($AD152,X$3,INDEX('ORDER Form'!$S$1:$S$355,$AB152))&amp;"")</f>
        <v/>
      </c>
      <c r="Y152" s="50" t="str">
        <f>IF($AB152="","",IF($AD152,Y$3,INDEX('ORDER Form'!$T$1:$T$355,$AB152))&amp;"")</f>
        <v/>
      </c>
      <c r="Z152" s="50" t="str">
        <f>IF($AB152="","",IF($AD152,Z$3,INDEX('ORDER Form'!$U$1:$U$355,$AB152))&amp;"")</f>
        <v/>
      </c>
      <c r="AB152" s="51" t="str">
        <f>IFERROR(MATCH(148,$AC$5:$AC$354,0)+5,"")</f>
        <v/>
      </c>
      <c r="AC152" s="51" t="str">
        <f>IF('ORDER Form'!$V153="OK",COUNTIF('ORDER Form'!$V$6:$V153,"OK"),"")</f>
        <v/>
      </c>
      <c r="AD152" s="51" t="str">
        <f>IF($AB152="","",(LEN(TRIM(INDEX('ORDER Form'!$O$1:$O$355,$AB152)))+LEN(TRIM(INDEX('ORDER Form'!$P$1:$P$355,$AB152)))+LEN(TRIM(INDEX('ORDER Form'!$Q$1:$Q$355,$AB152)))+LEN(TRIM(INDEX('ORDER Form'!$R$1:$R$355,$AB152)))+LEN(TRIM(INDEX('ORDER Form'!$S$1:$S$355,$AB152)))+LEN(TRIM(INDEX('ORDER Form'!$T$1:$T$355,$AB152)))+LEN(TRIM(INDEX('ORDER Form'!$U$1:$U$355,$AB152))))=0)</f>
        <v/>
      </c>
    </row>
    <row r="153" spans="1:30" ht="15" customHeight="1" x14ac:dyDescent="0.25">
      <c r="A153" s="50" t="str">
        <f>IF($AB153="","",IFERROR(IF(AND(INDEX('ORDER Form'!$N$1:$N$355,$AB153)="GB",LEFT(UPPER(TRIM(INDEX('ORDER Form'!$L$1:$L$355,$AB153))),2)="BT"),INDEX('ORDER Form'!$AC$1:$AC$355,$AB153),IFERROR(VLOOKUP(INDEX('ORDER Form'!$AC$1:$AC$355,$AB153)&amp;"|"&amp;INDEX('PRODUCT DATA'!$A$2:$A$58,MATCH(INDEX('ORDER Form'!$N$1:$N$355,$AB153),'PRODUCT DATA'!$B$2:$B$58,0)),'PRODUCT DATA'!$NO$2:$NP$25,2,FALSE()),INDEX('ORDER Form'!$AC$1:$AC$355,$AB153)))&amp;"",""))</f>
        <v/>
      </c>
      <c r="B153" s="49"/>
      <c r="C153" s="51" t="str">
        <f>IF($AB153="","",INDEX('ORDER Form'!$C$1:$C$355,$AB153))</f>
        <v/>
      </c>
      <c r="D153" s="49"/>
      <c r="E153" s="49"/>
      <c r="F153" s="49"/>
      <c r="G153" s="49"/>
      <c r="H153" s="49"/>
      <c r="I153" s="49"/>
      <c r="J153" s="50" t="str">
        <f>IF($AB153="","",INDEX('ORDER Form'!$D$1:$D$355,$AB153)&amp;"")</f>
        <v/>
      </c>
      <c r="K153" s="50" t="str">
        <f>IF($AB153="","",INDEX('ORDER Form'!$E$1:$E$355,$AB153)&amp;"")</f>
        <v/>
      </c>
      <c r="L153" s="50" t="str">
        <f>IF($AB153="","",INDEX('ORDER Form'!$F$1:$F$355,$AB153)&amp;"")</f>
        <v/>
      </c>
      <c r="M153" s="50" t="str">
        <f>IF($AB153="","",INDEX('ORDER Form'!$G$1:$G$355,$AB153)&amp;"")</f>
        <v/>
      </c>
      <c r="N153" s="50" t="str">
        <f>IF($AB153="","",INDEX('ORDER Form'!$H$1:$H$355,$AB153)&amp;"")</f>
        <v/>
      </c>
      <c r="O153" s="50" t="str">
        <f>IF($AB153="","",INDEX('ORDER Form'!$I$1:$I$355,$AB153)&amp;"")</f>
        <v/>
      </c>
      <c r="P153" s="50" t="str">
        <f>IF($AB153="","",INDEX('ORDER Form'!$J$1:$J$355,$AB153)&amp;"")</f>
        <v/>
      </c>
      <c r="Q153" s="50" t="str">
        <f>IF($AB153="","",INDEX('ORDER Form'!$AB$1:$AB$355,$AB153)&amp;"")</f>
        <v/>
      </c>
      <c r="R153" s="50" t="str">
        <f>IF($AB153="","",INDEX('ORDER Form'!$L$1:$L$355,$AB153)&amp;"")</f>
        <v/>
      </c>
      <c r="S153" s="50" t="str">
        <f>IF($AB153="","",INDEX('ORDER Form'!$N$1:$N$355,$AB153)&amp;"")</f>
        <v/>
      </c>
      <c r="T153" s="50" t="str">
        <f>IF($AB153="","",IF($AD153,T$3,INDEX('ORDER Form'!$O$1:$O$355,$AB153))&amp;"")</f>
        <v/>
      </c>
      <c r="U153" s="50" t="str">
        <f>IF($AB153="","",IF($AD153,U$3,INDEX('ORDER Form'!$P$1:$P$355,$AB153))&amp;"")</f>
        <v/>
      </c>
      <c r="V153" s="50" t="str">
        <f>IF($AB153="","",IF($AD153,V$3,INDEX('ORDER Form'!$Q$1:$Q$355,$AB153))&amp;"")</f>
        <v/>
      </c>
      <c r="W153" s="50" t="str">
        <f>IF($AB153="","",IF($AD153,W$3,INDEX('ORDER Form'!$R$1:$R$355,$AB153))&amp;"")</f>
        <v/>
      </c>
      <c r="X153" s="50" t="str">
        <f>IF($AB153="","",IF($AD153,X$3,INDEX('ORDER Form'!$S$1:$S$355,$AB153))&amp;"")</f>
        <v/>
      </c>
      <c r="Y153" s="50" t="str">
        <f>IF($AB153="","",IF($AD153,Y$3,INDEX('ORDER Form'!$T$1:$T$355,$AB153))&amp;"")</f>
        <v/>
      </c>
      <c r="Z153" s="50" t="str">
        <f>IF($AB153="","",IF($AD153,Z$3,INDEX('ORDER Form'!$U$1:$U$355,$AB153))&amp;"")</f>
        <v/>
      </c>
      <c r="AB153" s="51" t="str">
        <f>IFERROR(MATCH(149,$AC$5:$AC$354,0)+5,"")</f>
        <v/>
      </c>
      <c r="AC153" s="51" t="str">
        <f>IF('ORDER Form'!$V154="OK",COUNTIF('ORDER Form'!$V$6:$V154,"OK"),"")</f>
        <v/>
      </c>
      <c r="AD153" s="51" t="str">
        <f>IF($AB153="","",(LEN(TRIM(INDEX('ORDER Form'!$O$1:$O$355,$AB153)))+LEN(TRIM(INDEX('ORDER Form'!$P$1:$P$355,$AB153)))+LEN(TRIM(INDEX('ORDER Form'!$Q$1:$Q$355,$AB153)))+LEN(TRIM(INDEX('ORDER Form'!$R$1:$R$355,$AB153)))+LEN(TRIM(INDEX('ORDER Form'!$S$1:$S$355,$AB153)))+LEN(TRIM(INDEX('ORDER Form'!$T$1:$T$355,$AB153)))+LEN(TRIM(INDEX('ORDER Form'!$U$1:$U$355,$AB153))))=0)</f>
        <v/>
      </c>
    </row>
    <row r="154" spans="1:30" ht="15" customHeight="1" x14ac:dyDescent="0.25">
      <c r="A154" s="50" t="str">
        <f>IF($AB154="","",IFERROR(IF(AND(INDEX('ORDER Form'!$N$1:$N$355,$AB154)="GB",LEFT(UPPER(TRIM(INDEX('ORDER Form'!$L$1:$L$355,$AB154))),2)="BT"),INDEX('ORDER Form'!$AC$1:$AC$355,$AB154),IFERROR(VLOOKUP(INDEX('ORDER Form'!$AC$1:$AC$355,$AB154)&amp;"|"&amp;INDEX('PRODUCT DATA'!$A$2:$A$58,MATCH(INDEX('ORDER Form'!$N$1:$N$355,$AB154),'PRODUCT DATA'!$B$2:$B$58,0)),'PRODUCT DATA'!$NO$2:$NP$25,2,FALSE()),INDEX('ORDER Form'!$AC$1:$AC$355,$AB154)))&amp;"",""))</f>
        <v/>
      </c>
      <c r="B154" s="49"/>
      <c r="C154" s="51" t="str">
        <f>IF($AB154="","",INDEX('ORDER Form'!$C$1:$C$355,$AB154))</f>
        <v/>
      </c>
      <c r="D154" s="49"/>
      <c r="E154" s="49"/>
      <c r="F154" s="49"/>
      <c r="G154" s="49"/>
      <c r="H154" s="49"/>
      <c r="I154" s="49"/>
      <c r="J154" s="50" t="str">
        <f>IF($AB154="","",INDEX('ORDER Form'!$D$1:$D$355,$AB154)&amp;"")</f>
        <v/>
      </c>
      <c r="K154" s="50" t="str">
        <f>IF($AB154="","",INDEX('ORDER Form'!$E$1:$E$355,$AB154)&amp;"")</f>
        <v/>
      </c>
      <c r="L154" s="50" t="str">
        <f>IF($AB154="","",INDEX('ORDER Form'!$F$1:$F$355,$AB154)&amp;"")</f>
        <v/>
      </c>
      <c r="M154" s="50" t="str">
        <f>IF($AB154="","",INDEX('ORDER Form'!$G$1:$G$355,$AB154)&amp;"")</f>
        <v/>
      </c>
      <c r="N154" s="50" t="str">
        <f>IF($AB154="","",INDEX('ORDER Form'!$H$1:$H$355,$AB154)&amp;"")</f>
        <v/>
      </c>
      <c r="O154" s="50" t="str">
        <f>IF($AB154="","",INDEX('ORDER Form'!$I$1:$I$355,$AB154)&amp;"")</f>
        <v/>
      </c>
      <c r="P154" s="50" t="str">
        <f>IF($AB154="","",INDEX('ORDER Form'!$J$1:$J$355,$AB154)&amp;"")</f>
        <v/>
      </c>
      <c r="Q154" s="50" t="str">
        <f>IF($AB154="","",INDEX('ORDER Form'!$AB$1:$AB$355,$AB154)&amp;"")</f>
        <v/>
      </c>
      <c r="R154" s="50" t="str">
        <f>IF($AB154="","",INDEX('ORDER Form'!$L$1:$L$355,$AB154)&amp;"")</f>
        <v/>
      </c>
      <c r="S154" s="50" t="str">
        <f>IF($AB154="","",INDEX('ORDER Form'!$N$1:$N$355,$AB154)&amp;"")</f>
        <v/>
      </c>
      <c r="T154" s="50" t="str">
        <f>IF($AB154="","",IF($AD154,T$3,INDEX('ORDER Form'!$O$1:$O$355,$AB154))&amp;"")</f>
        <v/>
      </c>
      <c r="U154" s="50" t="str">
        <f>IF($AB154="","",IF($AD154,U$3,INDEX('ORDER Form'!$P$1:$P$355,$AB154))&amp;"")</f>
        <v/>
      </c>
      <c r="V154" s="50" t="str">
        <f>IF($AB154="","",IF($AD154,V$3,INDEX('ORDER Form'!$Q$1:$Q$355,$AB154))&amp;"")</f>
        <v/>
      </c>
      <c r="W154" s="50" t="str">
        <f>IF($AB154="","",IF($AD154,W$3,INDEX('ORDER Form'!$R$1:$R$355,$AB154))&amp;"")</f>
        <v/>
      </c>
      <c r="X154" s="50" t="str">
        <f>IF($AB154="","",IF($AD154,X$3,INDEX('ORDER Form'!$S$1:$S$355,$AB154))&amp;"")</f>
        <v/>
      </c>
      <c r="Y154" s="50" t="str">
        <f>IF($AB154="","",IF($AD154,Y$3,INDEX('ORDER Form'!$T$1:$T$355,$AB154))&amp;"")</f>
        <v/>
      </c>
      <c r="Z154" s="50" t="str">
        <f>IF($AB154="","",IF($AD154,Z$3,INDEX('ORDER Form'!$U$1:$U$355,$AB154))&amp;"")</f>
        <v/>
      </c>
      <c r="AB154" s="51" t="str">
        <f>IFERROR(MATCH(150,$AC$5:$AC$354,0)+5,"")</f>
        <v/>
      </c>
      <c r="AC154" s="51" t="str">
        <f>IF('ORDER Form'!$V155="OK",COUNTIF('ORDER Form'!$V$6:$V155,"OK"),"")</f>
        <v/>
      </c>
      <c r="AD154" s="51" t="str">
        <f>IF($AB154="","",(LEN(TRIM(INDEX('ORDER Form'!$O$1:$O$355,$AB154)))+LEN(TRIM(INDEX('ORDER Form'!$P$1:$P$355,$AB154)))+LEN(TRIM(INDEX('ORDER Form'!$Q$1:$Q$355,$AB154)))+LEN(TRIM(INDEX('ORDER Form'!$R$1:$R$355,$AB154)))+LEN(TRIM(INDEX('ORDER Form'!$S$1:$S$355,$AB154)))+LEN(TRIM(INDEX('ORDER Form'!$T$1:$T$355,$AB154)))+LEN(TRIM(INDEX('ORDER Form'!$U$1:$U$355,$AB154))))=0)</f>
        <v/>
      </c>
    </row>
    <row r="155" spans="1:30" ht="15" customHeight="1" x14ac:dyDescent="0.25">
      <c r="A155" s="50" t="str">
        <f>IF($AB155="","",IFERROR(IF(AND(INDEX('ORDER Form'!$N$1:$N$355,$AB155)="GB",LEFT(UPPER(TRIM(INDEX('ORDER Form'!$L$1:$L$355,$AB155))),2)="BT"),INDEX('ORDER Form'!$AC$1:$AC$355,$AB155),IFERROR(VLOOKUP(INDEX('ORDER Form'!$AC$1:$AC$355,$AB155)&amp;"|"&amp;INDEX('PRODUCT DATA'!$A$2:$A$58,MATCH(INDEX('ORDER Form'!$N$1:$N$355,$AB155),'PRODUCT DATA'!$B$2:$B$58,0)),'PRODUCT DATA'!$NO$2:$NP$25,2,FALSE()),INDEX('ORDER Form'!$AC$1:$AC$355,$AB155)))&amp;"",""))</f>
        <v/>
      </c>
      <c r="B155" s="49"/>
      <c r="C155" s="51" t="str">
        <f>IF($AB155="","",INDEX('ORDER Form'!$C$1:$C$355,$AB155))</f>
        <v/>
      </c>
      <c r="D155" s="49"/>
      <c r="E155" s="49"/>
      <c r="F155" s="49"/>
      <c r="G155" s="49"/>
      <c r="H155" s="49"/>
      <c r="I155" s="49"/>
      <c r="J155" s="50" t="str">
        <f>IF($AB155="","",INDEX('ORDER Form'!$D$1:$D$355,$AB155)&amp;"")</f>
        <v/>
      </c>
      <c r="K155" s="50" t="str">
        <f>IF($AB155="","",INDEX('ORDER Form'!$E$1:$E$355,$AB155)&amp;"")</f>
        <v/>
      </c>
      <c r="L155" s="50" t="str">
        <f>IF($AB155="","",INDEX('ORDER Form'!$F$1:$F$355,$AB155)&amp;"")</f>
        <v/>
      </c>
      <c r="M155" s="50" t="str">
        <f>IF($AB155="","",INDEX('ORDER Form'!$G$1:$G$355,$AB155)&amp;"")</f>
        <v/>
      </c>
      <c r="N155" s="50" t="str">
        <f>IF($AB155="","",INDEX('ORDER Form'!$H$1:$H$355,$AB155)&amp;"")</f>
        <v/>
      </c>
      <c r="O155" s="50" t="str">
        <f>IF($AB155="","",INDEX('ORDER Form'!$I$1:$I$355,$AB155)&amp;"")</f>
        <v/>
      </c>
      <c r="P155" s="50" t="str">
        <f>IF($AB155="","",INDEX('ORDER Form'!$J$1:$J$355,$AB155)&amp;"")</f>
        <v/>
      </c>
      <c r="Q155" s="50" t="str">
        <f>IF($AB155="","",INDEX('ORDER Form'!$AB$1:$AB$355,$AB155)&amp;"")</f>
        <v/>
      </c>
      <c r="R155" s="50" t="str">
        <f>IF($AB155="","",INDEX('ORDER Form'!$L$1:$L$355,$AB155)&amp;"")</f>
        <v/>
      </c>
      <c r="S155" s="50" t="str">
        <f>IF($AB155="","",INDEX('ORDER Form'!$N$1:$N$355,$AB155)&amp;"")</f>
        <v/>
      </c>
      <c r="T155" s="50" t="str">
        <f>IF($AB155="","",IF($AD155,T$3,INDEX('ORDER Form'!$O$1:$O$355,$AB155))&amp;"")</f>
        <v/>
      </c>
      <c r="U155" s="50" t="str">
        <f>IF($AB155="","",IF($AD155,U$3,INDEX('ORDER Form'!$P$1:$P$355,$AB155))&amp;"")</f>
        <v/>
      </c>
      <c r="V155" s="50" t="str">
        <f>IF($AB155="","",IF($AD155,V$3,INDEX('ORDER Form'!$Q$1:$Q$355,$AB155))&amp;"")</f>
        <v/>
      </c>
      <c r="W155" s="50" t="str">
        <f>IF($AB155="","",IF($AD155,W$3,INDEX('ORDER Form'!$R$1:$R$355,$AB155))&amp;"")</f>
        <v/>
      </c>
      <c r="X155" s="50" t="str">
        <f>IF($AB155="","",IF($AD155,X$3,INDEX('ORDER Form'!$S$1:$S$355,$AB155))&amp;"")</f>
        <v/>
      </c>
      <c r="Y155" s="50" t="str">
        <f>IF($AB155="","",IF($AD155,Y$3,INDEX('ORDER Form'!$T$1:$T$355,$AB155))&amp;"")</f>
        <v/>
      </c>
      <c r="Z155" s="50" t="str">
        <f>IF($AB155="","",IF($AD155,Z$3,INDEX('ORDER Form'!$U$1:$U$355,$AB155))&amp;"")</f>
        <v/>
      </c>
      <c r="AB155" s="51" t="str">
        <f>IFERROR(MATCH(151,$AC$5:$AC$354,0)+5,"")</f>
        <v/>
      </c>
      <c r="AC155" s="51" t="str">
        <f>IF('ORDER Form'!$V156="OK",COUNTIF('ORDER Form'!$V$6:$V156,"OK"),"")</f>
        <v/>
      </c>
      <c r="AD155" s="51" t="str">
        <f>IF($AB155="","",(LEN(TRIM(INDEX('ORDER Form'!$O$1:$O$355,$AB155)))+LEN(TRIM(INDEX('ORDER Form'!$P$1:$P$355,$AB155)))+LEN(TRIM(INDEX('ORDER Form'!$Q$1:$Q$355,$AB155)))+LEN(TRIM(INDEX('ORDER Form'!$R$1:$R$355,$AB155)))+LEN(TRIM(INDEX('ORDER Form'!$S$1:$S$355,$AB155)))+LEN(TRIM(INDEX('ORDER Form'!$T$1:$T$355,$AB155)))+LEN(TRIM(INDEX('ORDER Form'!$U$1:$U$355,$AB155))))=0)</f>
        <v/>
      </c>
    </row>
    <row r="156" spans="1:30" ht="15" customHeight="1" x14ac:dyDescent="0.25">
      <c r="A156" s="50" t="str">
        <f>IF($AB156="","",IFERROR(IF(AND(INDEX('ORDER Form'!$N$1:$N$355,$AB156)="GB",LEFT(UPPER(TRIM(INDEX('ORDER Form'!$L$1:$L$355,$AB156))),2)="BT"),INDEX('ORDER Form'!$AC$1:$AC$355,$AB156),IFERROR(VLOOKUP(INDEX('ORDER Form'!$AC$1:$AC$355,$AB156)&amp;"|"&amp;INDEX('PRODUCT DATA'!$A$2:$A$58,MATCH(INDEX('ORDER Form'!$N$1:$N$355,$AB156),'PRODUCT DATA'!$B$2:$B$58,0)),'PRODUCT DATA'!$NO$2:$NP$25,2,FALSE()),INDEX('ORDER Form'!$AC$1:$AC$355,$AB156)))&amp;"",""))</f>
        <v/>
      </c>
      <c r="B156" s="49"/>
      <c r="C156" s="51" t="str">
        <f>IF($AB156="","",INDEX('ORDER Form'!$C$1:$C$355,$AB156))</f>
        <v/>
      </c>
      <c r="D156" s="49"/>
      <c r="E156" s="49"/>
      <c r="F156" s="49"/>
      <c r="G156" s="49"/>
      <c r="H156" s="49"/>
      <c r="I156" s="49"/>
      <c r="J156" s="50" t="str">
        <f>IF($AB156="","",INDEX('ORDER Form'!$D$1:$D$355,$AB156)&amp;"")</f>
        <v/>
      </c>
      <c r="K156" s="50" t="str">
        <f>IF($AB156="","",INDEX('ORDER Form'!$E$1:$E$355,$AB156)&amp;"")</f>
        <v/>
      </c>
      <c r="L156" s="50" t="str">
        <f>IF($AB156="","",INDEX('ORDER Form'!$F$1:$F$355,$AB156)&amp;"")</f>
        <v/>
      </c>
      <c r="M156" s="50" t="str">
        <f>IF($AB156="","",INDEX('ORDER Form'!$G$1:$G$355,$AB156)&amp;"")</f>
        <v/>
      </c>
      <c r="N156" s="50" t="str">
        <f>IF($AB156="","",INDEX('ORDER Form'!$H$1:$H$355,$AB156)&amp;"")</f>
        <v/>
      </c>
      <c r="O156" s="50" t="str">
        <f>IF($AB156="","",INDEX('ORDER Form'!$I$1:$I$355,$AB156)&amp;"")</f>
        <v/>
      </c>
      <c r="P156" s="50" t="str">
        <f>IF($AB156="","",INDEX('ORDER Form'!$J$1:$J$355,$AB156)&amp;"")</f>
        <v/>
      </c>
      <c r="Q156" s="50" t="str">
        <f>IF($AB156="","",INDEX('ORDER Form'!$AB$1:$AB$355,$AB156)&amp;"")</f>
        <v/>
      </c>
      <c r="R156" s="50" t="str">
        <f>IF($AB156="","",INDEX('ORDER Form'!$L$1:$L$355,$AB156)&amp;"")</f>
        <v/>
      </c>
      <c r="S156" s="50" t="str">
        <f>IF($AB156="","",INDEX('ORDER Form'!$N$1:$N$355,$AB156)&amp;"")</f>
        <v/>
      </c>
      <c r="T156" s="50" t="str">
        <f>IF($AB156="","",IF($AD156,T$3,INDEX('ORDER Form'!$O$1:$O$355,$AB156))&amp;"")</f>
        <v/>
      </c>
      <c r="U156" s="50" t="str">
        <f>IF($AB156="","",IF($AD156,U$3,INDEX('ORDER Form'!$P$1:$P$355,$AB156))&amp;"")</f>
        <v/>
      </c>
      <c r="V156" s="50" t="str">
        <f>IF($AB156="","",IF($AD156,V$3,INDEX('ORDER Form'!$Q$1:$Q$355,$AB156))&amp;"")</f>
        <v/>
      </c>
      <c r="W156" s="50" t="str">
        <f>IF($AB156="","",IF($AD156,W$3,INDEX('ORDER Form'!$R$1:$R$355,$AB156))&amp;"")</f>
        <v/>
      </c>
      <c r="X156" s="50" t="str">
        <f>IF($AB156="","",IF($AD156,X$3,INDEX('ORDER Form'!$S$1:$S$355,$AB156))&amp;"")</f>
        <v/>
      </c>
      <c r="Y156" s="50" t="str">
        <f>IF($AB156="","",IF($AD156,Y$3,INDEX('ORDER Form'!$T$1:$T$355,$AB156))&amp;"")</f>
        <v/>
      </c>
      <c r="Z156" s="50" t="str">
        <f>IF($AB156="","",IF($AD156,Z$3,INDEX('ORDER Form'!$U$1:$U$355,$AB156))&amp;"")</f>
        <v/>
      </c>
      <c r="AB156" s="51" t="str">
        <f>IFERROR(MATCH(152,$AC$5:$AC$354,0)+5,"")</f>
        <v/>
      </c>
      <c r="AC156" s="51" t="str">
        <f>IF('ORDER Form'!$V157="OK",COUNTIF('ORDER Form'!$V$6:$V157,"OK"),"")</f>
        <v/>
      </c>
      <c r="AD156" s="51" t="str">
        <f>IF($AB156="","",(LEN(TRIM(INDEX('ORDER Form'!$O$1:$O$355,$AB156)))+LEN(TRIM(INDEX('ORDER Form'!$P$1:$P$355,$AB156)))+LEN(TRIM(INDEX('ORDER Form'!$Q$1:$Q$355,$AB156)))+LEN(TRIM(INDEX('ORDER Form'!$R$1:$R$355,$AB156)))+LEN(TRIM(INDEX('ORDER Form'!$S$1:$S$355,$AB156)))+LEN(TRIM(INDEX('ORDER Form'!$T$1:$T$355,$AB156)))+LEN(TRIM(INDEX('ORDER Form'!$U$1:$U$355,$AB156))))=0)</f>
        <v/>
      </c>
    </row>
    <row r="157" spans="1:30" ht="15" customHeight="1" x14ac:dyDescent="0.25">
      <c r="A157" s="50" t="str">
        <f>IF($AB157="","",IFERROR(IF(AND(INDEX('ORDER Form'!$N$1:$N$355,$AB157)="GB",LEFT(UPPER(TRIM(INDEX('ORDER Form'!$L$1:$L$355,$AB157))),2)="BT"),INDEX('ORDER Form'!$AC$1:$AC$355,$AB157),IFERROR(VLOOKUP(INDEX('ORDER Form'!$AC$1:$AC$355,$AB157)&amp;"|"&amp;INDEX('PRODUCT DATA'!$A$2:$A$58,MATCH(INDEX('ORDER Form'!$N$1:$N$355,$AB157),'PRODUCT DATA'!$B$2:$B$58,0)),'PRODUCT DATA'!$NO$2:$NP$25,2,FALSE()),INDEX('ORDER Form'!$AC$1:$AC$355,$AB157)))&amp;"",""))</f>
        <v/>
      </c>
      <c r="B157" s="49"/>
      <c r="C157" s="51" t="str">
        <f>IF($AB157="","",INDEX('ORDER Form'!$C$1:$C$355,$AB157))</f>
        <v/>
      </c>
      <c r="D157" s="49"/>
      <c r="E157" s="49"/>
      <c r="F157" s="49"/>
      <c r="G157" s="49"/>
      <c r="H157" s="49"/>
      <c r="I157" s="49"/>
      <c r="J157" s="50" t="str">
        <f>IF($AB157="","",INDEX('ORDER Form'!$D$1:$D$355,$AB157)&amp;"")</f>
        <v/>
      </c>
      <c r="K157" s="50" t="str">
        <f>IF($AB157="","",INDEX('ORDER Form'!$E$1:$E$355,$AB157)&amp;"")</f>
        <v/>
      </c>
      <c r="L157" s="50" t="str">
        <f>IF($AB157="","",INDEX('ORDER Form'!$F$1:$F$355,$AB157)&amp;"")</f>
        <v/>
      </c>
      <c r="M157" s="50" t="str">
        <f>IF($AB157="","",INDEX('ORDER Form'!$G$1:$G$355,$AB157)&amp;"")</f>
        <v/>
      </c>
      <c r="N157" s="50" t="str">
        <f>IF($AB157="","",INDEX('ORDER Form'!$H$1:$H$355,$AB157)&amp;"")</f>
        <v/>
      </c>
      <c r="O157" s="50" t="str">
        <f>IF($AB157="","",INDEX('ORDER Form'!$I$1:$I$355,$AB157)&amp;"")</f>
        <v/>
      </c>
      <c r="P157" s="50" t="str">
        <f>IF($AB157="","",INDEX('ORDER Form'!$J$1:$J$355,$AB157)&amp;"")</f>
        <v/>
      </c>
      <c r="Q157" s="50" t="str">
        <f>IF($AB157="","",INDEX('ORDER Form'!$AB$1:$AB$355,$AB157)&amp;"")</f>
        <v/>
      </c>
      <c r="R157" s="50" t="str">
        <f>IF($AB157="","",INDEX('ORDER Form'!$L$1:$L$355,$AB157)&amp;"")</f>
        <v/>
      </c>
      <c r="S157" s="50" t="str">
        <f>IF($AB157="","",INDEX('ORDER Form'!$N$1:$N$355,$AB157)&amp;"")</f>
        <v/>
      </c>
      <c r="T157" s="50" t="str">
        <f>IF($AB157="","",IF($AD157,T$3,INDEX('ORDER Form'!$O$1:$O$355,$AB157))&amp;"")</f>
        <v/>
      </c>
      <c r="U157" s="50" t="str">
        <f>IF($AB157="","",IF($AD157,U$3,INDEX('ORDER Form'!$P$1:$P$355,$AB157))&amp;"")</f>
        <v/>
      </c>
      <c r="V157" s="50" t="str">
        <f>IF($AB157="","",IF($AD157,V$3,INDEX('ORDER Form'!$Q$1:$Q$355,$AB157))&amp;"")</f>
        <v/>
      </c>
      <c r="W157" s="50" t="str">
        <f>IF($AB157="","",IF($AD157,W$3,INDEX('ORDER Form'!$R$1:$R$355,$AB157))&amp;"")</f>
        <v/>
      </c>
      <c r="X157" s="50" t="str">
        <f>IF($AB157="","",IF($AD157,X$3,INDEX('ORDER Form'!$S$1:$S$355,$AB157))&amp;"")</f>
        <v/>
      </c>
      <c r="Y157" s="50" t="str">
        <f>IF($AB157="","",IF($AD157,Y$3,INDEX('ORDER Form'!$T$1:$T$355,$AB157))&amp;"")</f>
        <v/>
      </c>
      <c r="Z157" s="50" t="str">
        <f>IF($AB157="","",IF($AD157,Z$3,INDEX('ORDER Form'!$U$1:$U$355,$AB157))&amp;"")</f>
        <v/>
      </c>
      <c r="AB157" s="51" t="str">
        <f>IFERROR(MATCH(153,$AC$5:$AC$354,0)+5,"")</f>
        <v/>
      </c>
      <c r="AC157" s="51" t="str">
        <f>IF('ORDER Form'!$V158="OK",COUNTIF('ORDER Form'!$V$6:$V158,"OK"),"")</f>
        <v/>
      </c>
      <c r="AD157" s="51" t="str">
        <f>IF($AB157="","",(LEN(TRIM(INDEX('ORDER Form'!$O$1:$O$355,$AB157)))+LEN(TRIM(INDEX('ORDER Form'!$P$1:$P$355,$AB157)))+LEN(TRIM(INDEX('ORDER Form'!$Q$1:$Q$355,$AB157)))+LEN(TRIM(INDEX('ORDER Form'!$R$1:$R$355,$AB157)))+LEN(TRIM(INDEX('ORDER Form'!$S$1:$S$355,$AB157)))+LEN(TRIM(INDEX('ORDER Form'!$T$1:$T$355,$AB157)))+LEN(TRIM(INDEX('ORDER Form'!$U$1:$U$355,$AB157))))=0)</f>
        <v/>
      </c>
    </row>
    <row r="158" spans="1:30" ht="15" customHeight="1" x14ac:dyDescent="0.25">
      <c r="A158" s="50" t="str">
        <f>IF($AB158="","",IFERROR(IF(AND(INDEX('ORDER Form'!$N$1:$N$355,$AB158)="GB",LEFT(UPPER(TRIM(INDEX('ORDER Form'!$L$1:$L$355,$AB158))),2)="BT"),INDEX('ORDER Form'!$AC$1:$AC$355,$AB158),IFERROR(VLOOKUP(INDEX('ORDER Form'!$AC$1:$AC$355,$AB158)&amp;"|"&amp;INDEX('PRODUCT DATA'!$A$2:$A$58,MATCH(INDEX('ORDER Form'!$N$1:$N$355,$AB158),'PRODUCT DATA'!$B$2:$B$58,0)),'PRODUCT DATA'!$NO$2:$NP$25,2,FALSE()),INDEX('ORDER Form'!$AC$1:$AC$355,$AB158)))&amp;"",""))</f>
        <v/>
      </c>
      <c r="B158" s="49"/>
      <c r="C158" s="51" t="str">
        <f>IF($AB158="","",INDEX('ORDER Form'!$C$1:$C$355,$AB158))</f>
        <v/>
      </c>
      <c r="D158" s="49"/>
      <c r="E158" s="49"/>
      <c r="F158" s="49"/>
      <c r="G158" s="49"/>
      <c r="H158" s="49"/>
      <c r="I158" s="49"/>
      <c r="J158" s="50" t="str">
        <f>IF($AB158="","",INDEX('ORDER Form'!$D$1:$D$355,$AB158)&amp;"")</f>
        <v/>
      </c>
      <c r="K158" s="50" t="str">
        <f>IF($AB158="","",INDEX('ORDER Form'!$E$1:$E$355,$AB158)&amp;"")</f>
        <v/>
      </c>
      <c r="L158" s="50" t="str">
        <f>IF($AB158="","",INDEX('ORDER Form'!$F$1:$F$355,$AB158)&amp;"")</f>
        <v/>
      </c>
      <c r="M158" s="50" t="str">
        <f>IF($AB158="","",INDEX('ORDER Form'!$G$1:$G$355,$AB158)&amp;"")</f>
        <v/>
      </c>
      <c r="N158" s="50" t="str">
        <f>IF($AB158="","",INDEX('ORDER Form'!$H$1:$H$355,$AB158)&amp;"")</f>
        <v/>
      </c>
      <c r="O158" s="50" t="str">
        <f>IF($AB158="","",INDEX('ORDER Form'!$I$1:$I$355,$AB158)&amp;"")</f>
        <v/>
      </c>
      <c r="P158" s="50" t="str">
        <f>IF($AB158="","",INDEX('ORDER Form'!$J$1:$J$355,$AB158)&amp;"")</f>
        <v/>
      </c>
      <c r="Q158" s="50" t="str">
        <f>IF($AB158="","",INDEX('ORDER Form'!$AB$1:$AB$355,$AB158)&amp;"")</f>
        <v/>
      </c>
      <c r="R158" s="50" t="str">
        <f>IF($AB158="","",INDEX('ORDER Form'!$L$1:$L$355,$AB158)&amp;"")</f>
        <v/>
      </c>
      <c r="S158" s="50" t="str">
        <f>IF($AB158="","",INDEX('ORDER Form'!$N$1:$N$355,$AB158)&amp;"")</f>
        <v/>
      </c>
      <c r="T158" s="50" t="str">
        <f>IF($AB158="","",IF($AD158,T$3,INDEX('ORDER Form'!$O$1:$O$355,$AB158))&amp;"")</f>
        <v/>
      </c>
      <c r="U158" s="50" t="str">
        <f>IF($AB158="","",IF($AD158,U$3,INDEX('ORDER Form'!$P$1:$P$355,$AB158))&amp;"")</f>
        <v/>
      </c>
      <c r="V158" s="50" t="str">
        <f>IF($AB158="","",IF($AD158,V$3,INDEX('ORDER Form'!$Q$1:$Q$355,$AB158))&amp;"")</f>
        <v/>
      </c>
      <c r="W158" s="50" t="str">
        <f>IF($AB158="","",IF($AD158,W$3,INDEX('ORDER Form'!$R$1:$R$355,$AB158))&amp;"")</f>
        <v/>
      </c>
      <c r="X158" s="50" t="str">
        <f>IF($AB158="","",IF($AD158,X$3,INDEX('ORDER Form'!$S$1:$S$355,$AB158))&amp;"")</f>
        <v/>
      </c>
      <c r="Y158" s="50" t="str">
        <f>IF($AB158="","",IF($AD158,Y$3,INDEX('ORDER Form'!$T$1:$T$355,$AB158))&amp;"")</f>
        <v/>
      </c>
      <c r="Z158" s="50" t="str">
        <f>IF($AB158="","",IF($AD158,Z$3,INDEX('ORDER Form'!$U$1:$U$355,$AB158))&amp;"")</f>
        <v/>
      </c>
      <c r="AB158" s="51" t="str">
        <f>IFERROR(MATCH(154,$AC$5:$AC$354,0)+5,"")</f>
        <v/>
      </c>
      <c r="AC158" s="51" t="str">
        <f>IF('ORDER Form'!$V159="OK",COUNTIF('ORDER Form'!$V$6:$V159,"OK"),"")</f>
        <v/>
      </c>
      <c r="AD158" s="51" t="str">
        <f>IF($AB158="","",(LEN(TRIM(INDEX('ORDER Form'!$O$1:$O$355,$AB158)))+LEN(TRIM(INDEX('ORDER Form'!$P$1:$P$355,$AB158)))+LEN(TRIM(INDEX('ORDER Form'!$Q$1:$Q$355,$AB158)))+LEN(TRIM(INDEX('ORDER Form'!$R$1:$R$355,$AB158)))+LEN(TRIM(INDEX('ORDER Form'!$S$1:$S$355,$AB158)))+LEN(TRIM(INDEX('ORDER Form'!$T$1:$T$355,$AB158)))+LEN(TRIM(INDEX('ORDER Form'!$U$1:$U$355,$AB158))))=0)</f>
        <v/>
      </c>
    </row>
    <row r="159" spans="1:30" ht="15" customHeight="1" x14ac:dyDescent="0.25">
      <c r="A159" s="50" t="str">
        <f>IF($AB159="","",IFERROR(IF(AND(INDEX('ORDER Form'!$N$1:$N$355,$AB159)="GB",LEFT(UPPER(TRIM(INDEX('ORDER Form'!$L$1:$L$355,$AB159))),2)="BT"),INDEX('ORDER Form'!$AC$1:$AC$355,$AB159),IFERROR(VLOOKUP(INDEX('ORDER Form'!$AC$1:$AC$355,$AB159)&amp;"|"&amp;INDEX('PRODUCT DATA'!$A$2:$A$58,MATCH(INDEX('ORDER Form'!$N$1:$N$355,$AB159),'PRODUCT DATA'!$B$2:$B$58,0)),'PRODUCT DATA'!$NO$2:$NP$25,2,FALSE()),INDEX('ORDER Form'!$AC$1:$AC$355,$AB159)))&amp;"",""))</f>
        <v/>
      </c>
      <c r="B159" s="49"/>
      <c r="C159" s="51" t="str">
        <f>IF($AB159="","",INDEX('ORDER Form'!$C$1:$C$355,$AB159))</f>
        <v/>
      </c>
      <c r="D159" s="49"/>
      <c r="E159" s="49"/>
      <c r="F159" s="49"/>
      <c r="G159" s="49"/>
      <c r="H159" s="49"/>
      <c r="I159" s="49"/>
      <c r="J159" s="50" t="str">
        <f>IF($AB159="","",INDEX('ORDER Form'!$D$1:$D$355,$AB159)&amp;"")</f>
        <v/>
      </c>
      <c r="K159" s="50" t="str">
        <f>IF($AB159="","",INDEX('ORDER Form'!$E$1:$E$355,$AB159)&amp;"")</f>
        <v/>
      </c>
      <c r="L159" s="50" t="str">
        <f>IF($AB159="","",INDEX('ORDER Form'!$F$1:$F$355,$AB159)&amp;"")</f>
        <v/>
      </c>
      <c r="M159" s="50" t="str">
        <f>IF($AB159="","",INDEX('ORDER Form'!$G$1:$G$355,$AB159)&amp;"")</f>
        <v/>
      </c>
      <c r="N159" s="50" t="str">
        <f>IF($AB159="","",INDEX('ORDER Form'!$H$1:$H$355,$AB159)&amp;"")</f>
        <v/>
      </c>
      <c r="O159" s="50" t="str">
        <f>IF($AB159="","",INDEX('ORDER Form'!$I$1:$I$355,$AB159)&amp;"")</f>
        <v/>
      </c>
      <c r="P159" s="50" t="str">
        <f>IF($AB159="","",INDEX('ORDER Form'!$J$1:$J$355,$AB159)&amp;"")</f>
        <v/>
      </c>
      <c r="Q159" s="50" t="str">
        <f>IF($AB159="","",INDEX('ORDER Form'!$AB$1:$AB$355,$AB159)&amp;"")</f>
        <v/>
      </c>
      <c r="R159" s="50" t="str">
        <f>IF($AB159="","",INDEX('ORDER Form'!$L$1:$L$355,$AB159)&amp;"")</f>
        <v/>
      </c>
      <c r="S159" s="50" t="str">
        <f>IF($AB159="","",INDEX('ORDER Form'!$N$1:$N$355,$AB159)&amp;"")</f>
        <v/>
      </c>
      <c r="T159" s="50" t="str">
        <f>IF($AB159="","",IF($AD159,T$3,INDEX('ORDER Form'!$O$1:$O$355,$AB159))&amp;"")</f>
        <v/>
      </c>
      <c r="U159" s="50" t="str">
        <f>IF($AB159="","",IF($AD159,U$3,INDEX('ORDER Form'!$P$1:$P$355,$AB159))&amp;"")</f>
        <v/>
      </c>
      <c r="V159" s="50" t="str">
        <f>IF($AB159="","",IF($AD159,V$3,INDEX('ORDER Form'!$Q$1:$Q$355,$AB159))&amp;"")</f>
        <v/>
      </c>
      <c r="W159" s="50" t="str">
        <f>IF($AB159="","",IF($AD159,W$3,INDEX('ORDER Form'!$R$1:$R$355,$AB159))&amp;"")</f>
        <v/>
      </c>
      <c r="X159" s="50" t="str">
        <f>IF($AB159="","",IF($AD159,X$3,INDEX('ORDER Form'!$S$1:$S$355,$AB159))&amp;"")</f>
        <v/>
      </c>
      <c r="Y159" s="50" t="str">
        <f>IF($AB159="","",IF($AD159,Y$3,INDEX('ORDER Form'!$T$1:$T$355,$AB159))&amp;"")</f>
        <v/>
      </c>
      <c r="Z159" s="50" t="str">
        <f>IF($AB159="","",IF($AD159,Z$3,INDEX('ORDER Form'!$U$1:$U$355,$AB159))&amp;"")</f>
        <v/>
      </c>
      <c r="AB159" s="51" t="str">
        <f>IFERROR(MATCH(155,$AC$5:$AC$354,0)+5,"")</f>
        <v/>
      </c>
      <c r="AC159" s="51" t="str">
        <f>IF('ORDER Form'!$V160="OK",COUNTIF('ORDER Form'!$V$6:$V160,"OK"),"")</f>
        <v/>
      </c>
      <c r="AD159" s="51" t="str">
        <f>IF($AB159="","",(LEN(TRIM(INDEX('ORDER Form'!$O$1:$O$355,$AB159)))+LEN(TRIM(INDEX('ORDER Form'!$P$1:$P$355,$AB159)))+LEN(TRIM(INDEX('ORDER Form'!$Q$1:$Q$355,$AB159)))+LEN(TRIM(INDEX('ORDER Form'!$R$1:$R$355,$AB159)))+LEN(TRIM(INDEX('ORDER Form'!$S$1:$S$355,$AB159)))+LEN(TRIM(INDEX('ORDER Form'!$T$1:$T$355,$AB159)))+LEN(TRIM(INDEX('ORDER Form'!$U$1:$U$355,$AB159))))=0)</f>
        <v/>
      </c>
    </row>
    <row r="160" spans="1:30" ht="15" customHeight="1" x14ac:dyDescent="0.25">
      <c r="A160" s="50" t="str">
        <f>IF($AB160="","",IFERROR(IF(AND(INDEX('ORDER Form'!$N$1:$N$355,$AB160)="GB",LEFT(UPPER(TRIM(INDEX('ORDER Form'!$L$1:$L$355,$AB160))),2)="BT"),INDEX('ORDER Form'!$AC$1:$AC$355,$AB160),IFERROR(VLOOKUP(INDEX('ORDER Form'!$AC$1:$AC$355,$AB160)&amp;"|"&amp;INDEX('PRODUCT DATA'!$A$2:$A$58,MATCH(INDEX('ORDER Form'!$N$1:$N$355,$AB160),'PRODUCT DATA'!$B$2:$B$58,0)),'PRODUCT DATA'!$NO$2:$NP$25,2,FALSE()),INDEX('ORDER Form'!$AC$1:$AC$355,$AB160)))&amp;"",""))</f>
        <v/>
      </c>
      <c r="B160" s="49"/>
      <c r="C160" s="51" t="str">
        <f>IF($AB160="","",INDEX('ORDER Form'!$C$1:$C$355,$AB160))</f>
        <v/>
      </c>
      <c r="D160" s="49"/>
      <c r="E160" s="49"/>
      <c r="F160" s="49"/>
      <c r="G160" s="49"/>
      <c r="H160" s="49"/>
      <c r="I160" s="49"/>
      <c r="J160" s="50" t="str">
        <f>IF($AB160="","",INDEX('ORDER Form'!$D$1:$D$355,$AB160)&amp;"")</f>
        <v/>
      </c>
      <c r="K160" s="50" t="str">
        <f>IF($AB160="","",INDEX('ORDER Form'!$E$1:$E$355,$AB160)&amp;"")</f>
        <v/>
      </c>
      <c r="L160" s="50" t="str">
        <f>IF($AB160="","",INDEX('ORDER Form'!$F$1:$F$355,$AB160)&amp;"")</f>
        <v/>
      </c>
      <c r="M160" s="50" t="str">
        <f>IF($AB160="","",INDEX('ORDER Form'!$G$1:$G$355,$AB160)&amp;"")</f>
        <v/>
      </c>
      <c r="N160" s="50" t="str">
        <f>IF($AB160="","",INDEX('ORDER Form'!$H$1:$H$355,$AB160)&amp;"")</f>
        <v/>
      </c>
      <c r="O160" s="50" t="str">
        <f>IF($AB160="","",INDEX('ORDER Form'!$I$1:$I$355,$AB160)&amp;"")</f>
        <v/>
      </c>
      <c r="P160" s="50" t="str">
        <f>IF($AB160="","",INDEX('ORDER Form'!$J$1:$J$355,$AB160)&amp;"")</f>
        <v/>
      </c>
      <c r="Q160" s="50" t="str">
        <f>IF($AB160="","",INDEX('ORDER Form'!$AB$1:$AB$355,$AB160)&amp;"")</f>
        <v/>
      </c>
      <c r="R160" s="50" t="str">
        <f>IF($AB160="","",INDEX('ORDER Form'!$L$1:$L$355,$AB160)&amp;"")</f>
        <v/>
      </c>
      <c r="S160" s="50" t="str">
        <f>IF($AB160="","",INDEX('ORDER Form'!$N$1:$N$355,$AB160)&amp;"")</f>
        <v/>
      </c>
      <c r="T160" s="50" t="str">
        <f>IF($AB160="","",IF($AD160,T$3,INDEX('ORDER Form'!$O$1:$O$355,$AB160))&amp;"")</f>
        <v/>
      </c>
      <c r="U160" s="50" t="str">
        <f>IF($AB160="","",IF($AD160,U$3,INDEX('ORDER Form'!$P$1:$P$355,$AB160))&amp;"")</f>
        <v/>
      </c>
      <c r="V160" s="50" t="str">
        <f>IF($AB160="","",IF($AD160,V$3,INDEX('ORDER Form'!$Q$1:$Q$355,$AB160))&amp;"")</f>
        <v/>
      </c>
      <c r="W160" s="50" t="str">
        <f>IF($AB160="","",IF($AD160,W$3,INDEX('ORDER Form'!$R$1:$R$355,$AB160))&amp;"")</f>
        <v/>
      </c>
      <c r="X160" s="50" t="str">
        <f>IF($AB160="","",IF($AD160,X$3,INDEX('ORDER Form'!$S$1:$S$355,$AB160))&amp;"")</f>
        <v/>
      </c>
      <c r="Y160" s="50" t="str">
        <f>IF($AB160="","",IF($AD160,Y$3,INDEX('ORDER Form'!$T$1:$T$355,$AB160))&amp;"")</f>
        <v/>
      </c>
      <c r="Z160" s="50" t="str">
        <f>IF($AB160="","",IF($AD160,Z$3,INDEX('ORDER Form'!$U$1:$U$355,$AB160))&amp;"")</f>
        <v/>
      </c>
      <c r="AB160" s="51" t="str">
        <f>IFERROR(MATCH(156,$AC$5:$AC$354,0)+5,"")</f>
        <v/>
      </c>
      <c r="AC160" s="51" t="str">
        <f>IF('ORDER Form'!$V161="OK",COUNTIF('ORDER Form'!$V$6:$V161,"OK"),"")</f>
        <v/>
      </c>
      <c r="AD160" s="51" t="str">
        <f>IF($AB160="","",(LEN(TRIM(INDEX('ORDER Form'!$O$1:$O$355,$AB160)))+LEN(TRIM(INDEX('ORDER Form'!$P$1:$P$355,$AB160)))+LEN(TRIM(INDEX('ORDER Form'!$Q$1:$Q$355,$AB160)))+LEN(TRIM(INDEX('ORDER Form'!$R$1:$R$355,$AB160)))+LEN(TRIM(INDEX('ORDER Form'!$S$1:$S$355,$AB160)))+LEN(TRIM(INDEX('ORDER Form'!$T$1:$T$355,$AB160)))+LEN(TRIM(INDEX('ORDER Form'!$U$1:$U$355,$AB160))))=0)</f>
        <v/>
      </c>
    </row>
    <row r="161" spans="1:30" ht="15" customHeight="1" x14ac:dyDescent="0.25">
      <c r="A161" s="50" t="str">
        <f>IF($AB161="","",IFERROR(IF(AND(INDEX('ORDER Form'!$N$1:$N$355,$AB161)="GB",LEFT(UPPER(TRIM(INDEX('ORDER Form'!$L$1:$L$355,$AB161))),2)="BT"),INDEX('ORDER Form'!$AC$1:$AC$355,$AB161),IFERROR(VLOOKUP(INDEX('ORDER Form'!$AC$1:$AC$355,$AB161)&amp;"|"&amp;INDEX('PRODUCT DATA'!$A$2:$A$58,MATCH(INDEX('ORDER Form'!$N$1:$N$355,$AB161),'PRODUCT DATA'!$B$2:$B$58,0)),'PRODUCT DATA'!$NO$2:$NP$25,2,FALSE()),INDEX('ORDER Form'!$AC$1:$AC$355,$AB161)))&amp;"",""))</f>
        <v/>
      </c>
      <c r="B161" s="49"/>
      <c r="C161" s="51" t="str">
        <f>IF($AB161="","",INDEX('ORDER Form'!$C$1:$C$355,$AB161))</f>
        <v/>
      </c>
      <c r="D161" s="49"/>
      <c r="E161" s="49"/>
      <c r="F161" s="49"/>
      <c r="G161" s="49"/>
      <c r="H161" s="49"/>
      <c r="I161" s="49"/>
      <c r="J161" s="50" t="str">
        <f>IF($AB161="","",INDEX('ORDER Form'!$D$1:$D$355,$AB161)&amp;"")</f>
        <v/>
      </c>
      <c r="K161" s="50" t="str">
        <f>IF($AB161="","",INDEX('ORDER Form'!$E$1:$E$355,$AB161)&amp;"")</f>
        <v/>
      </c>
      <c r="L161" s="50" t="str">
        <f>IF($AB161="","",INDEX('ORDER Form'!$F$1:$F$355,$AB161)&amp;"")</f>
        <v/>
      </c>
      <c r="M161" s="50" t="str">
        <f>IF($AB161="","",INDEX('ORDER Form'!$G$1:$G$355,$AB161)&amp;"")</f>
        <v/>
      </c>
      <c r="N161" s="50" t="str">
        <f>IF($AB161="","",INDEX('ORDER Form'!$H$1:$H$355,$AB161)&amp;"")</f>
        <v/>
      </c>
      <c r="O161" s="50" t="str">
        <f>IF($AB161="","",INDEX('ORDER Form'!$I$1:$I$355,$AB161)&amp;"")</f>
        <v/>
      </c>
      <c r="P161" s="50" t="str">
        <f>IF($AB161="","",INDEX('ORDER Form'!$J$1:$J$355,$AB161)&amp;"")</f>
        <v/>
      </c>
      <c r="Q161" s="50" t="str">
        <f>IF($AB161="","",INDEX('ORDER Form'!$AB$1:$AB$355,$AB161)&amp;"")</f>
        <v/>
      </c>
      <c r="R161" s="50" t="str">
        <f>IF($AB161="","",INDEX('ORDER Form'!$L$1:$L$355,$AB161)&amp;"")</f>
        <v/>
      </c>
      <c r="S161" s="50" t="str">
        <f>IF($AB161="","",INDEX('ORDER Form'!$N$1:$N$355,$AB161)&amp;"")</f>
        <v/>
      </c>
      <c r="T161" s="50" t="str">
        <f>IF($AB161="","",IF($AD161,T$3,INDEX('ORDER Form'!$O$1:$O$355,$AB161))&amp;"")</f>
        <v/>
      </c>
      <c r="U161" s="50" t="str">
        <f>IF($AB161="","",IF($AD161,U$3,INDEX('ORDER Form'!$P$1:$P$355,$AB161))&amp;"")</f>
        <v/>
      </c>
      <c r="V161" s="50" t="str">
        <f>IF($AB161="","",IF($AD161,V$3,INDEX('ORDER Form'!$Q$1:$Q$355,$AB161))&amp;"")</f>
        <v/>
      </c>
      <c r="W161" s="50" t="str">
        <f>IF($AB161="","",IF($AD161,W$3,INDEX('ORDER Form'!$R$1:$R$355,$AB161))&amp;"")</f>
        <v/>
      </c>
      <c r="X161" s="50" t="str">
        <f>IF($AB161="","",IF($AD161,X$3,INDEX('ORDER Form'!$S$1:$S$355,$AB161))&amp;"")</f>
        <v/>
      </c>
      <c r="Y161" s="50" t="str">
        <f>IF($AB161="","",IF($AD161,Y$3,INDEX('ORDER Form'!$T$1:$T$355,$AB161))&amp;"")</f>
        <v/>
      </c>
      <c r="Z161" s="50" t="str">
        <f>IF($AB161="","",IF($AD161,Z$3,INDEX('ORDER Form'!$U$1:$U$355,$AB161))&amp;"")</f>
        <v/>
      </c>
      <c r="AB161" s="51" t="str">
        <f>IFERROR(MATCH(157,$AC$5:$AC$354,0)+5,"")</f>
        <v/>
      </c>
      <c r="AC161" s="51" t="str">
        <f>IF('ORDER Form'!$V162="OK",COUNTIF('ORDER Form'!$V$6:$V162,"OK"),"")</f>
        <v/>
      </c>
      <c r="AD161" s="51" t="str">
        <f>IF($AB161="","",(LEN(TRIM(INDEX('ORDER Form'!$O$1:$O$355,$AB161)))+LEN(TRIM(INDEX('ORDER Form'!$P$1:$P$355,$AB161)))+LEN(TRIM(INDEX('ORDER Form'!$Q$1:$Q$355,$AB161)))+LEN(TRIM(INDEX('ORDER Form'!$R$1:$R$355,$AB161)))+LEN(TRIM(INDEX('ORDER Form'!$S$1:$S$355,$AB161)))+LEN(TRIM(INDEX('ORDER Form'!$T$1:$T$355,$AB161)))+LEN(TRIM(INDEX('ORDER Form'!$U$1:$U$355,$AB161))))=0)</f>
        <v/>
      </c>
    </row>
    <row r="162" spans="1:30" ht="15" customHeight="1" x14ac:dyDescent="0.25">
      <c r="A162" s="50" t="str">
        <f>IF($AB162="","",IFERROR(IF(AND(INDEX('ORDER Form'!$N$1:$N$355,$AB162)="GB",LEFT(UPPER(TRIM(INDEX('ORDER Form'!$L$1:$L$355,$AB162))),2)="BT"),INDEX('ORDER Form'!$AC$1:$AC$355,$AB162),IFERROR(VLOOKUP(INDEX('ORDER Form'!$AC$1:$AC$355,$AB162)&amp;"|"&amp;INDEX('PRODUCT DATA'!$A$2:$A$58,MATCH(INDEX('ORDER Form'!$N$1:$N$355,$AB162),'PRODUCT DATA'!$B$2:$B$58,0)),'PRODUCT DATA'!$NO$2:$NP$25,2,FALSE()),INDEX('ORDER Form'!$AC$1:$AC$355,$AB162)))&amp;"",""))</f>
        <v/>
      </c>
      <c r="B162" s="49"/>
      <c r="C162" s="51" t="str">
        <f>IF($AB162="","",INDEX('ORDER Form'!$C$1:$C$355,$AB162))</f>
        <v/>
      </c>
      <c r="D162" s="49"/>
      <c r="E162" s="49"/>
      <c r="F162" s="49"/>
      <c r="G162" s="49"/>
      <c r="H162" s="49"/>
      <c r="I162" s="49"/>
      <c r="J162" s="50" t="str">
        <f>IF($AB162="","",INDEX('ORDER Form'!$D$1:$D$355,$AB162)&amp;"")</f>
        <v/>
      </c>
      <c r="K162" s="50" t="str">
        <f>IF($AB162="","",INDEX('ORDER Form'!$E$1:$E$355,$AB162)&amp;"")</f>
        <v/>
      </c>
      <c r="L162" s="50" t="str">
        <f>IF($AB162="","",INDEX('ORDER Form'!$F$1:$F$355,$AB162)&amp;"")</f>
        <v/>
      </c>
      <c r="M162" s="50" t="str">
        <f>IF($AB162="","",INDEX('ORDER Form'!$G$1:$G$355,$AB162)&amp;"")</f>
        <v/>
      </c>
      <c r="N162" s="50" t="str">
        <f>IF($AB162="","",INDEX('ORDER Form'!$H$1:$H$355,$AB162)&amp;"")</f>
        <v/>
      </c>
      <c r="O162" s="50" t="str">
        <f>IF($AB162="","",INDEX('ORDER Form'!$I$1:$I$355,$AB162)&amp;"")</f>
        <v/>
      </c>
      <c r="P162" s="50" t="str">
        <f>IF($AB162="","",INDEX('ORDER Form'!$J$1:$J$355,$AB162)&amp;"")</f>
        <v/>
      </c>
      <c r="Q162" s="50" t="str">
        <f>IF($AB162="","",INDEX('ORDER Form'!$AB$1:$AB$355,$AB162)&amp;"")</f>
        <v/>
      </c>
      <c r="R162" s="50" t="str">
        <f>IF($AB162="","",INDEX('ORDER Form'!$L$1:$L$355,$AB162)&amp;"")</f>
        <v/>
      </c>
      <c r="S162" s="50" t="str">
        <f>IF($AB162="","",INDEX('ORDER Form'!$N$1:$N$355,$AB162)&amp;"")</f>
        <v/>
      </c>
      <c r="T162" s="50" t="str">
        <f>IF($AB162="","",IF($AD162,T$3,INDEX('ORDER Form'!$O$1:$O$355,$AB162))&amp;"")</f>
        <v/>
      </c>
      <c r="U162" s="50" t="str">
        <f>IF($AB162="","",IF($AD162,U$3,INDEX('ORDER Form'!$P$1:$P$355,$AB162))&amp;"")</f>
        <v/>
      </c>
      <c r="V162" s="50" t="str">
        <f>IF($AB162="","",IF($AD162,V$3,INDEX('ORDER Form'!$Q$1:$Q$355,$AB162))&amp;"")</f>
        <v/>
      </c>
      <c r="W162" s="50" t="str">
        <f>IF($AB162="","",IF($AD162,W$3,INDEX('ORDER Form'!$R$1:$R$355,$AB162))&amp;"")</f>
        <v/>
      </c>
      <c r="X162" s="50" t="str">
        <f>IF($AB162="","",IF($AD162,X$3,INDEX('ORDER Form'!$S$1:$S$355,$AB162))&amp;"")</f>
        <v/>
      </c>
      <c r="Y162" s="50" t="str">
        <f>IF($AB162="","",IF($AD162,Y$3,INDEX('ORDER Form'!$T$1:$T$355,$AB162))&amp;"")</f>
        <v/>
      </c>
      <c r="Z162" s="50" t="str">
        <f>IF($AB162="","",IF($AD162,Z$3,INDEX('ORDER Form'!$U$1:$U$355,$AB162))&amp;"")</f>
        <v/>
      </c>
      <c r="AB162" s="51" t="str">
        <f>IFERROR(MATCH(158,$AC$5:$AC$354,0)+5,"")</f>
        <v/>
      </c>
      <c r="AC162" s="51" t="str">
        <f>IF('ORDER Form'!$V163="OK",COUNTIF('ORDER Form'!$V$6:$V163,"OK"),"")</f>
        <v/>
      </c>
      <c r="AD162" s="51" t="str">
        <f>IF($AB162="","",(LEN(TRIM(INDEX('ORDER Form'!$O$1:$O$355,$AB162)))+LEN(TRIM(INDEX('ORDER Form'!$P$1:$P$355,$AB162)))+LEN(TRIM(INDEX('ORDER Form'!$Q$1:$Q$355,$AB162)))+LEN(TRIM(INDEX('ORDER Form'!$R$1:$R$355,$AB162)))+LEN(TRIM(INDEX('ORDER Form'!$S$1:$S$355,$AB162)))+LEN(TRIM(INDEX('ORDER Form'!$T$1:$T$355,$AB162)))+LEN(TRIM(INDEX('ORDER Form'!$U$1:$U$355,$AB162))))=0)</f>
        <v/>
      </c>
    </row>
    <row r="163" spans="1:30" ht="15" customHeight="1" x14ac:dyDescent="0.25">
      <c r="A163" s="50" t="str">
        <f>IF($AB163="","",IFERROR(IF(AND(INDEX('ORDER Form'!$N$1:$N$355,$AB163)="GB",LEFT(UPPER(TRIM(INDEX('ORDER Form'!$L$1:$L$355,$AB163))),2)="BT"),INDEX('ORDER Form'!$AC$1:$AC$355,$AB163),IFERROR(VLOOKUP(INDEX('ORDER Form'!$AC$1:$AC$355,$AB163)&amp;"|"&amp;INDEX('PRODUCT DATA'!$A$2:$A$58,MATCH(INDEX('ORDER Form'!$N$1:$N$355,$AB163),'PRODUCT DATA'!$B$2:$B$58,0)),'PRODUCT DATA'!$NO$2:$NP$25,2,FALSE()),INDEX('ORDER Form'!$AC$1:$AC$355,$AB163)))&amp;"",""))</f>
        <v/>
      </c>
      <c r="B163" s="49"/>
      <c r="C163" s="51" t="str">
        <f>IF($AB163="","",INDEX('ORDER Form'!$C$1:$C$355,$AB163))</f>
        <v/>
      </c>
      <c r="D163" s="49"/>
      <c r="E163" s="49"/>
      <c r="F163" s="49"/>
      <c r="G163" s="49"/>
      <c r="H163" s="49"/>
      <c r="I163" s="49"/>
      <c r="J163" s="50" t="str">
        <f>IF($AB163="","",INDEX('ORDER Form'!$D$1:$D$355,$AB163)&amp;"")</f>
        <v/>
      </c>
      <c r="K163" s="50" t="str">
        <f>IF($AB163="","",INDEX('ORDER Form'!$E$1:$E$355,$AB163)&amp;"")</f>
        <v/>
      </c>
      <c r="L163" s="50" t="str">
        <f>IF($AB163="","",INDEX('ORDER Form'!$F$1:$F$355,$AB163)&amp;"")</f>
        <v/>
      </c>
      <c r="M163" s="50" t="str">
        <f>IF($AB163="","",INDEX('ORDER Form'!$G$1:$G$355,$AB163)&amp;"")</f>
        <v/>
      </c>
      <c r="N163" s="50" t="str">
        <f>IF($AB163="","",INDEX('ORDER Form'!$H$1:$H$355,$AB163)&amp;"")</f>
        <v/>
      </c>
      <c r="O163" s="50" t="str">
        <f>IF($AB163="","",INDEX('ORDER Form'!$I$1:$I$355,$AB163)&amp;"")</f>
        <v/>
      </c>
      <c r="P163" s="50" t="str">
        <f>IF($AB163="","",INDEX('ORDER Form'!$J$1:$J$355,$AB163)&amp;"")</f>
        <v/>
      </c>
      <c r="Q163" s="50" t="str">
        <f>IF($AB163="","",INDEX('ORDER Form'!$AB$1:$AB$355,$AB163)&amp;"")</f>
        <v/>
      </c>
      <c r="R163" s="50" t="str">
        <f>IF($AB163="","",INDEX('ORDER Form'!$L$1:$L$355,$AB163)&amp;"")</f>
        <v/>
      </c>
      <c r="S163" s="50" t="str">
        <f>IF($AB163="","",INDEX('ORDER Form'!$N$1:$N$355,$AB163)&amp;"")</f>
        <v/>
      </c>
      <c r="T163" s="50" t="str">
        <f>IF($AB163="","",IF($AD163,T$3,INDEX('ORDER Form'!$O$1:$O$355,$AB163))&amp;"")</f>
        <v/>
      </c>
      <c r="U163" s="50" t="str">
        <f>IF($AB163="","",IF($AD163,U$3,INDEX('ORDER Form'!$P$1:$P$355,$AB163))&amp;"")</f>
        <v/>
      </c>
      <c r="V163" s="50" t="str">
        <f>IF($AB163="","",IF($AD163,V$3,INDEX('ORDER Form'!$Q$1:$Q$355,$AB163))&amp;"")</f>
        <v/>
      </c>
      <c r="W163" s="50" t="str">
        <f>IF($AB163="","",IF($AD163,W$3,INDEX('ORDER Form'!$R$1:$R$355,$AB163))&amp;"")</f>
        <v/>
      </c>
      <c r="X163" s="50" t="str">
        <f>IF($AB163="","",IF($AD163,X$3,INDEX('ORDER Form'!$S$1:$S$355,$AB163))&amp;"")</f>
        <v/>
      </c>
      <c r="Y163" s="50" t="str">
        <f>IF($AB163="","",IF($AD163,Y$3,INDEX('ORDER Form'!$T$1:$T$355,$AB163))&amp;"")</f>
        <v/>
      </c>
      <c r="Z163" s="50" t="str">
        <f>IF($AB163="","",IF($AD163,Z$3,INDEX('ORDER Form'!$U$1:$U$355,$AB163))&amp;"")</f>
        <v/>
      </c>
      <c r="AB163" s="51" t="str">
        <f>IFERROR(MATCH(159,$AC$5:$AC$354,0)+5,"")</f>
        <v/>
      </c>
      <c r="AC163" s="51" t="str">
        <f>IF('ORDER Form'!$V164="OK",COUNTIF('ORDER Form'!$V$6:$V164,"OK"),"")</f>
        <v/>
      </c>
      <c r="AD163" s="51" t="str">
        <f>IF($AB163="","",(LEN(TRIM(INDEX('ORDER Form'!$O$1:$O$355,$AB163)))+LEN(TRIM(INDEX('ORDER Form'!$P$1:$P$355,$AB163)))+LEN(TRIM(INDEX('ORDER Form'!$Q$1:$Q$355,$AB163)))+LEN(TRIM(INDEX('ORDER Form'!$R$1:$R$355,$AB163)))+LEN(TRIM(INDEX('ORDER Form'!$S$1:$S$355,$AB163)))+LEN(TRIM(INDEX('ORDER Form'!$T$1:$T$355,$AB163)))+LEN(TRIM(INDEX('ORDER Form'!$U$1:$U$355,$AB163))))=0)</f>
        <v/>
      </c>
    </row>
    <row r="164" spans="1:30" ht="15" customHeight="1" x14ac:dyDescent="0.25">
      <c r="A164" s="50" t="str">
        <f>IF($AB164="","",IFERROR(IF(AND(INDEX('ORDER Form'!$N$1:$N$355,$AB164)="GB",LEFT(UPPER(TRIM(INDEX('ORDER Form'!$L$1:$L$355,$AB164))),2)="BT"),INDEX('ORDER Form'!$AC$1:$AC$355,$AB164),IFERROR(VLOOKUP(INDEX('ORDER Form'!$AC$1:$AC$355,$AB164)&amp;"|"&amp;INDEX('PRODUCT DATA'!$A$2:$A$58,MATCH(INDEX('ORDER Form'!$N$1:$N$355,$AB164),'PRODUCT DATA'!$B$2:$B$58,0)),'PRODUCT DATA'!$NO$2:$NP$25,2,FALSE()),INDEX('ORDER Form'!$AC$1:$AC$355,$AB164)))&amp;"",""))</f>
        <v/>
      </c>
      <c r="B164" s="49"/>
      <c r="C164" s="51" t="str">
        <f>IF($AB164="","",INDEX('ORDER Form'!$C$1:$C$355,$AB164))</f>
        <v/>
      </c>
      <c r="D164" s="49"/>
      <c r="E164" s="49"/>
      <c r="F164" s="49"/>
      <c r="G164" s="49"/>
      <c r="H164" s="49"/>
      <c r="I164" s="49"/>
      <c r="J164" s="50" t="str">
        <f>IF($AB164="","",INDEX('ORDER Form'!$D$1:$D$355,$AB164)&amp;"")</f>
        <v/>
      </c>
      <c r="K164" s="50" t="str">
        <f>IF($AB164="","",INDEX('ORDER Form'!$E$1:$E$355,$AB164)&amp;"")</f>
        <v/>
      </c>
      <c r="L164" s="50" t="str">
        <f>IF($AB164="","",INDEX('ORDER Form'!$F$1:$F$355,$AB164)&amp;"")</f>
        <v/>
      </c>
      <c r="M164" s="50" t="str">
        <f>IF($AB164="","",INDEX('ORDER Form'!$G$1:$G$355,$AB164)&amp;"")</f>
        <v/>
      </c>
      <c r="N164" s="50" t="str">
        <f>IF($AB164="","",INDEX('ORDER Form'!$H$1:$H$355,$AB164)&amp;"")</f>
        <v/>
      </c>
      <c r="O164" s="50" t="str">
        <f>IF($AB164="","",INDEX('ORDER Form'!$I$1:$I$355,$AB164)&amp;"")</f>
        <v/>
      </c>
      <c r="P164" s="50" t="str">
        <f>IF($AB164="","",INDEX('ORDER Form'!$J$1:$J$355,$AB164)&amp;"")</f>
        <v/>
      </c>
      <c r="Q164" s="50" t="str">
        <f>IF($AB164="","",INDEX('ORDER Form'!$AB$1:$AB$355,$AB164)&amp;"")</f>
        <v/>
      </c>
      <c r="R164" s="50" t="str">
        <f>IF($AB164="","",INDEX('ORDER Form'!$L$1:$L$355,$AB164)&amp;"")</f>
        <v/>
      </c>
      <c r="S164" s="50" t="str">
        <f>IF($AB164="","",INDEX('ORDER Form'!$N$1:$N$355,$AB164)&amp;"")</f>
        <v/>
      </c>
      <c r="T164" s="50" t="str">
        <f>IF($AB164="","",IF($AD164,T$3,INDEX('ORDER Form'!$O$1:$O$355,$AB164))&amp;"")</f>
        <v/>
      </c>
      <c r="U164" s="50" t="str">
        <f>IF($AB164="","",IF($AD164,U$3,INDEX('ORDER Form'!$P$1:$P$355,$AB164))&amp;"")</f>
        <v/>
      </c>
      <c r="V164" s="50" t="str">
        <f>IF($AB164="","",IF($AD164,V$3,INDEX('ORDER Form'!$Q$1:$Q$355,$AB164))&amp;"")</f>
        <v/>
      </c>
      <c r="W164" s="50" t="str">
        <f>IF($AB164="","",IF($AD164,W$3,INDEX('ORDER Form'!$R$1:$R$355,$AB164))&amp;"")</f>
        <v/>
      </c>
      <c r="X164" s="50" t="str">
        <f>IF($AB164="","",IF($AD164,X$3,INDEX('ORDER Form'!$S$1:$S$355,$AB164))&amp;"")</f>
        <v/>
      </c>
      <c r="Y164" s="50" t="str">
        <f>IF($AB164="","",IF($AD164,Y$3,INDEX('ORDER Form'!$T$1:$T$355,$AB164))&amp;"")</f>
        <v/>
      </c>
      <c r="Z164" s="50" t="str">
        <f>IF($AB164="","",IF($AD164,Z$3,INDEX('ORDER Form'!$U$1:$U$355,$AB164))&amp;"")</f>
        <v/>
      </c>
      <c r="AB164" s="51" t="str">
        <f>IFERROR(MATCH(160,$AC$5:$AC$354,0)+5,"")</f>
        <v/>
      </c>
      <c r="AC164" s="51" t="str">
        <f>IF('ORDER Form'!$V165="OK",COUNTIF('ORDER Form'!$V$6:$V165,"OK"),"")</f>
        <v/>
      </c>
      <c r="AD164" s="51" t="str">
        <f>IF($AB164="","",(LEN(TRIM(INDEX('ORDER Form'!$O$1:$O$355,$AB164)))+LEN(TRIM(INDEX('ORDER Form'!$P$1:$P$355,$AB164)))+LEN(TRIM(INDEX('ORDER Form'!$Q$1:$Q$355,$AB164)))+LEN(TRIM(INDEX('ORDER Form'!$R$1:$R$355,$AB164)))+LEN(TRIM(INDEX('ORDER Form'!$S$1:$S$355,$AB164)))+LEN(TRIM(INDEX('ORDER Form'!$T$1:$T$355,$AB164)))+LEN(TRIM(INDEX('ORDER Form'!$U$1:$U$355,$AB164))))=0)</f>
        <v/>
      </c>
    </row>
    <row r="165" spans="1:30" ht="15" customHeight="1" x14ac:dyDescent="0.25">
      <c r="A165" s="50" t="str">
        <f>IF($AB165="","",IFERROR(IF(AND(INDEX('ORDER Form'!$N$1:$N$355,$AB165)="GB",LEFT(UPPER(TRIM(INDEX('ORDER Form'!$L$1:$L$355,$AB165))),2)="BT"),INDEX('ORDER Form'!$AC$1:$AC$355,$AB165),IFERROR(VLOOKUP(INDEX('ORDER Form'!$AC$1:$AC$355,$AB165)&amp;"|"&amp;INDEX('PRODUCT DATA'!$A$2:$A$58,MATCH(INDEX('ORDER Form'!$N$1:$N$355,$AB165),'PRODUCT DATA'!$B$2:$B$58,0)),'PRODUCT DATA'!$NO$2:$NP$25,2,FALSE()),INDEX('ORDER Form'!$AC$1:$AC$355,$AB165)))&amp;"",""))</f>
        <v/>
      </c>
      <c r="B165" s="49"/>
      <c r="C165" s="51" t="str">
        <f>IF($AB165="","",INDEX('ORDER Form'!$C$1:$C$355,$AB165))</f>
        <v/>
      </c>
      <c r="D165" s="49"/>
      <c r="E165" s="49"/>
      <c r="F165" s="49"/>
      <c r="G165" s="49"/>
      <c r="H165" s="49"/>
      <c r="I165" s="49"/>
      <c r="J165" s="50" t="str">
        <f>IF($AB165="","",INDEX('ORDER Form'!$D$1:$D$355,$AB165)&amp;"")</f>
        <v/>
      </c>
      <c r="K165" s="50" t="str">
        <f>IF($AB165="","",INDEX('ORDER Form'!$E$1:$E$355,$AB165)&amp;"")</f>
        <v/>
      </c>
      <c r="L165" s="50" t="str">
        <f>IF($AB165="","",INDEX('ORDER Form'!$F$1:$F$355,$AB165)&amp;"")</f>
        <v/>
      </c>
      <c r="M165" s="50" t="str">
        <f>IF($AB165="","",INDEX('ORDER Form'!$G$1:$G$355,$AB165)&amp;"")</f>
        <v/>
      </c>
      <c r="N165" s="50" t="str">
        <f>IF($AB165="","",INDEX('ORDER Form'!$H$1:$H$355,$AB165)&amp;"")</f>
        <v/>
      </c>
      <c r="O165" s="50" t="str">
        <f>IF($AB165="","",INDEX('ORDER Form'!$I$1:$I$355,$AB165)&amp;"")</f>
        <v/>
      </c>
      <c r="P165" s="50" t="str">
        <f>IF($AB165="","",INDEX('ORDER Form'!$J$1:$J$355,$AB165)&amp;"")</f>
        <v/>
      </c>
      <c r="Q165" s="50" t="str">
        <f>IF($AB165="","",INDEX('ORDER Form'!$AB$1:$AB$355,$AB165)&amp;"")</f>
        <v/>
      </c>
      <c r="R165" s="50" t="str">
        <f>IF($AB165="","",INDEX('ORDER Form'!$L$1:$L$355,$AB165)&amp;"")</f>
        <v/>
      </c>
      <c r="S165" s="50" t="str">
        <f>IF($AB165="","",INDEX('ORDER Form'!$N$1:$N$355,$AB165)&amp;"")</f>
        <v/>
      </c>
      <c r="T165" s="50" t="str">
        <f>IF($AB165="","",IF($AD165,T$3,INDEX('ORDER Form'!$O$1:$O$355,$AB165))&amp;"")</f>
        <v/>
      </c>
      <c r="U165" s="50" t="str">
        <f>IF($AB165="","",IF($AD165,U$3,INDEX('ORDER Form'!$P$1:$P$355,$AB165))&amp;"")</f>
        <v/>
      </c>
      <c r="V165" s="50" t="str">
        <f>IF($AB165="","",IF($AD165,V$3,INDEX('ORDER Form'!$Q$1:$Q$355,$AB165))&amp;"")</f>
        <v/>
      </c>
      <c r="W165" s="50" t="str">
        <f>IF($AB165="","",IF($AD165,W$3,INDEX('ORDER Form'!$R$1:$R$355,$AB165))&amp;"")</f>
        <v/>
      </c>
      <c r="X165" s="50" t="str">
        <f>IF($AB165="","",IF($AD165,X$3,INDEX('ORDER Form'!$S$1:$S$355,$AB165))&amp;"")</f>
        <v/>
      </c>
      <c r="Y165" s="50" t="str">
        <f>IF($AB165="","",IF($AD165,Y$3,INDEX('ORDER Form'!$T$1:$T$355,$AB165))&amp;"")</f>
        <v/>
      </c>
      <c r="Z165" s="50" t="str">
        <f>IF($AB165="","",IF($AD165,Z$3,INDEX('ORDER Form'!$U$1:$U$355,$AB165))&amp;"")</f>
        <v/>
      </c>
      <c r="AB165" s="51" t="str">
        <f>IFERROR(MATCH(161,$AC$5:$AC$354,0)+5,"")</f>
        <v/>
      </c>
      <c r="AC165" s="51" t="str">
        <f>IF('ORDER Form'!$V166="OK",COUNTIF('ORDER Form'!$V$6:$V166,"OK"),"")</f>
        <v/>
      </c>
      <c r="AD165" s="51" t="str">
        <f>IF($AB165="","",(LEN(TRIM(INDEX('ORDER Form'!$O$1:$O$355,$AB165)))+LEN(TRIM(INDEX('ORDER Form'!$P$1:$P$355,$AB165)))+LEN(TRIM(INDEX('ORDER Form'!$Q$1:$Q$355,$AB165)))+LEN(TRIM(INDEX('ORDER Form'!$R$1:$R$355,$AB165)))+LEN(TRIM(INDEX('ORDER Form'!$S$1:$S$355,$AB165)))+LEN(TRIM(INDEX('ORDER Form'!$T$1:$T$355,$AB165)))+LEN(TRIM(INDEX('ORDER Form'!$U$1:$U$355,$AB165))))=0)</f>
        <v/>
      </c>
    </row>
    <row r="166" spans="1:30" ht="15" customHeight="1" x14ac:dyDescent="0.25">
      <c r="A166" s="50" t="str">
        <f>IF($AB166="","",IFERROR(IF(AND(INDEX('ORDER Form'!$N$1:$N$355,$AB166)="GB",LEFT(UPPER(TRIM(INDEX('ORDER Form'!$L$1:$L$355,$AB166))),2)="BT"),INDEX('ORDER Form'!$AC$1:$AC$355,$AB166),IFERROR(VLOOKUP(INDEX('ORDER Form'!$AC$1:$AC$355,$AB166)&amp;"|"&amp;INDEX('PRODUCT DATA'!$A$2:$A$58,MATCH(INDEX('ORDER Form'!$N$1:$N$355,$AB166),'PRODUCT DATA'!$B$2:$B$58,0)),'PRODUCT DATA'!$NO$2:$NP$25,2,FALSE()),INDEX('ORDER Form'!$AC$1:$AC$355,$AB166)))&amp;"",""))</f>
        <v/>
      </c>
      <c r="B166" s="49"/>
      <c r="C166" s="51" t="str">
        <f>IF($AB166="","",INDEX('ORDER Form'!$C$1:$C$355,$AB166))</f>
        <v/>
      </c>
      <c r="D166" s="49"/>
      <c r="E166" s="49"/>
      <c r="F166" s="49"/>
      <c r="G166" s="49"/>
      <c r="H166" s="49"/>
      <c r="I166" s="49"/>
      <c r="J166" s="50" t="str">
        <f>IF($AB166="","",INDEX('ORDER Form'!$D$1:$D$355,$AB166)&amp;"")</f>
        <v/>
      </c>
      <c r="K166" s="50" t="str">
        <f>IF($AB166="","",INDEX('ORDER Form'!$E$1:$E$355,$AB166)&amp;"")</f>
        <v/>
      </c>
      <c r="L166" s="50" t="str">
        <f>IF($AB166="","",INDEX('ORDER Form'!$F$1:$F$355,$AB166)&amp;"")</f>
        <v/>
      </c>
      <c r="M166" s="50" t="str">
        <f>IF($AB166="","",INDEX('ORDER Form'!$G$1:$G$355,$AB166)&amp;"")</f>
        <v/>
      </c>
      <c r="N166" s="50" t="str">
        <f>IF($AB166="","",INDEX('ORDER Form'!$H$1:$H$355,$AB166)&amp;"")</f>
        <v/>
      </c>
      <c r="O166" s="50" t="str">
        <f>IF($AB166="","",INDEX('ORDER Form'!$I$1:$I$355,$AB166)&amp;"")</f>
        <v/>
      </c>
      <c r="P166" s="50" t="str">
        <f>IF($AB166="","",INDEX('ORDER Form'!$J$1:$J$355,$AB166)&amp;"")</f>
        <v/>
      </c>
      <c r="Q166" s="50" t="str">
        <f>IF($AB166="","",INDEX('ORDER Form'!$AB$1:$AB$355,$AB166)&amp;"")</f>
        <v/>
      </c>
      <c r="R166" s="50" t="str">
        <f>IF($AB166="","",INDEX('ORDER Form'!$L$1:$L$355,$AB166)&amp;"")</f>
        <v/>
      </c>
      <c r="S166" s="50" t="str">
        <f>IF($AB166="","",INDEX('ORDER Form'!$N$1:$N$355,$AB166)&amp;"")</f>
        <v/>
      </c>
      <c r="T166" s="50" t="str">
        <f>IF($AB166="","",IF($AD166,T$3,INDEX('ORDER Form'!$O$1:$O$355,$AB166))&amp;"")</f>
        <v/>
      </c>
      <c r="U166" s="50" t="str">
        <f>IF($AB166="","",IF($AD166,U$3,INDEX('ORDER Form'!$P$1:$P$355,$AB166))&amp;"")</f>
        <v/>
      </c>
      <c r="V166" s="50" t="str">
        <f>IF($AB166="","",IF($AD166,V$3,INDEX('ORDER Form'!$Q$1:$Q$355,$AB166))&amp;"")</f>
        <v/>
      </c>
      <c r="W166" s="50" t="str">
        <f>IF($AB166="","",IF($AD166,W$3,INDEX('ORDER Form'!$R$1:$R$355,$AB166))&amp;"")</f>
        <v/>
      </c>
      <c r="X166" s="50" t="str">
        <f>IF($AB166="","",IF($AD166,X$3,INDEX('ORDER Form'!$S$1:$S$355,$AB166))&amp;"")</f>
        <v/>
      </c>
      <c r="Y166" s="50" t="str">
        <f>IF($AB166="","",IF($AD166,Y$3,INDEX('ORDER Form'!$T$1:$T$355,$AB166))&amp;"")</f>
        <v/>
      </c>
      <c r="Z166" s="50" t="str">
        <f>IF($AB166="","",IF($AD166,Z$3,INDEX('ORDER Form'!$U$1:$U$355,$AB166))&amp;"")</f>
        <v/>
      </c>
      <c r="AB166" s="51" t="str">
        <f>IFERROR(MATCH(162,$AC$5:$AC$354,0)+5,"")</f>
        <v/>
      </c>
      <c r="AC166" s="51" t="str">
        <f>IF('ORDER Form'!$V167="OK",COUNTIF('ORDER Form'!$V$6:$V167,"OK"),"")</f>
        <v/>
      </c>
      <c r="AD166" s="51" t="str">
        <f>IF($AB166="","",(LEN(TRIM(INDEX('ORDER Form'!$O$1:$O$355,$AB166)))+LEN(TRIM(INDEX('ORDER Form'!$P$1:$P$355,$AB166)))+LEN(TRIM(INDEX('ORDER Form'!$Q$1:$Q$355,$AB166)))+LEN(TRIM(INDEX('ORDER Form'!$R$1:$R$355,$AB166)))+LEN(TRIM(INDEX('ORDER Form'!$S$1:$S$355,$AB166)))+LEN(TRIM(INDEX('ORDER Form'!$T$1:$T$355,$AB166)))+LEN(TRIM(INDEX('ORDER Form'!$U$1:$U$355,$AB166))))=0)</f>
        <v/>
      </c>
    </row>
    <row r="167" spans="1:30" ht="15" customHeight="1" x14ac:dyDescent="0.25">
      <c r="A167" s="50" t="str">
        <f>IF($AB167="","",IFERROR(IF(AND(INDEX('ORDER Form'!$N$1:$N$355,$AB167)="GB",LEFT(UPPER(TRIM(INDEX('ORDER Form'!$L$1:$L$355,$AB167))),2)="BT"),INDEX('ORDER Form'!$AC$1:$AC$355,$AB167),IFERROR(VLOOKUP(INDEX('ORDER Form'!$AC$1:$AC$355,$AB167)&amp;"|"&amp;INDEX('PRODUCT DATA'!$A$2:$A$58,MATCH(INDEX('ORDER Form'!$N$1:$N$355,$AB167),'PRODUCT DATA'!$B$2:$B$58,0)),'PRODUCT DATA'!$NO$2:$NP$25,2,FALSE()),INDEX('ORDER Form'!$AC$1:$AC$355,$AB167)))&amp;"",""))</f>
        <v/>
      </c>
      <c r="B167" s="49"/>
      <c r="C167" s="51" t="str">
        <f>IF($AB167="","",INDEX('ORDER Form'!$C$1:$C$355,$AB167))</f>
        <v/>
      </c>
      <c r="D167" s="49"/>
      <c r="E167" s="49"/>
      <c r="F167" s="49"/>
      <c r="G167" s="49"/>
      <c r="H167" s="49"/>
      <c r="I167" s="49"/>
      <c r="J167" s="50" t="str">
        <f>IF($AB167="","",INDEX('ORDER Form'!$D$1:$D$355,$AB167)&amp;"")</f>
        <v/>
      </c>
      <c r="K167" s="50" t="str">
        <f>IF($AB167="","",INDEX('ORDER Form'!$E$1:$E$355,$AB167)&amp;"")</f>
        <v/>
      </c>
      <c r="L167" s="50" t="str">
        <f>IF($AB167="","",INDEX('ORDER Form'!$F$1:$F$355,$AB167)&amp;"")</f>
        <v/>
      </c>
      <c r="M167" s="50" t="str">
        <f>IF($AB167="","",INDEX('ORDER Form'!$G$1:$G$355,$AB167)&amp;"")</f>
        <v/>
      </c>
      <c r="N167" s="50" t="str">
        <f>IF($AB167="","",INDEX('ORDER Form'!$H$1:$H$355,$AB167)&amp;"")</f>
        <v/>
      </c>
      <c r="O167" s="50" t="str">
        <f>IF($AB167="","",INDEX('ORDER Form'!$I$1:$I$355,$AB167)&amp;"")</f>
        <v/>
      </c>
      <c r="P167" s="50" t="str">
        <f>IF($AB167="","",INDEX('ORDER Form'!$J$1:$J$355,$AB167)&amp;"")</f>
        <v/>
      </c>
      <c r="Q167" s="50" t="str">
        <f>IF($AB167="","",INDEX('ORDER Form'!$AB$1:$AB$355,$AB167)&amp;"")</f>
        <v/>
      </c>
      <c r="R167" s="50" t="str">
        <f>IF($AB167="","",INDEX('ORDER Form'!$L$1:$L$355,$AB167)&amp;"")</f>
        <v/>
      </c>
      <c r="S167" s="50" t="str">
        <f>IF($AB167="","",INDEX('ORDER Form'!$N$1:$N$355,$AB167)&amp;"")</f>
        <v/>
      </c>
      <c r="T167" s="50" t="str">
        <f>IF($AB167="","",IF($AD167,T$3,INDEX('ORDER Form'!$O$1:$O$355,$AB167))&amp;"")</f>
        <v/>
      </c>
      <c r="U167" s="50" t="str">
        <f>IF($AB167="","",IF($AD167,U$3,INDEX('ORDER Form'!$P$1:$P$355,$AB167))&amp;"")</f>
        <v/>
      </c>
      <c r="V167" s="50" t="str">
        <f>IF($AB167="","",IF($AD167,V$3,INDEX('ORDER Form'!$Q$1:$Q$355,$AB167))&amp;"")</f>
        <v/>
      </c>
      <c r="W167" s="50" t="str">
        <f>IF($AB167="","",IF($AD167,W$3,INDEX('ORDER Form'!$R$1:$R$355,$AB167))&amp;"")</f>
        <v/>
      </c>
      <c r="X167" s="50" t="str">
        <f>IF($AB167="","",IF($AD167,X$3,INDEX('ORDER Form'!$S$1:$S$355,$AB167))&amp;"")</f>
        <v/>
      </c>
      <c r="Y167" s="50" t="str">
        <f>IF($AB167="","",IF($AD167,Y$3,INDEX('ORDER Form'!$T$1:$T$355,$AB167))&amp;"")</f>
        <v/>
      </c>
      <c r="Z167" s="50" t="str">
        <f>IF($AB167="","",IF($AD167,Z$3,INDEX('ORDER Form'!$U$1:$U$355,$AB167))&amp;"")</f>
        <v/>
      </c>
      <c r="AB167" s="51" t="str">
        <f>IFERROR(MATCH(163,$AC$5:$AC$354,0)+5,"")</f>
        <v/>
      </c>
      <c r="AC167" s="51" t="str">
        <f>IF('ORDER Form'!$V168="OK",COUNTIF('ORDER Form'!$V$6:$V168,"OK"),"")</f>
        <v/>
      </c>
      <c r="AD167" s="51" t="str">
        <f>IF($AB167="","",(LEN(TRIM(INDEX('ORDER Form'!$O$1:$O$355,$AB167)))+LEN(TRIM(INDEX('ORDER Form'!$P$1:$P$355,$AB167)))+LEN(TRIM(INDEX('ORDER Form'!$Q$1:$Q$355,$AB167)))+LEN(TRIM(INDEX('ORDER Form'!$R$1:$R$355,$AB167)))+LEN(TRIM(INDEX('ORDER Form'!$S$1:$S$355,$AB167)))+LEN(TRIM(INDEX('ORDER Form'!$T$1:$T$355,$AB167)))+LEN(TRIM(INDEX('ORDER Form'!$U$1:$U$355,$AB167))))=0)</f>
        <v/>
      </c>
    </row>
    <row r="168" spans="1:30" ht="15" customHeight="1" x14ac:dyDescent="0.25">
      <c r="A168" s="50" t="str">
        <f>IF($AB168="","",IFERROR(IF(AND(INDEX('ORDER Form'!$N$1:$N$355,$AB168)="GB",LEFT(UPPER(TRIM(INDEX('ORDER Form'!$L$1:$L$355,$AB168))),2)="BT"),INDEX('ORDER Form'!$AC$1:$AC$355,$AB168),IFERROR(VLOOKUP(INDEX('ORDER Form'!$AC$1:$AC$355,$AB168)&amp;"|"&amp;INDEX('PRODUCT DATA'!$A$2:$A$58,MATCH(INDEX('ORDER Form'!$N$1:$N$355,$AB168),'PRODUCT DATA'!$B$2:$B$58,0)),'PRODUCT DATA'!$NO$2:$NP$25,2,FALSE()),INDEX('ORDER Form'!$AC$1:$AC$355,$AB168)))&amp;"",""))</f>
        <v/>
      </c>
      <c r="B168" s="49"/>
      <c r="C168" s="51" t="str">
        <f>IF($AB168="","",INDEX('ORDER Form'!$C$1:$C$355,$AB168))</f>
        <v/>
      </c>
      <c r="D168" s="49"/>
      <c r="E168" s="49"/>
      <c r="F168" s="49"/>
      <c r="G168" s="49"/>
      <c r="H168" s="49"/>
      <c r="I168" s="49"/>
      <c r="J168" s="50" t="str">
        <f>IF($AB168="","",INDEX('ORDER Form'!$D$1:$D$355,$AB168)&amp;"")</f>
        <v/>
      </c>
      <c r="K168" s="50" t="str">
        <f>IF($AB168="","",INDEX('ORDER Form'!$E$1:$E$355,$AB168)&amp;"")</f>
        <v/>
      </c>
      <c r="L168" s="50" t="str">
        <f>IF($AB168="","",INDEX('ORDER Form'!$F$1:$F$355,$AB168)&amp;"")</f>
        <v/>
      </c>
      <c r="M168" s="50" t="str">
        <f>IF($AB168="","",INDEX('ORDER Form'!$G$1:$G$355,$AB168)&amp;"")</f>
        <v/>
      </c>
      <c r="N168" s="50" t="str">
        <f>IF($AB168="","",INDEX('ORDER Form'!$H$1:$H$355,$AB168)&amp;"")</f>
        <v/>
      </c>
      <c r="O168" s="50" t="str">
        <f>IF($AB168="","",INDEX('ORDER Form'!$I$1:$I$355,$AB168)&amp;"")</f>
        <v/>
      </c>
      <c r="P168" s="50" t="str">
        <f>IF($AB168="","",INDEX('ORDER Form'!$J$1:$J$355,$AB168)&amp;"")</f>
        <v/>
      </c>
      <c r="Q168" s="50" t="str">
        <f>IF($AB168="","",INDEX('ORDER Form'!$AB$1:$AB$355,$AB168)&amp;"")</f>
        <v/>
      </c>
      <c r="R168" s="50" t="str">
        <f>IF($AB168="","",INDEX('ORDER Form'!$L$1:$L$355,$AB168)&amp;"")</f>
        <v/>
      </c>
      <c r="S168" s="50" t="str">
        <f>IF($AB168="","",INDEX('ORDER Form'!$N$1:$N$355,$AB168)&amp;"")</f>
        <v/>
      </c>
      <c r="T168" s="50" t="str">
        <f>IF($AB168="","",IF($AD168,T$3,INDEX('ORDER Form'!$O$1:$O$355,$AB168))&amp;"")</f>
        <v/>
      </c>
      <c r="U168" s="50" t="str">
        <f>IF($AB168="","",IF($AD168,U$3,INDEX('ORDER Form'!$P$1:$P$355,$AB168))&amp;"")</f>
        <v/>
      </c>
      <c r="V168" s="50" t="str">
        <f>IF($AB168="","",IF($AD168,V$3,INDEX('ORDER Form'!$Q$1:$Q$355,$AB168))&amp;"")</f>
        <v/>
      </c>
      <c r="W168" s="50" t="str">
        <f>IF($AB168="","",IF($AD168,W$3,INDEX('ORDER Form'!$R$1:$R$355,$AB168))&amp;"")</f>
        <v/>
      </c>
      <c r="X168" s="50" t="str">
        <f>IF($AB168="","",IF($AD168,X$3,INDEX('ORDER Form'!$S$1:$S$355,$AB168))&amp;"")</f>
        <v/>
      </c>
      <c r="Y168" s="50" t="str">
        <f>IF($AB168="","",IF($AD168,Y$3,INDEX('ORDER Form'!$T$1:$T$355,$AB168))&amp;"")</f>
        <v/>
      </c>
      <c r="Z168" s="50" t="str">
        <f>IF($AB168="","",IF($AD168,Z$3,INDEX('ORDER Form'!$U$1:$U$355,$AB168))&amp;"")</f>
        <v/>
      </c>
      <c r="AB168" s="51" t="str">
        <f>IFERROR(MATCH(164,$AC$5:$AC$354,0)+5,"")</f>
        <v/>
      </c>
      <c r="AC168" s="51" t="str">
        <f>IF('ORDER Form'!$V169="OK",COUNTIF('ORDER Form'!$V$6:$V169,"OK"),"")</f>
        <v/>
      </c>
      <c r="AD168" s="51" t="str">
        <f>IF($AB168="","",(LEN(TRIM(INDEX('ORDER Form'!$O$1:$O$355,$AB168)))+LEN(TRIM(INDEX('ORDER Form'!$P$1:$P$355,$AB168)))+LEN(TRIM(INDEX('ORDER Form'!$Q$1:$Q$355,$AB168)))+LEN(TRIM(INDEX('ORDER Form'!$R$1:$R$355,$AB168)))+LEN(TRIM(INDEX('ORDER Form'!$S$1:$S$355,$AB168)))+LEN(TRIM(INDEX('ORDER Form'!$T$1:$T$355,$AB168)))+LEN(TRIM(INDEX('ORDER Form'!$U$1:$U$355,$AB168))))=0)</f>
        <v/>
      </c>
    </row>
    <row r="169" spans="1:30" ht="15" customHeight="1" x14ac:dyDescent="0.25">
      <c r="A169" s="50" t="str">
        <f>IF($AB169="","",IFERROR(IF(AND(INDEX('ORDER Form'!$N$1:$N$355,$AB169)="GB",LEFT(UPPER(TRIM(INDEX('ORDER Form'!$L$1:$L$355,$AB169))),2)="BT"),INDEX('ORDER Form'!$AC$1:$AC$355,$AB169),IFERROR(VLOOKUP(INDEX('ORDER Form'!$AC$1:$AC$355,$AB169)&amp;"|"&amp;INDEX('PRODUCT DATA'!$A$2:$A$58,MATCH(INDEX('ORDER Form'!$N$1:$N$355,$AB169),'PRODUCT DATA'!$B$2:$B$58,0)),'PRODUCT DATA'!$NO$2:$NP$25,2,FALSE()),INDEX('ORDER Form'!$AC$1:$AC$355,$AB169)))&amp;"",""))</f>
        <v/>
      </c>
      <c r="B169" s="49"/>
      <c r="C169" s="51" t="str">
        <f>IF($AB169="","",INDEX('ORDER Form'!$C$1:$C$355,$AB169))</f>
        <v/>
      </c>
      <c r="D169" s="49"/>
      <c r="E169" s="49"/>
      <c r="F169" s="49"/>
      <c r="G169" s="49"/>
      <c r="H169" s="49"/>
      <c r="I169" s="49"/>
      <c r="J169" s="50" t="str">
        <f>IF($AB169="","",INDEX('ORDER Form'!$D$1:$D$355,$AB169)&amp;"")</f>
        <v/>
      </c>
      <c r="K169" s="50" t="str">
        <f>IF($AB169="","",INDEX('ORDER Form'!$E$1:$E$355,$AB169)&amp;"")</f>
        <v/>
      </c>
      <c r="L169" s="50" t="str">
        <f>IF($AB169="","",INDEX('ORDER Form'!$F$1:$F$355,$AB169)&amp;"")</f>
        <v/>
      </c>
      <c r="M169" s="50" t="str">
        <f>IF($AB169="","",INDEX('ORDER Form'!$G$1:$G$355,$AB169)&amp;"")</f>
        <v/>
      </c>
      <c r="N169" s="50" t="str">
        <f>IF($AB169="","",INDEX('ORDER Form'!$H$1:$H$355,$AB169)&amp;"")</f>
        <v/>
      </c>
      <c r="O169" s="50" t="str">
        <f>IF($AB169="","",INDEX('ORDER Form'!$I$1:$I$355,$AB169)&amp;"")</f>
        <v/>
      </c>
      <c r="P169" s="50" t="str">
        <f>IF($AB169="","",INDEX('ORDER Form'!$J$1:$J$355,$AB169)&amp;"")</f>
        <v/>
      </c>
      <c r="Q169" s="50" t="str">
        <f>IF($AB169="","",INDEX('ORDER Form'!$AB$1:$AB$355,$AB169)&amp;"")</f>
        <v/>
      </c>
      <c r="R169" s="50" t="str">
        <f>IF($AB169="","",INDEX('ORDER Form'!$L$1:$L$355,$AB169)&amp;"")</f>
        <v/>
      </c>
      <c r="S169" s="50" t="str">
        <f>IF($AB169="","",INDEX('ORDER Form'!$N$1:$N$355,$AB169)&amp;"")</f>
        <v/>
      </c>
      <c r="T169" s="50" t="str">
        <f>IF($AB169="","",IF($AD169,T$3,INDEX('ORDER Form'!$O$1:$O$355,$AB169))&amp;"")</f>
        <v/>
      </c>
      <c r="U169" s="50" t="str">
        <f>IF($AB169="","",IF($AD169,U$3,INDEX('ORDER Form'!$P$1:$P$355,$AB169))&amp;"")</f>
        <v/>
      </c>
      <c r="V169" s="50" t="str">
        <f>IF($AB169="","",IF($AD169,V$3,INDEX('ORDER Form'!$Q$1:$Q$355,$AB169))&amp;"")</f>
        <v/>
      </c>
      <c r="W169" s="50" t="str">
        <f>IF($AB169="","",IF($AD169,W$3,INDEX('ORDER Form'!$R$1:$R$355,$AB169))&amp;"")</f>
        <v/>
      </c>
      <c r="X169" s="50" t="str">
        <f>IF($AB169="","",IF($AD169,X$3,INDEX('ORDER Form'!$S$1:$S$355,$AB169))&amp;"")</f>
        <v/>
      </c>
      <c r="Y169" s="50" t="str">
        <f>IF($AB169="","",IF($AD169,Y$3,INDEX('ORDER Form'!$T$1:$T$355,$AB169))&amp;"")</f>
        <v/>
      </c>
      <c r="Z169" s="50" t="str">
        <f>IF($AB169="","",IF($AD169,Z$3,INDEX('ORDER Form'!$U$1:$U$355,$AB169))&amp;"")</f>
        <v/>
      </c>
      <c r="AB169" s="51" t="str">
        <f>IFERROR(MATCH(165,$AC$5:$AC$354,0)+5,"")</f>
        <v/>
      </c>
      <c r="AC169" s="51" t="str">
        <f>IF('ORDER Form'!$V170="OK",COUNTIF('ORDER Form'!$V$6:$V170,"OK"),"")</f>
        <v/>
      </c>
      <c r="AD169" s="51" t="str">
        <f>IF($AB169="","",(LEN(TRIM(INDEX('ORDER Form'!$O$1:$O$355,$AB169)))+LEN(TRIM(INDEX('ORDER Form'!$P$1:$P$355,$AB169)))+LEN(TRIM(INDEX('ORDER Form'!$Q$1:$Q$355,$AB169)))+LEN(TRIM(INDEX('ORDER Form'!$R$1:$R$355,$AB169)))+LEN(TRIM(INDEX('ORDER Form'!$S$1:$S$355,$AB169)))+LEN(TRIM(INDEX('ORDER Form'!$T$1:$T$355,$AB169)))+LEN(TRIM(INDEX('ORDER Form'!$U$1:$U$355,$AB169))))=0)</f>
        <v/>
      </c>
    </row>
    <row r="170" spans="1:30" ht="15" customHeight="1" x14ac:dyDescent="0.25">
      <c r="A170" s="50" t="str">
        <f>IF($AB170="","",IFERROR(IF(AND(INDEX('ORDER Form'!$N$1:$N$355,$AB170)="GB",LEFT(UPPER(TRIM(INDEX('ORDER Form'!$L$1:$L$355,$AB170))),2)="BT"),INDEX('ORDER Form'!$AC$1:$AC$355,$AB170),IFERROR(VLOOKUP(INDEX('ORDER Form'!$AC$1:$AC$355,$AB170)&amp;"|"&amp;INDEX('PRODUCT DATA'!$A$2:$A$58,MATCH(INDEX('ORDER Form'!$N$1:$N$355,$AB170),'PRODUCT DATA'!$B$2:$B$58,0)),'PRODUCT DATA'!$NO$2:$NP$25,2,FALSE()),INDEX('ORDER Form'!$AC$1:$AC$355,$AB170)))&amp;"",""))</f>
        <v/>
      </c>
      <c r="B170" s="49"/>
      <c r="C170" s="51" t="str">
        <f>IF($AB170="","",INDEX('ORDER Form'!$C$1:$C$355,$AB170))</f>
        <v/>
      </c>
      <c r="D170" s="49"/>
      <c r="E170" s="49"/>
      <c r="F170" s="49"/>
      <c r="G170" s="49"/>
      <c r="H170" s="49"/>
      <c r="I170" s="49"/>
      <c r="J170" s="50" t="str">
        <f>IF($AB170="","",INDEX('ORDER Form'!$D$1:$D$355,$AB170)&amp;"")</f>
        <v/>
      </c>
      <c r="K170" s="50" t="str">
        <f>IF($AB170="","",INDEX('ORDER Form'!$E$1:$E$355,$AB170)&amp;"")</f>
        <v/>
      </c>
      <c r="L170" s="50" t="str">
        <f>IF($AB170="","",INDEX('ORDER Form'!$F$1:$F$355,$AB170)&amp;"")</f>
        <v/>
      </c>
      <c r="M170" s="50" t="str">
        <f>IF($AB170="","",INDEX('ORDER Form'!$G$1:$G$355,$AB170)&amp;"")</f>
        <v/>
      </c>
      <c r="N170" s="50" t="str">
        <f>IF($AB170="","",INDEX('ORDER Form'!$H$1:$H$355,$AB170)&amp;"")</f>
        <v/>
      </c>
      <c r="O170" s="50" t="str">
        <f>IF($AB170="","",INDEX('ORDER Form'!$I$1:$I$355,$AB170)&amp;"")</f>
        <v/>
      </c>
      <c r="P170" s="50" t="str">
        <f>IF($AB170="","",INDEX('ORDER Form'!$J$1:$J$355,$AB170)&amp;"")</f>
        <v/>
      </c>
      <c r="Q170" s="50" t="str">
        <f>IF($AB170="","",INDEX('ORDER Form'!$AB$1:$AB$355,$AB170)&amp;"")</f>
        <v/>
      </c>
      <c r="R170" s="50" t="str">
        <f>IF($AB170="","",INDEX('ORDER Form'!$L$1:$L$355,$AB170)&amp;"")</f>
        <v/>
      </c>
      <c r="S170" s="50" t="str">
        <f>IF($AB170="","",INDEX('ORDER Form'!$N$1:$N$355,$AB170)&amp;"")</f>
        <v/>
      </c>
      <c r="T170" s="50" t="str">
        <f>IF($AB170="","",IF($AD170,T$3,INDEX('ORDER Form'!$O$1:$O$355,$AB170))&amp;"")</f>
        <v/>
      </c>
      <c r="U170" s="50" t="str">
        <f>IF($AB170="","",IF($AD170,U$3,INDEX('ORDER Form'!$P$1:$P$355,$AB170))&amp;"")</f>
        <v/>
      </c>
      <c r="V170" s="50" t="str">
        <f>IF($AB170="","",IF($AD170,V$3,INDEX('ORDER Form'!$Q$1:$Q$355,$AB170))&amp;"")</f>
        <v/>
      </c>
      <c r="W170" s="50" t="str">
        <f>IF($AB170="","",IF($AD170,W$3,INDEX('ORDER Form'!$R$1:$R$355,$AB170))&amp;"")</f>
        <v/>
      </c>
      <c r="X170" s="50" t="str">
        <f>IF($AB170="","",IF($AD170,X$3,INDEX('ORDER Form'!$S$1:$S$355,$AB170))&amp;"")</f>
        <v/>
      </c>
      <c r="Y170" s="50" t="str">
        <f>IF($AB170="","",IF($AD170,Y$3,INDEX('ORDER Form'!$T$1:$T$355,$AB170))&amp;"")</f>
        <v/>
      </c>
      <c r="Z170" s="50" t="str">
        <f>IF($AB170="","",IF($AD170,Z$3,INDEX('ORDER Form'!$U$1:$U$355,$AB170))&amp;"")</f>
        <v/>
      </c>
      <c r="AB170" s="51" t="str">
        <f>IFERROR(MATCH(166,$AC$5:$AC$354,0)+5,"")</f>
        <v/>
      </c>
      <c r="AC170" s="51" t="str">
        <f>IF('ORDER Form'!$V171="OK",COUNTIF('ORDER Form'!$V$6:$V171,"OK"),"")</f>
        <v/>
      </c>
      <c r="AD170" s="51" t="str">
        <f>IF($AB170="","",(LEN(TRIM(INDEX('ORDER Form'!$O$1:$O$355,$AB170)))+LEN(TRIM(INDEX('ORDER Form'!$P$1:$P$355,$AB170)))+LEN(TRIM(INDEX('ORDER Form'!$Q$1:$Q$355,$AB170)))+LEN(TRIM(INDEX('ORDER Form'!$R$1:$R$355,$AB170)))+LEN(TRIM(INDEX('ORDER Form'!$S$1:$S$355,$AB170)))+LEN(TRIM(INDEX('ORDER Form'!$T$1:$T$355,$AB170)))+LEN(TRIM(INDEX('ORDER Form'!$U$1:$U$355,$AB170))))=0)</f>
        <v/>
      </c>
    </row>
    <row r="171" spans="1:30" ht="15" customHeight="1" x14ac:dyDescent="0.25">
      <c r="A171" s="50" t="str">
        <f>IF($AB171="","",IFERROR(IF(AND(INDEX('ORDER Form'!$N$1:$N$355,$AB171)="GB",LEFT(UPPER(TRIM(INDEX('ORDER Form'!$L$1:$L$355,$AB171))),2)="BT"),INDEX('ORDER Form'!$AC$1:$AC$355,$AB171),IFERROR(VLOOKUP(INDEX('ORDER Form'!$AC$1:$AC$355,$AB171)&amp;"|"&amp;INDEX('PRODUCT DATA'!$A$2:$A$58,MATCH(INDEX('ORDER Form'!$N$1:$N$355,$AB171),'PRODUCT DATA'!$B$2:$B$58,0)),'PRODUCT DATA'!$NO$2:$NP$25,2,FALSE()),INDEX('ORDER Form'!$AC$1:$AC$355,$AB171)))&amp;"",""))</f>
        <v/>
      </c>
      <c r="B171" s="49"/>
      <c r="C171" s="51" t="str">
        <f>IF($AB171="","",INDEX('ORDER Form'!$C$1:$C$355,$AB171))</f>
        <v/>
      </c>
      <c r="D171" s="49"/>
      <c r="E171" s="49"/>
      <c r="F171" s="49"/>
      <c r="G171" s="49"/>
      <c r="H171" s="49"/>
      <c r="I171" s="49"/>
      <c r="J171" s="50" t="str">
        <f>IF($AB171="","",INDEX('ORDER Form'!$D$1:$D$355,$AB171)&amp;"")</f>
        <v/>
      </c>
      <c r="K171" s="50" t="str">
        <f>IF($AB171="","",INDEX('ORDER Form'!$E$1:$E$355,$AB171)&amp;"")</f>
        <v/>
      </c>
      <c r="L171" s="50" t="str">
        <f>IF($AB171="","",INDEX('ORDER Form'!$F$1:$F$355,$AB171)&amp;"")</f>
        <v/>
      </c>
      <c r="M171" s="50" t="str">
        <f>IF($AB171="","",INDEX('ORDER Form'!$G$1:$G$355,$AB171)&amp;"")</f>
        <v/>
      </c>
      <c r="N171" s="50" t="str">
        <f>IF($AB171="","",INDEX('ORDER Form'!$H$1:$H$355,$AB171)&amp;"")</f>
        <v/>
      </c>
      <c r="O171" s="50" t="str">
        <f>IF($AB171="","",INDEX('ORDER Form'!$I$1:$I$355,$AB171)&amp;"")</f>
        <v/>
      </c>
      <c r="P171" s="50" t="str">
        <f>IF($AB171="","",INDEX('ORDER Form'!$J$1:$J$355,$AB171)&amp;"")</f>
        <v/>
      </c>
      <c r="Q171" s="50" t="str">
        <f>IF($AB171="","",INDEX('ORDER Form'!$AB$1:$AB$355,$AB171)&amp;"")</f>
        <v/>
      </c>
      <c r="R171" s="50" t="str">
        <f>IF($AB171="","",INDEX('ORDER Form'!$L$1:$L$355,$AB171)&amp;"")</f>
        <v/>
      </c>
      <c r="S171" s="50" t="str">
        <f>IF($AB171="","",INDEX('ORDER Form'!$N$1:$N$355,$AB171)&amp;"")</f>
        <v/>
      </c>
      <c r="T171" s="50" t="str">
        <f>IF($AB171="","",IF($AD171,T$3,INDEX('ORDER Form'!$O$1:$O$355,$AB171))&amp;"")</f>
        <v/>
      </c>
      <c r="U171" s="50" t="str">
        <f>IF($AB171="","",IF($AD171,U$3,INDEX('ORDER Form'!$P$1:$P$355,$AB171))&amp;"")</f>
        <v/>
      </c>
      <c r="V171" s="50" t="str">
        <f>IF($AB171="","",IF($AD171,V$3,INDEX('ORDER Form'!$Q$1:$Q$355,$AB171))&amp;"")</f>
        <v/>
      </c>
      <c r="W171" s="50" t="str">
        <f>IF($AB171="","",IF($AD171,W$3,INDEX('ORDER Form'!$R$1:$R$355,$AB171))&amp;"")</f>
        <v/>
      </c>
      <c r="X171" s="50" t="str">
        <f>IF($AB171="","",IF($AD171,X$3,INDEX('ORDER Form'!$S$1:$S$355,$AB171))&amp;"")</f>
        <v/>
      </c>
      <c r="Y171" s="50" t="str">
        <f>IF($AB171="","",IF($AD171,Y$3,INDEX('ORDER Form'!$T$1:$T$355,$AB171))&amp;"")</f>
        <v/>
      </c>
      <c r="Z171" s="50" t="str">
        <f>IF($AB171="","",IF($AD171,Z$3,INDEX('ORDER Form'!$U$1:$U$355,$AB171))&amp;"")</f>
        <v/>
      </c>
      <c r="AB171" s="51" t="str">
        <f>IFERROR(MATCH(167,$AC$5:$AC$354,0)+5,"")</f>
        <v/>
      </c>
      <c r="AC171" s="51" t="str">
        <f>IF('ORDER Form'!$V172="OK",COUNTIF('ORDER Form'!$V$6:$V172,"OK"),"")</f>
        <v/>
      </c>
      <c r="AD171" s="51" t="str">
        <f>IF($AB171="","",(LEN(TRIM(INDEX('ORDER Form'!$O$1:$O$355,$AB171)))+LEN(TRIM(INDEX('ORDER Form'!$P$1:$P$355,$AB171)))+LEN(TRIM(INDEX('ORDER Form'!$Q$1:$Q$355,$AB171)))+LEN(TRIM(INDEX('ORDER Form'!$R$1:$R$355,$AB171)))+LEN(TRIM(INDEX('ORDER Form'!$S$1:$S$355,$AB171)))+LEN(TRIM(INDEX('ORDER Form'!$T$1:$T$355,$AB171)))+LEN(TRIM(INDEX('ORDER Form'!$U$1:$U$355,$AB171))))=0)</f>
        <v/>
      </c>
    </row>
    <row r="172" spans="1:30" ht="15" customHeight="1" x14ac:dyDescent="0.25">
      <c r="A172" s="50" t="str">
        <f>IF($AB172="","",IFERROR(IF(AND(INDEX('ORDER Form'!$N$1:$N$355,$AB172)="GB",LEFT(UPPER(TRIM(INDEX('ORDER Form'!$L$1:$L$355,$AB172))),2)="BT"),INDEX('ORDER Form'!$AC$1:$AC$355,$AB172),IFERROR(VLOOKUP(INDEX('ORDER Form'!$AC$1:$AC$355,$AB172)&amp;"|"&amp;INDEX('PRODUCT DATA'!$A$2:$A$58,MATCH(INDEX('ORDER Form'!$N$1:$N$355,$AB172),'PRODUCT DATA'!$B$2:$B$58,0)),'PRODUCT DATA'!$NO$2:$NP$25,2,FALSE()),INDEX('ORDER Form'!$AC$1:$AC$355,$AB172)))&amp;"",""))</f>
        <v/>
      </c>
      <c r="B172" s="49"/>
      <c r="C172" s="51" t="str">
        <f>IF($AB172="","",INDEX('ORDER Form'!$C$1:$C$355,$AB172))</f>
        <v/>
      </c>
      <c r="D172" s="49"/>
      <c r="E172" s="49"/>
      <c r="F172" s="49"/>
      <c r="G172" s="49"/>
      <c r="H172" s="49"/>
      <c r="I172" s="49"/>
      <c r="J172" s="50" t="str">
        <f>IF($AB172="","",INDEX('ORDER Form'!$D$1:$D$355,$AB172)&amp;"")</f>
        <v/>
      </c>
      <c r="K172" s="50" t="str">
        <f>IF($AB172="","",INDEX('ORDER Form'!$E$1:$E$355,$AB172)&amp;"")</f>
        <v/>
      </c>
      <c r="L172" s="50" t="str">
        <f>IF($AB172="","",INDEX('ORDER Form'!$F$1:$F$355,$AB172)&amp;"")</f>
        <v/>
      </c>
      <c r="M172" s="50" t="str">
        <f>IF($AB172="","",INDEX('ORDER Form'!$G$1:$G$355,$AB172)&amp;"")</f>
        <v/>
      </c>
      <c r="N172" s="50" t="str">
        <f>IF($AB172="","",INDEX('ORDER Form'!$H$1:$H$355,$AB172)&amp;"")</f>
        <v/>
      </c>
      <c r="O172" s="50" t="str">
        <f>IF($AB172="","",INDEX('ORDER Form'!$I$1:$I$355,$AB172)&amp;"")</f>
        <v/>
      </c>
      <c r="P172" s="50" t="str">
        <f>IF($AB172="","",INDEX('ORDER Form'!$J$1:$J$355,$AB172)&amp;"")</f>
        <v/>
      </c>
      <c r="Q172" s="50" t="str">
        <f>IF($AB172="","",INDEX('ORDER Form'!$AB$1:$AB$355,$AB172)&amp;"")</f>
        <v/>
      </c>
      <c r="R172" s="50" t="str">
        <f>IF($AB172="","",INDEX('ORDER Form'!$L$1:$L$355,$AB172)&amp;"")</f>
        <v/>
      </c>
      <c r="S172" s="50" t="str">
        <f>IF($AB172="","",INDEX('ORDER Form'!$N$1:$N$355,$AB172)&amp;"")</f>
        <v/>
      </c>
      <c r="T172" s="50" t="str">
        <f>IF($AB172="","",IF($AD172,T$3,INDEX('ORDER Form'!$O$1:$O$355,$AB172))&amp;"")</f>
        <v/>
      </c>
      <c r="U172" s="50" t="str">
        <f>IF($AB172="","",IF($AD172,U$3,INDEX('ORDER Form'!$P$1:$P$355,$AB172))&amp;"")</f>
        <v/>
      </c>
      <c r="V172" s="50" t="str">
        <f>IF($AB172="","",IF($AD172,V$3,INDEX('ORDER Form'!$Q$1:$Q$355,$AB172))&amp;"")</f>
        <v/>
      </c>
      <c r="W172" s="50" t="str">
        <f>IF($AB172="","",IF($AD172,W$3,INDEX('ORDER Form'!$R$1:$R$355,$AB172))&amp;"")</f>
        <v/>
      </c>
      <c r="X172" s="50" t="str">
        <f>IF($AB172="","",IF($AD172,X$3,INDEX('ORDER Form'!$S$1:$S$355,$AB172))&amp;"")</f>
        <v/>
      </c>
      <c r="Y172" s="50" t="str">
        <f>IF($AB172="","",IF($AD172,Y$3,INDEX('ORDER Form'!$T$1:$T$355,$AB172))&amp;"")</f>
        <v/>
      </c>
      <c r="Z172" s="50" t="str">
        <f>IF($AB172="","",IF($AD172,Z$3,INDEX('ORDER Form'!$U$1:$U$355,$AB172))&amp;"")</f>
        <v/>
      </c>
      <c r="AB172" s="51" t="str">
        <f>IFERROR(MATCH(168,$AC$5:$AC$354,0)+5,"")</f>
        <v/>
      </c>
      <c r="AC172" s="51" t="str">
        <f>IF('ORDER Form'!$V173="OK",COUNTIF('ORDER Form'!$V$6:$V173,"OK"),"")</f>
        <v/>
      </c>
      <c r="AD172" s="51" t="str">
        <f>IF($AB172="","",(LEN(TRIM(INDEX('ORDER Form'!$O$1:$O$355,$AB172)))+LEN(TRIM(INDEX('ORDER Form'!$P$1:$P$355,$AB172)))+LEN(TRIM(INDEX('ORDER Form'!$Q$1:$Q$355,$AB172)))+LEN(TRIM(INDEX('ORDER Form'!$R$1:$R$355,$AB172)))+LEN(TRIM(INDEX('ORDER Form'!$S$1:$S$355,$AB172)))+LEN(TRIM(INDEX('ORDER Form'!$T$1:$T$355,$AB172)))+LEN(TRIM(INDEX('ORDER Form'!$U$1:$U$355,$AB172))))=0)</f>
        <v/>
      </c>
    </row>
    <row r="173" spans="1:30" ht="15" customHeight="1" x14ac:dyDescent="0.25">
      <c r="A173" s="50" t="str">
        <f>IF($AB173="","",IFERROR(IF(AND(INDEX('ORDER Form'!$N$1:$N$355,$AB173)="GB",LEFT(UPPER(TRIM(INDEX('ORDER Form'!$L$1:$L$355,$AB173))),2)="BT"),INDEX('ORDER Form'!$AC$1:$AC$355,$AB173),IFERROR(VLOOKUP(INDEX('ORDER Form'!$AC$1:$AC$355,$AB173)&amp;"|"&amp;INDEX('PRODUCT DATA'!$A$2:$A$58,MATCH(INDEX('ORDER Form'!$N$1:$N$355,$AB173),'PRODUCT DATA'!$B$2:$B$58,0)),'PRODUCT DATA'!$NO$2:$NP$25,2,FALSE()),INDEX('ORDER Form'!$AC$1:$AC$355,$AB173)))&amp;"",""))</f>
        <v/>
      </c>
      <c r="B173" s="49"/>
      <c r="C173" s="51" t="str">
        <f>IF($AB173="","",INDEX('ORDER Form'!$C$1:$C$355,$AB173))</f>
        <v/>
      </c>
      <c r="D173" s="49"/>
      <c r="E173" s="49"/>
      <c r="F173" s="49"/>
      <c r="G173" s="49"/>
      <c r="H173" s="49"/>
      <c r="I173" s="49"/>
      <c r="J173" s="50" t="str">
        <f>IF($AB173="","",INDEX('ORDER Form'!$D$1:$D$355,$AB173)&amp;"")</f>
        <v/>
      </c>
      <c r="K173" s="50" t="str">
        <f>IF($AB173="","",INDEX('ORDER Form'!$E$1:$E$355,$AB173)&amp;"")</f>
        <v/>
      </c>
      <c r="L173" s="50" t="str">
        <f>IF($AB173="","",INDEX('ORDER Form'!$F$1:$F$355,$AB173)&amp;"")</f>
        <v/>
      </c>
      <c r="M173" s="50" t="str">
        <f>IF($AB173="","",INDEX('ORDER Form'!$G$1:$G$355,$AB173)&amp;"")</f>
        <v/>
      </c>
      <c r="N173" s="50" t="str">
        <f>IF($AB173="","",INDEX('ORDER Form'!$H$1:$H$355,$AB173)&amp;"")</f>
        <v/>
      </c>
      <c r="O173" s="50" t="str">
        <f>IF($AB173="","",INDEX('ORDER Form'!$I$1:$I$355,$AB173)&amp;"")</f>
        <v/>
      </c>
      <c r="P173" s="50" t="str">
        <f>IF($AB173="","",INDEX('ORDER Form'!$J$1:$J$355,$AB173)&amp;"")</f>
        <v/>
      </c>
      <c r="Q173" s="50" t="str">
        <f>IF($AB173="","",INDEX('ORDER Form'!$AB$1:$AB$355,$AB173)&amp;"")</f>
        <v/>
      </c>
      <c r="R173" s="50" t="str">
        <f>IF($AB173="","",INDEX('ORDER Form'!$L$1:$L$355,$AB173)&amp;"")</f>
        <v/>
      </c>
      <c r="S173" s="50" t="str">
        <f>IF($AB173="","",INDEX('ORDER Form'!$N$1:$N$355,$AB173)&amp;"")</f>
        <v/>
      </c>
      <c r="T173" s="50" t="str">
        <f>IF($AB173="","",IF($AD173,T$3,INDEX('ORDER Form'!$O$1:$O$355,$AB173))&amp;"")</f>
        <v/>
      </c>
      <c r="U173" s="50" t="str">
        <f>IF($AB173="","",IF($AD173,U$3,INDEX('ORDER Form'!$P$1:$P$355,$AB173))&amp;"")</f>
        <v/>
      </c>
      <c r="V173" s="50" t="str">
        <f>IF($AB173="","",IF($AD173,V$3,INDEX('ORDER Form'!$Q$1:$Q$355,$AB173))&amp;"")</f>
        <v/>
      </c>
      <c r="W173" s="50" t="str">
        <f>IF($AB173="","",IF($AD173,W$3,INDEX('ORDER Form'!$R$1:$R$355,$AB173))&amp;"")</f>
        <v/>
      </c>
      <c r="X173" s="50" t="str">
        <f>IF($AB173="","",IF($AD173,X$3,INDEX('ORDER Form'!$S$1:$S$355,$AB173))&amp;"")</f>
        <v/>
      </c>
      <c r="Y173" s="50" t="str">
        <f>IF($AB173="","",IF($AD173,Y$3,INDEX('ORDER Form'!$T$1:$T$355,$AB173))&amp;"")</f>
        <v/>
      </c>
      <c r="Z173" s="50" t="str">
        <f>IF($AB173="","",IF($AD173,Z$3,INDEX('ORDER Form'!$U$1:$U$355,$AB173))&amp;"")</f>
        <v/>
      </c>
      <c r="AB173" s="51" t="str">
        <f>IFERROR(MATCH(169,$AC$5:$AC$354,0)+5,"")</f>
        <v/>
      </c>
      <c r="AC173" s="51" t="str">
        <f>IF('ORDER Form'!$V174="OK",COUNTIF('ORDER Form'!$V$6:$V174,"OK"),"")</f>
        <v/>
      </c>
      <c r="AD173" s="51" t="str">
        <f>IF($AB173="","",(LEN(TRIM(INDEX('ORDER Form'!$O$1:$O$355,$AB173)))+LEN(TRIM(INDEX('ORDER Form'!$P$1:$P$355,$AB173)))+LEN(TRIM(INDEX('ORDER Form'!$Q$1:$Q$355,$AB173)))+LEN(TRIM(INDEX('ORDER Form'!$R$1:$R$355,$AB173)))+LEN(TRIM(INDEX('ORDER Form'!$S$1:$S$355,$AB173)))+LEN(TRIM(INDEX('ORDER Form'!$T$1:$T$355,$AB173)))+LEN(TRIM(INDEX('ORDER Form'!$U$1:$U$355,$AB173))))=0)</f>
        <v/>
      </c>
    </row>
    <row r="174" spans="1:30" ht="15" customHeight="1" x14ac:dyDescent="0.25">
      <c r="A174" s="50" t="str">
        <f>IF($AB174="","",IFERROR(IF(AND(INDEX('ORDER Form'!$N$1:$N$355,$AB174)="GB",LEFT(UPPER(TRIM(INDEX('ORDER Form'!$L$1:$L$355,$AB174))),2)="BT"),INDEX('ORDER Form'!$AC$1:$AC$355,$AB174),IFERROR(VLOOKUP(INDEX('ORDER Form'!$AC$1:$AC$355,$AB174)&amp;"|"&amp;INDEX('PRODUCT DATA'!$A$2:$A$58,MATCH(INDEX('ORDER Form'!$N$1:$N$355,$AB174),'PRODUCT DATA'!$B$2:$B$58,0)),'PRODUCT DATA'!$NO$2:$NP$25,2,FALSE()),INDEX('ORDER Form'!$AC$1:$AC$355,$AB174)))&amp;"",""))</f>
        <v/>
      </c>
      <c r="B174" s="49"/>
      <c r="C174" s="51" t="str">
        <f>IF($AB174="","",INDEX('ORDER Form'!$C$1:$C$355,$AB174))</f>
        <v/>
      </c>
      <c r="D174" s="49"/>
      <c r="E174" s="49"/>
      <c r="F174" s="49"/>
      <c r="G174" s="49"/>
      <c r="H174" s="49"/>
      <c r="I174" s="49"/>
      <c r="J174" s="50" t="str">
        <f>IF($AB174="","",INDEX('ORDER Form'!$D$1:$D$355,$AB174)&amp;"")</f>
        <v/>
      </c>
      <c r="K174" s="50" t="str">
        <f>IF($AB174="","",INDEX('ORDER Form'!$E$1:$E$355,$AB174)&amp;"")</f>
        <v/>
      </c>
      <c r="L174" s="50" t="str">
        <f>IF($AB174="","",INDEX('ORDER Form'!$F$1:$F$355,$AB174)&amp;"")</f>
        <v/>
      </c>
      <c r="M174" s="50" t="str">
        <f>IF($AB174="","",INDEX('ORDER Form'!$G$1:$G$355,$AB174)&amp;"")</f>
        <v/>
      </c>
      <c r="N174" s="50" t="str">
        <f>IF($AB174="","",INDEX('ORDER Form'!$H$1:$H$355,$AB174)&amp;"")</f>
        <v/>
      </c>
      <c r="O174" s="50" t="str">
        <f>IF($AB174="","",INDEX('ORDER Form'!$I$1:$I$355,$AB174)&amp;"")</f>
        <v/>
      </c>
      <c r="P174" s="50" t="str">
        <f>IF($AB174="","",INDEX('ORDER Form'!$J$1:$J$355,$AB174)&amp;"")</f>
        <v/>
      </c>
      <c r="Q174" s="50" t="str">
        <f>IF($AB174="","",INDEX('ORDER Form'!$AB$1:$AB$355,$AB174)&amp;"")</f>
        <v/>
      </c>
      <c r="R174" s="50" t="str">
        <f>IF($AB174="","",INDEX('ORDER Form'!$L$1:$L$355,$AB174)&amp;"")</f>
        <v/>
      </c>
      <c r="S174" s="50" t="str">
        <f>IF($AB174="","",INDEX('ORDER Form'!$N$1:$N$355,$AB174)&amp;"")</f>
        <v/>
      </c>
      <c r="T174" s="50" t="str">
        <f>IF($AB174="","",IF($AD174,T$3,INDEX('ORDER Form'!$O$1:$O$355,$AB174))&amp;"")</f>
        <v/>
      </c>
      <c r="U174" s="50" t="str">
        <f>IF($AB174="","",IF($AD174,U$3,INDEX('ORDER Form'!$P$1:$P$355,$AB174))&amp;"")</f>
        <v/>
      </c>
      <c r="V174" s="50" t="str">
        <f>IF($AB174="","",IF($AD174,V$3,INDEX('ORDER Form'!$Q$1:$Q$355,$AB174))&amp;"")</f>
        <v/>
      </c>
      <c r="W174" s="50" t="str">
        <f>IF($AB174="","",IF($AD174,W$3,INDEX('ORDER Form'!$R$1:$R$355,$AB174))&amp;"")</f>
        <v/>
      </c>
      <c r="X174" s="50" t="str">
        <f>IF($AB174="","",IF($AD174,X$3,INDEX('ORDER Form'!$S$1:$S$355,$AB174))&amp;"")</f>
        <v/>
      </c>
      <c r="Y174" s="50" t="str">
        <f>IF($AB174="","",IF($AD174,Y$3,INDEX('ORDER Form'!$T$1:$T$355,$AB174))&amp;"")</f>
        <v/>
      </c>
      <c r="Z174" s="50" t="str">
        <f>IF($AB174="","",IF($AD174,Z$3,INDEX('ORDER Form'!$U$1:$U$355,$AB174))&amp;"")</f>
        <v/>
      </c>
      <c r="AB174" s="51" t="str">
        <f>IFERROR(MATCH(170,$AC$5:$AC$354,0)+5,"")</f>
        <v/>
      </c>
      <c r="AC174" s="51" t="str">
        <f>IF('ORDER Form'!$V175="OK",COUNTIF('ORDER Form'!$V$6:$V175,"OK"),"")</f>
        <v/>
      </c>
      <c r="AD174" s="51" t="str">
        <f>IF($AB174="","",(LEN(TRIM(INDEX('ORDER Form'!$O$1:$O$355,$AB174)))+LEN(TRIM(INDEX('ORDER Form'!$P$1:$P$355,$AB174)))+LEN(TRIM(INDEX('ORDER Form'!$Q$1:$Q$355,$AB174)))+LEN(TRIM(INDEX('ORDER Form'!$R$1:$R$355,$AB174)))+LEN(TRIM(INDEX('ORDER Form'!$S$1:$S$355,$AB174)))+LEN(TRIM(INDEX('ORDER Form'!$T$1:$T$355,$AB174)))+LEN(TRIM(INDEX('ORDER Form'!$U$1:$U$355,$AB174))))=0)</f>
        <v/>
      </c>
    </row>
    <row r="175" spans="1:30" ht="15" customHeight="1" x14ac:dyDescent="0.25">
      <c r="A175" s="50" t="str">
        <f>IF($AB175="","",IFERROR(IF(AND(INDEX('ORDER Form'!$N$1:$N$355,$AB175)="GB",LEFT(UPPER(TRIM(INDEX('ORDER Form'!$L$1:$L$355,$AB175))),2)="BT"),INDEX('ORDER Form'!$AC$1:$AC$355,$AB175),IFERROR(VLOOKUP(INDEX('ORDER Form'!$AC$1:$AC$355,$AB175)&amp;"|"&amp;INDEX('PRODUCT DATA'!$A$2:$A$58,MATCH(INDEX('ORDER Form'!$N$1:$N$355,$AB175),'PRODUCT DATA'!$B$2:$B$58,0)),'PRODUCT DATA'!$NO$2:$NP$25,2,FALSE()),INDEX('ORDER Form'!$AC$1:$AC$355,$AB175)))&amp;"",""))</f>
        <v/>
      </c>
      <c r="B175" s="49"/>
      <c r="C175" s="51" t="str">
        <f>IF($AB175="","",INDEX('ORDER Form'!$C$1:$C$355,$AB175))</f>
        <v/>
      </c>
      <c r="D175" s="49"/>
      <c r="E175" s="49"/>
      <c r="F175" s="49"/>
      <c r="G175" s="49"/>
      <c r="H175" s="49"/>
      <c r="I175" s="49"/>
      <c r="J175" s="50" t="str">
        <f>IF($AB175="","",INDEX('ORDER Form'!$D$1:$D$355,$AB175)&amp;"")</f>
        <v/>
      </c>
      <c r="K175" s="50" t="str">
        <f>IF($AB175="","",INDEX('ORDER Form'!$E$1:$E$355,$AB175)&amp;"")</f>
        <v/>
      </c>
      <c r="L175" s="50" t="str">
        <f>IF($AB175="","",INDEX('ORDER Form'!$F$1:$F$355,$AB175)&amp;"")</f>
        <v/>
      </c>
      <c r="M175" s="50" t="str">
        <f>IF($AB175="","",INDEX('ORDER Form'!$G$1:$G$355,$AB175)&amp;"")</f>
        <v/>
      </c>
      <c r="N175" s="50" t="str">
        <f>IF($AB175="","",INDEX('ORDER Form'!$H$1:$H$355,$AB175)&amp;"")</f>
        <v/>
      </c>
      <c r="O175" s="50" t="str">
        <f>IF($AB175="","",INDEX('ORDER Form'!$I$1:$I$355,$AB175)&amp;"")</f>
        <v/>
      </c>
      <c r="P175" s="50" t="str">
        <f>IF($AB175="","",INDEX('ORDER Form'!$J$1:$J$355,$AB175)&amp;"")</f>
        <v/>
      </c>
      <c r="Q175" s="50" t="str">
        <f>IF($AB175="","",INDEX('ORDER Form'!$AB$1:$AB$355,$AB175)&amp;"")</f>
        <v/>
      </c>
      <c r="R175" s="50" t="str">
        <f>IF($AB175="","",INDEX('ORDER Form'!$L$1:$L$355,$AB175)&amp;"")</f>
        <v/>
      </c>
      <c r="S175" s="50" t="str">
        <f>IF($AB175="","",INDEX('ORDER Form'!$N$1:$N$355,$AB175)&amp;"")</f>
        <v/>
      </c>
      <c r="T175" s="50" t="str">
        <f>IF($AB175="","",IF($AD175,T$3,INDEX('ORDER Form'!$O$1:$O$355,$AB175))&amp;"")</f>
        <v/>
      </c>
      <c r="U175" s="50" t="str">
        <f>IF($AB175="","",IF($AD175,U$3,INDEX('ORDER Form'!$P$1:$P$355,$AB175))&amp;"")</f>
        <v/>
      </c>
      <c r="V175" s="50" t="str">
        <f>IF($AB175="","",IF($AD175,V$3,INDEX('ORDER Form'!$Q$1:$Q$355,$AB175))&amp;"")</f>
        <v/>
      </c>
      <c r="W175" s="50" t="str">
        <f>IF($AB175="","",IF($AD175,W$3,INDEX('ORDER Form'!$R$1:$R$355,$AB175))&amp;"")</f>
        <v/>
      </c>
      <c r="X175" s="50" t="str">
        <f>IF($AB175="","",IF($AD175,X$3,INDEX('ORDER Form'!$S$1:$S$355,$AB175))&amp;"")</f>
        <v/>
      </c>
      <c r="Y175" s="50" t="str">
        <f>IF($AB175="","",IF($AD175,Y$3,INDEX('ORDER Form'!$T$1:$T$355,$AB175))&amp;"")</f>
        <v/>
      </c>
      <c r="Z175" s="50" t="str">
        <f>IF($AB175="","",IF($AD175,Z$3,INDEX('ORDER Form'!$U$1:$U$355,$AB175))&amp;"")</f>
        <v/>
      </c>
      <c r="AB175" s="51" t="str">
        <f>IFERROR(MATCH(171,$AC$5:$AC$354,0)+5,"")</f>
        <v/>
      </c>
      <c r="AC175" s="51" t="str">
        <f>IF('ORDER Form'!$V176="OK",COUNTIF('ORDER Form'!$V$6:$V176,"OK"),"")</f>
        <v/>
      </c>
      <c r="AD175" s="51" t="str">
        <f>IF($AB175="","",(LEN(TRIM(INDEX('ORDER Form'!$O$1:$O$355,$AB175)))+LEN(TRIM(INDEX('ORDER Form'!$P$1:$P$355,$AB175)))+LEN(TRIM(INDEX('ORDER Form'!$Q$1:$Q$355,$AB175)))+LEN(TRIM(INDEX('ORDER Form'!$R$1:$R$355,$AB175)))+LEN(TRIM(INDEX('ORDER Form'!$S$1:$S$355,$AB175)))+LEN(TRIM(INDEX('ORDER Form'!$T$1:$T$355,$AB175)))+LEN(TRIM(INDEX('ORDER Form'!$U$1:$U$355,$AB175))))=0)</f>
        <v/>
      </c>
    </row>
    <row r="176" spans="1:30" ht="15" customHeight="1" x14ac:dyDescent="0.25">
      <c r="A176" s="50" t="str">
        <f>IF($AB176="","",IFERROR(IF(AND(INDEX('ORDER Form'!$N$1:$N$355,$AB176)="GB",LEFT(UPPER(TRIM(INDEX('ORDER Form'!$L$1:$L$355,$AB176))),2)="BT"),INDEX('ORDER Form'!$AC$1:$AC$355,$AB176),IFERROR(VLOOKUP(INDEX('ORDER Form'!$AC$1:$AC$355,$AB176)&amp;"|"&amp;INDEX('PRODUCT DATA'!$A$2:$A$58,MATCH(INDEX('ORDER Form'!$N$1:$N$355,$AB176),'PRODUCT DATA'!$B$2:$B$58,0)),'PRODUCT DATA'!$NO$2:$NP$25,2,FALSE()),INDEX('ORDER Form'!$AC$1:$AC$355,$AB176)))&amp;"",""))</f>
        <v/>
      </c>
      <c r="B176" s="49"/>
      <c r="C176" s="51" t="str">
        <f>IF($AB176="","",INDEX('ORDER Form'!$C$1:$C$355,$AB176))</f>
        <v/>
      </c>
      <c r="D176" s="49"/>
      <c r="E176" s="49"/>
      <c r="F176" s="49"/>
      <c r="G176" s="49"/>
      <c r="H176" s="49"/>
      <c r="I176" s="49"/>
      <c r="J176" s="50" t="str">
        <f>IF($AB176="","",INDEX('ORDER Form'!$D$1:$D$355,$AB176)&amp;"")</f>
        <v/>
      </c>
      <c r="K176" s="50" t="str">
        <f>IF($AB176="","",INDEX('ORDER Form'!$E$1:$E$355,$AB176)&amp;"")</f>
        <v/>
      </c>
      <c r="L176" s="50" t="str">
        <f>IF($AB176="","",INDEX('ORDER Form'!$F$1:$F$355,$AB176)&amp;"")</f>
        <v/>
      </c>
      <c r="M176" s="50" t="str">
        <f>IF($AB176="","",INDEX('ORDER Form'!$G$1:$G$355,$AB176)&amp;"")</f>
        <v/>
      </c>
      <c r="N176" s="50" t="str">
        <f>IF($AB176="","",INDEX('ORDER Form'!$H$1:$H$355,$AB176)&amp;"")</f>
        <v/>
      </c>
      <c r="O176" s="50" t="str">
        <f>IF($AB176="","",INDEX('ORDER Form'!$I$1:$I$355,$AB176)&amp;"")</f>
        <v/>
      </c>
      <c r="P176" s="50" t="str">
        <f>IF($AB176="","",INDEX('ORDER Form'!$J$1:$J$355,$AB176)&amp;"")</f>
        <v/>
      </c>
      <c r="Q176" s="50" t="str">
        <f>IF($AB176="","",INDEX('ORDER Form'!$AB$1:$AB$355,$AB176)&amp;"")</f>
        <v/>
      </c>
      <c r="R176" s="50" t="str">
        <f>IF($AB176="","",INDEX('ORDER Form'!$L$1:$L$355,$AB176)&amp;"")</f>
        <v/>
      </c>
      <c r="S176" s="50" t="str">
        <f>IF($AB176="","",INDEX('ORDER Form'!$N$1:$N$355,$AB176)&amp;"")</f>
        <v/>
      </c>
      <c r="T176" s="50" t="str">
        <f>IF($AB176="","",IF($AD176,T$3,INDEX('ORDER Form'!$O$1:$O$355,$AB176))&amp;"")</f>
        <v/>
      </c>
      <c r="U176" s="50" t="str">
        <f>IF($AB176="","",IF($AD176,U$3,INDEX('ORDER Form'!$P$1:$P$355,$AB176))&amp;"")</f>
        <v/>
      </c>
      <c r="V176" s="50" t="str">
        <f>IF($AB176="","",IF($AD176,V$3,INDEX('ORDER Form'!$Q$1:$Q$355,$AB176))&amp;"")</f>
        <v/>
      </c>
      <c r="W176" s="50" t="str">
        <f>IF($AB176="","",IF($AD176,W$3,INDEX('ORDER Form'!$R$1:$R$355,$AB176))&amp;"")</f>
        <v/>
      </c>
      <c r="X176" s="50" t="str">
        <f>IF($AB176="","",IF($AD176,X$3,INDEX('ORDER Form'!$S$1:$S$355,$AB176))&amp;"")</f>
        <v/>
      </c>
      <c r="Y176" s="50" t="str">
        <f>IF($AB176="","",IF($AD176,Y$3,INDEX('ORDER Form'!$T$1:$T$355,$AB176))&amp;"")</f>
        <v/>
      </c>
      <c r="Z176" s="50" t="str">
        <f>IF($AB176="","",IF($AD176,Z$3,INDEX('ORDER Form'!$U$1:$U$355,$AB176))&amp;"")</f>
        <v/>
      </c>
      <c r="AB176" s="51" t="str">
        <f>IFERROR(MATCH(172,$AC$5:$AC$354,0)+5,"")</f>
        <v/>
      </c>
      <c r="AC176" s="51" t="str">
        <f>IF('ORDER Form'!$V177="OK",COUNTIF('ORDER Form'!$V$6:$V177,"OK"),"")</f>
        <v/>
      </c>
      <c r="AD176" s="51" t="str">
        <f>IF($AB176="","",(LEN(TRIM(INDEX('ORDER Form'!$O$1:$O$355,$AB176)))+LEN(TRIM(INDEX('ORDER Form'!$P$1:$P$355,$AB176)))+LEN(TRIM(INDEX('ORDER Form'!$Q$1:$Q$355,$AB176)))+LEN(TRIM(INDEX('ORDER Form'!$R$1:$R$355,$AB176)))+LEN(TRIM(INDEX('ORDER Form'!$S$1:$S$355,$AB176)))+LEN(TRIM(INDEX('ORDER Form'!$T$1:$T$355,$AB176)))+LEN(TRIM(INDEX('ORDER Form'!$U$1:$U$355,$AB176))))=0)</f>
        <v/>
      </c>
    </row>
    <row r="177" spans="1:30" ht="15" customHeight="1" x14ac:dyDescent="0.25">
      <c r="A177" s="50" t="str">
        <f>IF($AB177="","",IFERROR(IF(AND(INDEX('ORDER Form'!$N$1:$N$355,$AB177)="GB",LEFT(UPPER(TRIM(INDEX('ORDER Form'!$L$1:$L$355,$AB177))),2)="BT"),INDEX('ORDER Form'!$AC$1:$AC$355,$AB177),IFERROR(VLOOKUP(INDEX('ORDER Form'!$AC$1:$AC$355,$AB177)&amp;"|"&amp;INDEX('PRODUCT DATA'!$A$2:$A$58,MATCH(INDEX('ORDER Form'!$N$1:$N$355,$AB177),'PRODUCT DATA'!$B$2:$B$58,0)),'PRODUCT DATA'!$NO$2:$NP$25,2,FALSE()),INDEX('ORDER Form'!$AC$1:$AC$355,$AB177)))&amp;"",""))</f>
        <v/>
      </c>
      <c r="B177" s="49"/>
      <c r="C177" s="51" t="str">
        <f>IF($AB177="","",INDEX('ORDER Form'!$C$1:$C$355,$AB177))</f>
        <v/>
      </c>
      <c r="D177" s="49"/>
      <c r="E177" s="49"/>
      <c r="F177" s="49"/>
      <c r="G177" s="49"/>
      <c r="H177" s="49"/>
      <c r="I177" s="49"/>
      <c r="J177" s="50" t="str">
        <f>IF($AB177="","",INDEX('ORDER Form'!$D$1:$D$355,$AB177)&amp;"")</f>
        <v/>
      </c>
      <c r="K177" s="50" t="str">
        <f>IF($AB177="","",INDEX('ORDER Form'!$E$1:$E$355,$AB177)&amp;"")</f>
        <v/>
      </c>
      <c r="L177" s="50" t="str">
        <f>IF($AB177="","",INDEX('ORDER Form'!$F$1:$F$355,$AB177)&amp;"")</f>
        <v/>
      </c>
      <c r="M177" s="50" t="str">
        <f>IF($AB177="","",INDEX('ORDER Form'!$G$1:$G$355,$AB177)&amp;"")</f>
        <v/>
      </c>
      <c r="N177" s="50" t="str">
        <f>IF($AB177="","",INDEX('ORDER Form'!$H$1:$H$355,$AB177)&amp;"")</f>
        <v/>
      </c>
      <c r="O177" s="50" t="str">
        <f>IF($AB177="","",INDEX('ORDER Form'!$I$1:$I$355,$AB177)&amp;"")</f>
        <v/>
      </c>
      <c r="P177" s="50" t="str">
        <f>IF($AB177="","",INDEX('ORDER Form'!$J$1:$J$355,$AB177)&amp;"")</f>
        <v/>
      </c>
      <c r="Q177" s="50" t="str">
        <f>IF($AB177="","",INDEX('ORDER Form'!$AB$1:$AB$355,$AB177)&amp;"")</f>
        <v/>
      </c>
      <c r="R177" s="50" t="str">
        <f>IF($AB177="","",INDEX('ORDER Form'!$L$1:$L$355,$AB177)&amp;"")</f>
        <v/>
      </c>
      <c r="S177" s="50" t="str">
        <f>IF($AB177="","",INDEX('ORDER Form'!$N$1:$N$355,$AB177)&amp;"")</f>
        <v/>
      </c>
      <c r="T177" s="50" t="str">
        <f>IF($AB177="","",IF($AD177,T$3,INDEX('ORDER Form'!$O$1:$O$355,$AB177))&amp;"")</f>
        <v/>
      </c>
      <c r="U177" s="50" t="str">
        <f>IF($AB177="","",IF($AD177,U$3,INDEX('ORDER Form'!$P$1:$P$355,$AB177))&amp;"")</f>
        <v/>
      </c>
      <c r="V177" s="50" t="str">
        <f>IF($AB177="","",IF($AD177,V$3,INDEX('ORDER Form'!$Q$1:$Q$355,$AB177))&amp;"")</f>
        <v/>
      </c>
      <c r="W177" s="50" t="str">
        <f>IF($AB177="","",IF($AD177,W$3,INDEX('ORDER Form'!$R$1:$R$355,$AB177))&amp;"")</f>
        <v/>
      </c>
      <c r="X177" s="50" t="str">
        <f>IF($AB177="","",IF($AD177,X$3,INDEX('ORDER Form'!$S$1:$S$355,$AB177))&amp;"")</f>
        <v/>
      </c>
      <c r="Y177" s="50" t="str">
        <f>IF($AB177="","",IF($AD177,Y$3,INDEX('ORDER Form'!$T$1:$T$355,$AB177))&amp;"")</f>
        <v/>
      </c>
      <c r="Z177" s="50" t="str">
        <f>IF($AB177="","",IF($AD177,Z$3,INDEX('ORDER Form'!$U$1:$U$355,$AB177))&amp;"")</f>
        <v/>
      </c>
      <c r="AB177" s="51" t="str">
        <f>IFERROR(MATCH(173,$AC$5:$AC$354,0)+5,"")</f>
        <v/>
      </c>
      <c r="AC177" s="51" t="str">
        <f>IF('ORDER Form'!$V178="OK",COUNTIF('ORDER Form'!$V$6:$V178,"OK"),"")</f>
        <v/>
      </c>
      <c r="AD177" s="51" t="str">
        <f>IF($AB177="","",(LEN(TRIM(INDEX('ORDER Form'!$O$1:$O$355,$AB177)))+LEN(TRIM(INDEX('ORDER Form'!$P$1:$P$355,$AB177)))+LEN(TRIM(INDEX('ORDER Form'!$Q$1:$Q$355,$AB177)))+LEN(TRIM(INDEX('ORDER Form'!$R$1:$R$355,$AB177)))+LEN(TRIM(INDEX('ORDER Form'!$S$1:$S$355,$AB177)))+LEN(TRIM(INDEX('ORDER Form'!$T$1:$T$355,$AB177)))+LEN(TRIM(INDEX('ORDER Form'!$U$1:$U$355,$AB177))))=0)</f>
        <v/>
      </c>
    </row>
    <row r="178" spans="1:30" ht="15" customHeight="1" x14ac:dyDescent="0.25">
      <c r="A178" s="50" t="str">
        <f>IF($AB178="","",IFERROR(IF(AND(INDEX('ORDER Form'!$N$1:$N$355,$AB178)="GB",LEFT(UPPER(TRIM(INDEX('ORDER Form'!$L$1:$L$355,$AB178))),2)="BT"),INDEX('ORDER Form'!$AC$1:$AC$355,$AB178),IFERROR(VLOOKUP(INDEX('ORDER Form'!$AC$1:$AC$355,$AB178)&amp;"|"&amp;INDEX('PRODUCT DATA'!$A$2:$A$58,MATCH(INDEX('ORDER Form'!$N$1:$N$355,$AB178),'PRODUCT DATA'!$B$2:$B$58,0)),'PRODUCT DATA'!$NO$2:$NP$25,2,FALSE()),INDEX('ORDER Form'!$AC$1:$AC$355,$AB178)))&amp;"",""))</f>
        <v/>
      </c>
      <c r="B178" s="49"/>
      <c r="C178" s="51" t="str">
        <f>IF($AB178="","",INDEX('ORDER Form'!$C$1:$C$355,$AB178))</f>
        <v/>
      </c>
      <c r="D178" s="49"/>
      <c r="E178" s="49"/>
      <c r="F178" s="49"/>
      <c r="G178" s="49"/>
      <c r="H178" s="49"/>
      <c r="I178" s="49"/>
      <c r="J178" s="50" t="str">
        <f>IF($AB178="","",INDEX('ORDER Form'!$D$1:$D$355,$AB178)&amp;"")</f>
        <v/>
      </c>
      <c r="K178" s="50" t="str">
        <f>IF($AB178="","",INDEX('ORDER Form'!$E$1:$E$355,$AB178)&amp;"")</f>
        <v/>
      </c>
      <c r="L178" s="50" t="str">
        <f>IF($AB178="","",INDEX('ORDER Form'!$F$1:$F$355,$AB178)&amp;"")</f>
        <v/>
      </c>
      <c r="M178" s="50" t="str">
        <f>IF($AB178="","",INDEX('ORDER Form'!$G$1:$G$355,$AB178)&amp;"")</f>
        <v/>
      </c>
      <c r="N178" s="50" t="str">
        <f>IF($AB178="","",INDEX('ORDER Form'!$H$1:$H$355,$AB178)&amp;"")</f>
        <v/>
      </c>
      <c r="O178" s="50" t="str">
        <f>IF($AB178="","",INDEX('ORDER Form'!$I$1:$I$355,$AB178)&amp;"")</f>
        <v/>
      </c>
      <c r="P178" s="50" t="str">
        <f>IF($AB178="","",INDEX('ORDER Form'!$J$1:$J$355,$AB178)&amp;"")</f>
        <v/>
      </c>
      <c r="Q178" s="50" t="str">
        <f>IF($AB178="","",INDEX('ORDER Form'!$AB$1:$AB$355,$AB178)&amp;"")</f>
        <v/>
      </c>
      <c r="R178" s="50" t="str">
        <f>IF($AB178="","",INDEX('ORDER Form'!$L$1:$L$355,$AB178)&amp;"")</f>
        <v/>
      </c>
      <c r="S178" s="50" t="str">
        <f>IF($AB178="","",INDEX('ORDER Form'!$N$1:$N$355,$AB178)&amp;"")</f>
        <v/>
      </c>
      <c r="T178" s="50" t="str">
        <f>IF($AB178="","",IF($AD178,T$3,INDEX('ORDER Form'!$O$1:$O$355,$AB178))&amp;"")</f>
        <v/>
      </c>
      <c r="U178" s="50" t="str">
        <f>IF($AB178="","",IF($AD178,U$3,INDEX('ORDER Form'!$P$1:$P$355,$AB178))&amp;"")</f>
        <v/>
      </c>
      <c r="V178" s="50" t="str">
        <f>IF($AB178="","",IF($AD178,V$3,INDEX('ORDER Form'!$Q$1:$Q$355,$AB178))&amp;"")</f>
        <v/>
      </c>
      <c r="W178" s="50" t="str">
        <f>IF($AB178="","",IF($AD178,W$3,INDEX('ORDER Form'!$R$1:$R$355,$AB178))&amp;"")</f>
        <v/>
      </c>
      <c r="X178" s="50" t="str">
        <f>IF($AB178="","",IF($AD178,X$3,INDEX('ORDER Form'!$S$1:$S$355,$AB178))&amp;"")</f>
        <v/>
      </c>
      <c r="Y178" s="50" t="str">
        <f>IF($AB178="","",IF($AD178,Y$3,INDEX('ORDER Form'!$T$1:$T$355,$AB178))&amp;"")</f>
        <v/>
      </c>
      <c r="Z178" s="50" t="str">
        <f>IF($AB178="","",IF($AD178,Z$3,INDEX('ORDER Form'!$U$1:$U$355,$AB178))&amp;"")</f>
        <v/>
      </c>
      <c r="AB178" s="51" t="str">
        <f>IFERROR(MATCH(174,$AC$5:$AC$354,0)+5,"")</f>
        <v/>
      </c>
      <c r="AC178" s="51" t="str">
        <f>IF('ORDER Form'!$V179="OK",COUNTIF('ORDER Form'!$V$6:$V179,"OK"),"")</f>
        <v/>
      </c>
      <c r="AD178" s="51" t="str">
        <f>IF($AB178="","",(LEN(TRIM(INDEX('ORDER Form'!$O$1:$O$355,$AB178)))+LEN(TRIM(INDEX('ORDER Form'!$P$1:$P$355,$AB178)))+LEN(TRIM(INDEX('ORDER Form'!$Q$1:$Q$355,$AB178)))+LEN(TRIM(INDEX('ORDER Form'!$R$1:$R$355,$AB178)))+LEN(TRIM(INDEX('ORDER Form'!$S$1:$S$355,$AB178)))+LEN(TRIM(INDEX('ORDER Form'!$T$1:$T$355,$AB178)))+LEN(TRIM(INDEX('ORDER Form'!$U$1:$U$355,$AB178))))=0)</f>
        <v/>
      </c>
    </row>
    <row r="179" spans="1:30" ht="15" customHeight="1" x14ac:dyDescent="0.25">
      <c r="A179" s="50" t="str">
        <f>IF($AB179="","",IFERROR(IF(AND(INDEX('ORDER Form'!$N$1:$N$355,$AB179)="GB",LEFT(UPPER(TRIM(INDEX('ORDER Form'!$L$1:$L$355,$AB179))),2)="BT"),INDEX('ORDER Form'!$AC$1:$AC$355,$AB179),IFERROR(VLOOKUP(INDEX('ORDER Form'!$AC$1:$AC$355,$AB179)&amp;"|"&amp;INDEX('PRODUCT DATA'!$A$2:$A$58,MATCH(INDEX('ORDER Form'!$N$1:$N$355,$AB179),'PRODUCT DATA'!$B$2:$B$58,0)),'PRODUCT DATA'!$NO$2:$NP$25,2,FALSE()),INDEX('ORDER Form'!$AC$1:$AC$355,$AB179)))&amp;"",""))</f>
        <v/>
      </c>
      <c r="B179" s="49"/>
      <c r="C179" s="51" t="str">
        <f>IF($AB179="","",INDEX('ORDER Form'!$C$1:$C$355,$AB179))</f>
        <v/>
      </c>
      <c r="D179" s="49"/>
      <c r="E179" s="49"/>
      <c r="F179" s="49"/>
      <c r="G179" s="49"/>
      <c r="H179" s="49"/>
      <c r="I179" s="49"/>
      <c r="J179" s="50" t="str">
        <f>IF($AB179="","",INDEX('ORDER Form'!$D$1:$D$355,$AB179)&amp;"")</f>
        <v/>
      </c>
      <c r="K179" s="50" t="str">
        <f>IF($AB179="","",INDEX('ORDER Form'!$E$1:$E$355,$AB179)&amp;"")</f>
        <v/>
      </c>
      <c r="L179" s="50" t="str">
        <f>IF($AB179="","",INDEX('ORDER Form'!$F$1:$F$355,$AB179)&amp;"")</f>
        <v/>
      </c>
      <c r="M179" s="50" t="str">
        <f>IF($AB179="","",INDEX('ORDER Form'!$G$1:$G$355,$AB179)&amp;"")</f>
        <v/>
      </c>
      <c r="N179" s="50" t="str">
        <f>IF($AB179="","",INDEX('ORDER Form'!$H$1:$H$355,$AB179)&amp;"")</f>
        <v/>
      </c>
      <c r="O179" s="50" t="str">
        <f>IF($AB179="","",INDEX('ORDER Form'!$I$1:$I$355,$AB179)&amp;"")</f>
        <v/>
      </c>
      <c r="P179" s="50" t="str">
        <f>IF($AB179="","",INDEX('ORDER Form'!$J$1:$J$355,$AB179)&amp;"")</f>
        <v/>
      </c>
      <c r="Q179" s="50" t="str">
        <f>IF($AB179="","",INDEX('ORDER Form'!$AB$1:$AB$355,$AB179)&amp;"")</f>
        <v/>
      </c>
      <c r="R179" s="50" t="str">
        <f>IF($AB179="","",INDEX('ORDER Form'!$L$1:$L$355,$AB179)&amp;"")</f>
        <v/>
      </c>
      <c r="S179" s="50" t="str">
        <f>IF($AB179="","",INDEX('ORDER Form'!$N$1:$N$355,$AB179)&amp;"")</f>
        <v/>
      </c>
      <c r="T179" s="50" t="str">
        <f>IF($AB179="","",IF($AD179,T$3,INDEX('ORDER Form'!$O$1:$O$355,$AB179))&amp;"")</f>
        <v/>
      </c>
      <c r="U179" s="50" t="str">
        <f>IF($AB179="","",IF($AD179,U$3,INDEX('ORDER Form'!$P$1:$P$355,$AB179))&amp;"")</f>
        <v/>
      </c>
      <c r="V179" s="50" t="str">
        <f>IF($AB179="","",IF($AD179,V$3,INDEX('ORDER Form'!$Q$1:$Q$355,$AB179))&amp;"")</f>
        <v/>
      </c>
      <c r="W179" s="50" t="str">
        <f>IF($AB179="","",IF($AD179,W$3,INDEX('ORDER Form'!$R$1:$R$355,$AB179))&amp;"")</f>
        <v/>
      </c>
      <c r="X179" s="50" t="str">
        <f>IF($AB179="","",IF($AD179,X$3,INDEX('ORDER Form'!$S$1:$S$355,$AB179))&amp;"")</f>
        <v/>
      </c>
      <c r="Y179" s="50" t="str">
        <f>IF($AB179="","",IF($AD179,Y$3,INDEX('ORDER Form'!$T$1:$T$355,$AB179))&amp;"")</f>
        <v/>
      </c>
      <c r="Z179" s="50" t="str">
        <f>IF($AB179="","",IF($AD179,Z$3,INDEX('ORDER Form'!$U$1:$U$355,$AB179))&amp;"")</f>
        <v/>
      </c>
      <c r="AB179" s="51" t="str">
        <f>IFERROR(MATCH(175,$AC$5:$AC$354,0)+5,"")</f>
        <v/>
      </c>
      <c r="AC179" s="51" t="str">
        <f>IF('ORDER Form'!$V180="OK",COUNTIF('ORDER Form'!$V$6:$V180,"OK"),"")</f>
        <v/>
      </c>
      <c r="AD179" s="51" t="str">
        <f>IF($AB179="","",(LEN(TRIM(INDEX('ORDER Form'!$O$1:$O$355,$AB179)))+LEN(TRIM(INDEX('ORDER Form'!$P$1:$P$355,$AB179)))+LEN(TRIM(INDEX('ORDER Form'!$Q$1:$Q$355,$AB179)))+LEN(TRIM(INDEX('ORDER Form'!$R$1:$R$355,$AB179)))+LEN(TRIM(INDEX('ORDER Form'!$S$1:$S$355,$AB179)))+LEN(TRIM(INDEX('ORDER Form'!$T$1:$T$355,$AB179)))+LEN(TRIM(INDEX('ORDER Form'!$U$1:$U$355,$AB179))))=0)</f>
        <v/>
      </c>
    </row>
    <row r="180" spans="1:30" ht="15" customHeight="1" x14ac:dyDescent="0.25">
      <c r="A180" s="50" t="str">
        <f>IF($AB180="","",IFERROR(IF(AND(INDEX('ORDER Form'!$N$1:$N$355,$AB180)="GB",LEFT(UPPER(TRIM(INDEX('ORDER Form'!$L$1:$L$355,$AB180))),2)="BT"),INDEX('ORDER Form'!$AC$1:$AC$355,$AB180),IFERROR(VLOOKUP(INDEX('ORDER Form'!$AC$1:$AC$355,$AB180)&amp;"|"&amp;INDEX('PRODUCT DATA'!$A$2:$A$58,MATCH(INDEX('ORDER Form'!$N$1:$N$355,$AB180),'PRODUCT DATA'!$B$2:$B$58,0)),'PRODUCT DATA'!$NO$2:$NP$25,2,FALSE()),INDEX('ORDER Form'!$AC$1:$AC$355,$AB180)))&amp;"",""))</f>
        <v/>
      </c>
      <c r="B180" s="49"/>
      <c r="C180" s="51" t="str">
        <f>IF($AB180="","",INDEX('ORDER Form'!$C$1:$C$355,$AB180))</f>
        <v/>
      </c>
      <c r="D180" s="49"/>
      <c r="E180" s="49"/>
      <c r="F180" s="49"/>
      <c r="G180" s="49"/>
      <c r="H180" s="49"/>
      <c r="I180" s="49"/>
      <c r="J180" s="50" t="str">
        <f>IF($AB180="","",INDEX('ORDER Form'!$D$1:$D$355,$AB180)&amp;"")</f>
        <v/>
      </c>
      <c r="K180" s="50" t="str">
        <f>IF($AB180="","",INDEX('ORDER Form'!$E$1:$E$355,$AB180)&amp;"")</f>
        <v/>
      </c>
      <c r="L180" s="50" t="str">
        <f>IF($AB180="","",INDEX('ORDER Form'!$F$1:$F$355,$AB180)&amp;"")</f>
        <v/>
      </c>
      <c r="M180" s="50" t="str">
        <f>IF($AB180="","",INDEX('ORDER Form'!$G$1:$G$355,$AB180)&amp;"")</f>
        <v/>
      </c>
      <c r="N180" s="50" t="str">
        <f>IF($AB180="","",INDEX('ORDER Form'!$H$1:$H$355,$AB180)&amp;"")</f>
        <v/>
      </c>
      <c r="O180" s="50" t="str">
        <f>IF($AB180="","",INDEX('ORDER Form'!$I$1:$I$355,$AB180)&amp;"")</f>
        <v/>
      </c>
      <c r="P180" s="50" t="str">
        <f>IF($AB180="","",INDEX('ORDER Form'!$J$1:$J$355,$AB180)&amp;"")</f>
        <v/>
      </c>
      <c r="Q180" s="50" t="str">
        <f>IF($AB180="","",INDEX('ORDER Form'!$AB$1:$AB$355,$AB180)&amp;"")</f>
        <v/>
      </c>
      <c r="R180" s="50" t="str">
        <f>IF($AB180="","",INDEX('ORDER Form'!$L$1:$L$355,$AB180)&amp;"")</f>
        <v/>
      </c>
      <c r="S180" s="50" t="str">
        <f>IF($AB180="","",INDEX('ORDER Form'!$N$1:$N$355,$AB180)&amp;"")</f>
        <v/>
      </c>
      <c r="T180" s="50" t="str">
        <f>IF($AB180="","",IF($AD180,T$3,INDEX('ORDER Form'!$O$1:$O$355,$AB180))&amp;"")</f>
        <v/>
      </c>
      <c r="U180" s="50" t="str">
        <f>IF($AB180="","",IF($AD180,U$3,INDEX('ORDER Form'!$P$1:$P$355,$AB180))&amp;"")</f>
        <v/>
      </c>
      <c r="V180" s="50" t="str">
        <f>IF($AB180="","",IF($AD180,V$3,INDEX('ORDER Form'!$Q$1:$Q$355,$AB180))&amp;"")</f>
        <v/>
      </c>
      <c r="W180" s="50" t="str">
        <f>IF($AB180="","",IF($AD180,W$3,INDEX('ORDER Form'!$R$1:$R$355,$AB180))&amp;"")</f>
        <v/>
      </c>
      <c r="X180" s="50" t="str">
        <f>IF($AB180="","",IF($AD180,X$3,INDEX('ORDER Form'!$S$1:$S$355,$AB180))&amp;"")</f>
        <v/>
      </c>
      <c r="Y180" s="50" t="str">
        <f>IF($AB180="","",IF($AD180,Y$3,INDEX('ORDER Form'!$T$1:$T$355,$AB180))&amp;"")</f>
        <v/>
      </c>
      <c r="Z180" s="50" t="str">
        <f>IF($AB180="","",IF($AD180,Z$3,INDEX('ORDER Form'!$U$1:$U$355,$AB180))&amp;"")</f>
        <v/>
      </c>
      <c r="AB180" s="51" t="str">
        <f>IFERROR(MATCH(176,$AC$5:$AC$354,0)+5,"")</f>
        <v/>
      </c>
      <c r="AC180" s="51" t="str">
        <f>IF('ORDER Form'!$V181="OK",COUNTIF('ORDER Form'!$V$6:$V181,"OK"),"")</f>
        <v/>
      </c>
      <c r="AD180" s="51" t="str">
        <f>IF($AB180="","",(LEN(TRIM(INDEX('ORDER Form'!$O$1:$O$355,$AB180)))+LEN(TRIM(INDEX('ORDER Form'!$P$1:$P$355,$AB180)))+LEN(TRIM(INDEX('ORDER Form'!$Q$1:$Q$355,$AB180)))+LEN(TRIM(INDEX('ORDER Form'!$R$1:$R$355,$AB180)))+LEN(TRIM(INDEX('ORDER Form'!$S$1:$S$355,$AB180)))+LEN(TRIM(INDEX('ORDER Form'!$T$1:$T$355,$AB180)))+LEN(TRIM(INDEX('ORDER Form'!$U$1:$U$355,$AB180))))=0)</f>
        <v/>
      </c>
    </row>
    <row r="181" spans="1:30" ht="15" customHeight="1" x14ac:dyDescent="0.25">
      <c r="A181" s="50" t="str">
        <f>IF($AB181="","",IFERROR(IF(AND(INDEX('ORDER Form'!$N$1:$N$355,$AB181)="GB",LEFT(UPPER(TRIM(INDEX('ORDER Form'!$L$1:$L$355,$AB181))),2)="BT"),INDEX('ORDER Form'!$AC$1:$AC$355,$AB181),IFERROR(VLOOKUP(INDEX('ORDER Form'!$AC$1:$AC$355,$AB181)&amp;"|"&amp;INDEX('PRODUCT DATA'!$A$2:$A$58,MATCH(INDEX('ORDER Form'!$N$1:$N$355,$AB181),'PRODUCT DATA'!$B$2:$B$58,0)),'PRODUCT DATA'!$NO$2:$NP$25,2,FALSE()),INDEX('ORDER Form'!$AC$1:$AC$355,$AB181)))&amp;"",""))</f>
        <v/>
      </c>
      <c r="B181" s="49"/>
      <c r="C181" s="51" t="str">
        <f>IF($AB181="","",INDEX('ORDER Form'!$C$1:$C$355,$AB181))</f>
        <v/>
      </c>
      <c r="D181" s="49"/>
      <c r="E181" s="49"/>
      <c r="F181" s="49"/>
      <c r="G181" s="49"/>
      <c r="H181" s="49"/>
      <c r="I181" s="49"/>
      <c r="J181" s="50" t="str">
        <f>IF($AB181="","",INDEX('ORDER Form'!$D$1:$D$355,$AB181)&amp;"")</f>
        <v/>
      </c>
      <c r="K181" s="50" t="str">
        <f>IF($AB181="","",INDEX('ORDER Form'!$E$1:$E$355,$AB181)&amp;"")</f>
        <v/>
      </c>
      <c r="L181" s="50" t="str">
        <f>IF($AB181="","",INDEX('ORDER Form'!$F$1:$F$355,$AB181)&amp;"")</f>
        <v/>
      </c>
      <c r="M181" s="50" t="str">
        <f>IF($AB181="","",INDEX('ORDER Form'!$G$1:$G$355,$AB181)&amp;"")</f>
        <v/>
      </c>
      <c r="N181" s="50" t="str">
        <f>IF($AB181="","",INDEX('ORDER Form'!$H$1:$H$355,$AB181)&amp;"")</f>
        <v/>
      </c>
      <c r="O181" s="50" t="str">
        <f>IF($AB181="","",INDEX('ORDER Form'!$I$1:$I$355,$AB181)&amp;"")</f>
        <v/>
      </c>
      <c r="P181" s="50" t="str">
        <f>IF($AB181="","",INDEX('ORDER Form'!$J$1:$J$355,$AB181)&amp;"")</f>
        <v/>
      </c>
      <c r="Q181" s="50" t="str">
        <f>IF($AB181="","",INDEX('ORDER Form'!$AB$1:$AB$355,$AB181)&amp;"")</f>
        <v/>
      </c>
      <c r="R181" s="50" t="str">
        <f>IF($AB181="","",INDEX('ORDER Form'!$L$1:$L$355,$AB181)&amp;"")</f>
        <v/>
      </c>
      <c r="S181" s="50" t="str">
        <f>IF($AB181="","",INDEX('ORDER Form'!$N$1:$N$355,$AB181)&amp;"")</f>
        <v/>
      </c>
      <c r="T181" s="50" t="str">
        <f>IF($AB181="","",IF($AD181,T$3,INDEX('ORDER Form'!$O$1:$O$355,$AB181))&amp;"")</f>
        <v/>
      </c>
      <c r="U181" s="50" t="str">
        <f>IF($AB181="","",IF($AD181,U$3,INDEX('ORDER Form'!$P$1:$P$355,$AB181))&amp;"")</f>
        <v/>
      </c>
      <c r="V181" s="50" t="str">
        <f>IF($AB181="","",IF($AD181,V$3,INDEX('ORDER Form'!$Q$1:$Q$355,$AB181))&amp;"")</f>
        <v/>
      </c>
      <c r="W181" s="50" t="str">
        <f>IF($AB181="","",IF($AD181,W$3,INDEX('ORDER Form'!$R$1:$R$355,$AB181))&amp;"")</f>
        <v/>
      </c>
      <c r="X181" s="50" t="str">
        <f>IF($AB181="","",IF($AD181,X$3,INDEX('ORDER Form'!$S$1:$S$355,$AB181))&amp;"")</f>
        <v/>
      </c>
      <c r="Y181" s="50" t="str">
        <f>IF($AB181="","",IF($AD181,Y$3,INDEX('ORDER Form'!$T$1:$T$355,$AB181))&amp;"")</f>
        <v/>
      </c>
      <c r="Z181" s="50" t="str">
        <f>IF($AB181="","",IF($AD181,Z$3,INDEX('ORDER Form'!$U$1:$U$355,$AB181))&amp;"")</f>
        <v/>
      </c>
      <c r="AB181" s="51" t="str">
        <f>IFERROR(MATCH(177,$AC$5:$AC$354,0)+5,"")</f>
        <v/>
      </c>
      <c r="AC181" s="51" t="str">
        <f>IF('ORDER Form'!$V182="OK",COUNTIF('ORDER Form'!$V$6:$V182,"OK"),"")</f>
        <v/>
      </c>
      <c r="AD181" s="51" t="str">
        <f>IF($AB181="","",(LEN(TRIM(INDEX('ORDER Form'!$O$1:$O$355,$AB181)))+LEN(TRIM(INDEX('ORDER Form'!$P$1:$P$355,$AB181)))+LEN(TRIM(INDEX('ORDER Form'!$Q$1:$Q$355,$AB181)))+LEN(TRIM(INDEX('ORDER Form'!$R$1:$R$355,$AB181)))+LEN(TRIM(INDEX('ORDER Form'!$S$1:$S$355,$AB181)))+LEN(TRIM(INDEX('ORDER Form'!$T$1:$T$355,$AB181)))+LEN(TRIM(INDEX('ORDER Form'!$U$1:$U$355,$AB181))))=0)</f>
        <v/>
      </c>
    </row>
    <row r="182" spans="1:30" ht="15" customHeight="1" x14ac:dyDescent="0.25">
      <c r="A182" s="50" t="str">
        <f>IF($AB182="","",IFERROR(IF(AND(INDEX('ORDER Form'!$N$1:$N$355,$AB182)="GB",LEFT(UPPER(TRIM(INDEX('ORDER Form'!$L$1:$L$355,$AB182))),2)="BT"),INDEX('ORDER Form'!$AC$1:$AC$355,$AB182),IFERROR(VLOOKUP(INDEX('ORDER Form'!$AC$1:$AC$355,$AB182)&amp;"|"&amp;INDEX('PRODUCT DATA'!$A$2:$A$58,MATCH(INDEX('ORDER Form'!$N$1:$N$355,$AB182),'PRODUCT DATA'!$B$2:$B$58,0)),'PRODUCT DATA'!$NO$2:$NP$25,2,FALSE()),INDEX('ORDER Form'!$AC$1:$AC$355,$AB182)))&amp;"",""))</f>
        <v/>
      </c>
      <c r="B182" s="49"/>
      <c r="C182" s="51" t="str">
        <f>IF($AB182="","",INDEX('ORDER Form'!$C$1:$C$355,$AB182))</f>
        <v/>
      </c>
      <c r="D182" s="49"/>
      <c r="E182" s="49"/>
      <c r="F182" s="49"/>
      <c r="G182" s="49"/>
      <c r="H182" s="49"/>
      <c r="I182" s="49"/>
      <c r="J182" s="50" t="str">
        <f>IF($AB182="","",INDEX('ORDER Form'!$D$1:$D$355,$AB182)&amp;"")</f>
        <v/>
      </c>
      <c r="K182" s="50" t="str">
        <f>IF($AB182="","",INDEX('ORDER Form'!$E$1:$E$355,$AB182)&amp;"")</f>
        <v/>
      </c>
      <c r="L182" s="50" t="str">
        <f>IF($AB182="","",INDEX('ORDER Form'!$F$1:$F$355,$AB182)&amp;"")</f>
        <v/>
      </c>
      <c r="M182" s="50" t="str">
        <f>IF($AB182="","",INDEX('ORDER Form'!$G$1:$G$355,$AB182)&amp;"")</f>
        <v/>
      </c>
      <c r="N182" s="50" t="str">
        <f>IF($AB182="","",INDEX('ORDER Form'!$H$1:$H$355,$AB182)&amp;"")</f>
        <v/>
      </c>
      <c r="O182" s="50" t="str">
        <f>IF($AB182="","",INDEX('ORDER Form'!$I$1:$I$355,$AB182)&amp;"")</f>
        <v/>
      </c>
      <c r="P182" s="50" t="str">
        <f>IF($AB182="","",INDEX('ORDER Form'!$J$1:$J$355,$AB182)&amp;"")</f>
        <v/>
      </c>
      <c r="Q182" s="50" t="str">
        <f>IF($AB182="","",INDEX('ORDER Form'!$AB$1:$AB$355,$AB182)&amp;"")</f>
        <v/>
      </c>
      <c r="R182" s="50" t="str">
        <f>IF($AB182="","",INDEX('ORDER Form'!$L$1:$L$355,$AB182)&amp;"")</f>
        <v/>
      </c>
      <c r="S182" s="50" t="str">
        <f>IF($AB182="","",INDEX('ORDER Form'!$N$1:$N$355,$AB182)&amp;"")</f>
        <v/>
      </c>
      <c r="T182" s="50" t="str">
        <f>IF($AB182="","",IF($AD182,T$3,INDEX('ORDER Form'!$O$1:$O$355,$AB182))&amp;"")</f>
        <v/>
      </c>
      <c r="U182" s="50" t="str">
        <f>IF($AB182="","",IF($AD182,U$3,INDEX('ORDER Form'!$P$1:$P$355,$AB182))&amp;"")</f>
        <v/>
      </c>
      <c r="V182" s="50" t="str">
        <f>IF($AB182="","",IF($AD182,V$3,INDEX('ORDER Form'!$Q$1:$Q$355,$AB182))&amp;"")</f>
        <v/>
      </c>
      <c r="W182" s="50" t="str">
        <f>IF($AB182="","",IF($AD182,W$3,INDEX('ORDER Form'!$R$1:$R$355,$AB182))&amp;"")</f>
        <v/>
      </c>
      <c r="X182" s="50" t="str">
        <f>IF($AB182="","",IF($AD182,X$3,INDEX('ORDER Form'!$S$1:$S$355,$AB182))&amp;"")</f>
        <v/>
      </c>
      <c r="Y182" s="50" t="str">
        <f>IF($AB182="","",IF($AD182,Y$3,INDEX('ORDER Form'!$T$1:$T$355,$AB182))&amp;"")</f>
        <v/>
      </c>
      <c r="Z182" s="50" t="str">
        <f>IF($AB182="","",IF($AD182,Z$3,INDEX('ORDER Form'!$U$1:$U$355,$AB182))&amp;"")</f>
        <v/>
      </c>
      <c r="AB182" s="51" t="str">
        <f>IFERROR(MATCH(178,$AC$5:$AC$354,0)+5,"")</f>
        <v/>
      </c>
      <c r="AC182" s="51" t="str">
        <f>IF('ORDER Form'!$V183="OK",COUNTIF('ORDER Form'!$V$6:$V183,"OK"),"")</f>
        <v/>
      </c>
      <c r="AD182" s="51" t="str">
        <f>IF($AB182="","",(LEN(TRIM(INDEX('ORDER Form'!$O$1:$O$355,$AB182)))+LEN(TRIM(INDEX('ORDER Form'!$P$1:$P$355,$AB182)))+LEN(TRIM(INDEX('ORDER Form'!$Q$1:$Q$355,$AB182)))+LEN(TRIM(INDEX('ORDER Form'!$R$1:$R$355,$AB182)))+LEN(TRIM(INDEX('ORDER Form'!$S$1:$S$355,$AB182)))+LEN(TRIM(INDEX('ORDER Form'!$T$1:$T$355,$AB182)))+LEN(TRIM(INDEX('ORDER Form'!$U$1:$U$355,$AB182))))=0)</f>
        <v/>
      </c>
    </row>
    <row r="183" spans="1:30" ht="15" customHeight="1" x14ac:dyDescent="0.25">
      <c r="A183" s="50" t="str">
        <f>IF($AB183="","",IFERROR(IF(AND(INDEX('ORDER Form'!$N$1:$N$355,$AB183)="GB",LEFT(UPPER(TRIM(INDEX('ORDER Form'!$L$1:$L$355,$AB183))),2)="BT"),INDEX('ORDER Form'!$AC$1:$AC$355,$AB183),IFERROR(VLOOKUP(INDEX('ORDER Form'!$AC$1:$AC$355,$AB183)&amp;"|"&amp;INDEX('PRODUCT DATA'!$A$2:$A$58,MATCH(INDEX('ORDER Form'!$N$1:$N$355,$AB183),'PRODUCT DATA'!$B$2:$B$58,0)),'PRODUCT DATA'!$NO$2:$NP$25,2,FALSE()),INDEX('ORDER Form'!$AC$1:$AC$355,$AB183)))&amp;"",""))</f>
        <v/>
      </c>
      <c r="B183" s="49"/>
      <c r="C183" s="51" t="str">
        <f>IF($AB183="","",INDEX('ORDER Form'!$C$1:$C$355,$AB183))</f>
        <v/>
      </c>
      <c r="D183" s="49"/>
      <c r="E183" s="49"/>
      <c r="F183" s="49"/>
      <c r="G183" s="49"/>
      <c r="H183" s="49"/>
      <c r="I183" s="49"/>
      <c r="J183" s="50" t="str">
        <f>IF($AB183="","",INDEX('ORDER Form'!$D$1:$D$355,$AB183)&amp;"")</f>
        <v/>
      </c>
      <c r="K183" s="50" t="str">
        <f>IF($AB183="","",INDEX('ORDER Form'!$E$1:$E$355,$AB183)&amp;"")</f>
        <v/>
      </c>
      <c r="L183" s="50" t="str">
        <f>IF($AB183="","",INDEX('ORDER Form'!$F$1:$F$355,$AB183)&amp;"")</f>
        <v/>
      </c>
      <c r="M183" s="50" t="str">
        <f>IF($AB183="","",INDEX('ORDER Form'!$G$1:$G$355,$AB183)&amp;"")</f>
        <v/>
      </c>
      <c r="N183" s="50" t="str">
        <f>IF($AB183="","",INDEX('ORDER Form'!$H$1:$H$355,$AB183)&amp;"")</f>
        <v/>
      </c>
      <c r="O183" s="50" t="str">
        <f>IF($AB183="","",INDEX('ORDER Form'!$I$1:$I$355,$AB183)&amp;"")</f>
        <v/>
      </c>
      <c r="P183" s="50" t="str">
        <f>IF($AB183="","",INDEX('ORDER Form'!$J$1:$J$355,$AB183)&amp;"")</f>
        <v/>
      </c>
      <c r="Q183" s="50" t="str">
        <f>IF($AB183="","",INDEX('ORDER Form'!$AB$1:$AB$355,$AB183)&amp;"")</f>
        <v/>
      </c>
      <c r="R183" s="50" t="str">
        <f>IF($AB183="","",INDEX('ORDER Form'!$L$1:$L$355,$AB183)&amp;"")</f>
        <v/>
      </c>
      <c r="S183" s="50" t="str">
        <f>IF($AB183="","",INDEX('ORDER Form'!$N$1:$N$355,$AB183)&amp;"")</f>
        <v/>
      </c>
      <c r="T183" s="50" t="str">
        <f>IF($AB183="","",IF($AD183,T$3,INDEX('ORDER Form'!$O$1:$O$355,$AB183))&amp;"")</f>
        <v/>
      </c>
      <c r="U183" s="50" t="str">
        <f>IF($AB183="","",IF($AD183,U$3,INDEX('ORDER Form'!$P$1:$P$355,$AB183))&amp;"")</f>
        <v/>
      </c>
      <c r="V183" s="50" t="str">
        <f>IF($AB183="","",IF($AD183,V$3,INDEX('ORDER Form'!$Q$1:$Q$355,$AB183))&amp;"")</f>
        <v/>
      </c>
      <c r="W183" s="50" t="str">
        <f>IF($AB183="","",IF($AD183,W$3,INDEX('ORDER Form'!$R$1:$R$355,$AB183))&amp;"")</f>
        <v/>
      </c>
      <c r="X183" s="50" t="str">
        <f>IF($AB183="","",IF($AD183,X$3,INDEX('ORDER Form'!$S$1:$S$355,$AB183))&amp;"")</f>
        <v/>
      </c>
      <c r="Y183" s="50" t="str">
        <f>IF($AB183="","",IF($AD183,Y$3,INDEX('ORDER Form'!$T$1:$T$355,$AB183))&amp;"")</f>
        <v/>
      </c>
      <c r="Z183" s="50" t="str">
        <f>IF($AB183="","",IF($AD183,Z$3,INDEX('ORDER Form'!$U$1:$U$355,$AB183))&amp;"")</f>
        <v/>
      </c>
      <c r="AB183" s="51" t="str">
        <f>IFERROR(MATCH(179,$AC$5:$AC$354,0)+5,"")</f>
        <v/>
      </c>
      <c r="AC183" s="51" t="str">
        <f>IF('ORDER Form'!$V184="OK",COUNTIF('ORDER Form'!$V$6:$V184,"OK"),"")</f>
        <v/>
      </c>
      <c r="AD183" s="51" t="str">
        <f>IF($AB183="","",(LEN(TRIM(INDEX('ORDER Form'!$O$1:$O$355,$AB183)))+LEN(TRIM(INDEX('ORDER Form'!$P$1:$P$355,$AB183)))+LEN(TRIM(INDEX('ORDER Form'!$Q$1:$Q$355,$AB183)))+LEN(TRIM(INDEX('ORDER Form'!$R$1:$R$355,$AB183)))+LEN(TRIM(INDEX('ORDER Form'!$S$1:$S$355,$AB183)))+LEN(TRIM(INDEX('ORDER Form'!$T$1:$T$355,$AB183)))+LEN(TRIM(INDEX('ORDER Form'!$U$1:$U$355,$AB183))))=0)</f>
        <v/>
      </c>
    </row>
    <row r="184" spans="1:30" ht="15" customHeight="1" x14ac:dyDescent="0.25">
      <c r="A184" s="50" t="str">
        <f>IF($AB184="","",IFERROR(IF(AND(INDEX('ORDER Form'!$N$1:$N$355,$AB184)="GB",LEFT(UPPER(TRIM(INDEX('ORDER Form'!$L$1:$L$355,$AB184))),2)="BT"),INDEX('ORDER Form'!$AC$1:$AC$355,$AB184),IFERROR(VLOOKUP(INDEX('ORDER Form'!$AC$1:$AC$355,$AB184)&amp;"|"&amp;INDEX('PRODUCT DATA'!$A$2:$A$58,MATCH(INDEX('ORDER Form'!$N$1:$N$355,$AB184),'PRODUCT DATA'!$B$2:$B$58,0)),'PRODUCT DATA'!$NO$2:$NP$25,2,FALSE()),INDEX('ORDER Form'!$AC$1:$AC$355,$AB184)))&amp;"",""))</f>
        <v/>
      </c>
      <c r="B184" s="49"/>
      <c r="C184" s="51" t="str">
        <f>IF($AB184="","",INDEX('ORDER Form'!$C$1:$C$355,$AB184))</f>
        <v/>
      </c>
      <c r="D184" s="49"/>
      <c r="E184" s="49"/>
      <c r="F184" s="49"/>
      <c r="G184" s="49"/>
      <c r="H184" s="49"/>
      <c r="I184" s="49"/>
      <c r="J184" s="50" t="str">
        <f>IF($AB184="","",INDEX('ORDER Form'!$D$1:$D$355,$AB184)&amp;"")</f>
        <v/>
      </c>
      <c r="K184" s="50" t="str">
        <f>IF($AB184="","",INDEX('ORDER Form'!$E$1:$E$355,$AB184)&amp;"")</f>
        <v/>
      </c>
      <c r="L184" s="50" t="str">
        <f>IF($AB184="","",INDEX('ORDER Form'!$F$1:$F$355,$AB184)&amp;"")</f>
        <v/>
      </c>
      <c r="M184" s="50" t="str">
        <f>IF($AB184="","",INDEX('ORDER Form'!$G$1:$G$355,$AB184)&amp;"")</f>
        <v/>
      </c>
      <c r="N184" s="50" t="str">
        <f>IF($AB184="","",INDEX('ORDER Form'!$H$1:$H$355,$AB184)&amp;"")</f>
        <v/>
      </c>
      <c r="O184" s="50" t="str">
        <f>IF($AB184="","",INDEX('ORDER Form'!$I$1:$I$355,$AB184)&amp;"")</f>
        <v/>
      </c>
      <c r="P184" s="50" t="str">
        <f>IF($AB184="","",INDEX('ORDER Form'!$J$1:$J$355,$AB184)&amp;"")</f>
        <v/>
      </c>
      <c r="Q184" s="50" t="str">
        <f>IF($AB184="","",INDEX('ORDER Form'!$AB$1:$AB$355,$AB184)&amp;"")</f>
        <v/>
      </c>
      <c r="R184" s="50" t="str">
        <f>IF($AB184="","",INDEX('ORDER Form'!$L$1:$L$355,$AB184)&amp;"")</f>
        <v/>
      </c>
      <c r="S184" s="50" t="str">
        <f>IF($AB184="","",INDEX('ORDER Form'!$N$1:$N$355,$AB184)&amp;"")</f>
        <v/>
      </c>
      <c r="T184" s="50" t="str">
        <f>IF($AB184="","",IF($AD184,T$3,INDEX('ORDER Form'!$O$1:$O$355,$AB184))&amp;"")</f>
        <v/>
      </c>
      <c r="U184" s="50" t="str">
        <f>IF($AB184="","",IF($AD184,U$3,INDEX('ORDER Form'!$P$1:$P$355,$AB184))&amp;"")</f>
        <v/>
      </c>
      <c r="V184" s="50" t="str">
        <f>IF($AB184="","",IF($AD184,V$3,INDEX('ORDER Form'!$Q$1:$Q$355,$AB184))&amp;"")</f>
        <v/>
      </c>
      <c r="W184" s="50" t="str">
        <f>IF($AB184="","",IF($AD184,W$3,INDEX('ORDER Form'!$R$1:$R$355,$AB184))&amp;"")</f>
        <v/>
      </c>
      <c r="X184" s="50" t="str">
        <f>IF($AB184="","",IF($AD184,X$3,INDEX('ORDER Form'!$S$1:$S$355,$AB184))&amp;"")</f>
        <v/>
      </c>
      <c r="Y184" s="50" t="str">
        <f>IF($AB184="","",IF($AD184,Y$3,INDEX('ORDER Form'!$T$1:$T$355,$AB184))&amp;"")</f>
        <v/>
      </c>
      <c r="Z184" s="50" t="str">
        <f>IF($AB184="","",IF($AD184,Z$3,INDEX('ORDER Form'!$U$1:$U$355,$AB184))&amp;"")</f>
        <v/>
      </c>
      <c r="AB184" s="51" t="str">
        <f>IFERROR(MATCH(180,$AC$5:$AC$354,0)+5,"")</f>
        <v/>
      </c>
      <c r="AC184" s="51" t="str">
        <f>IF('ORDER Form'!$V185="OK",COUNTIF('ORDER Form'!$V$6:$V185,"OK"),"")</f>
        <v/>
      </c>
      <c r="AD184" s="51" t="str">
        <f>IF($AB184="","",(LEN(TRIM(INDEX('ORDER Form'!$O$1:$O$355,$AB184)))+LEN(TRIM(INDEX('ORDER Form'!$P$1:$P$355,$AB184)))+LEN(TRIM(INDEX('ORDER Form'!$Q$1:$Q$355,$AB184)))+LEN(TRIM(INDEX('ORDER Form'!$R$1:$R$355,$AB184)))+LEN(TRIM(INDEX('ORDER Form'!$S$1:$S$355,$AB184)))+LEN(TRIM(INDEX('ORDER Form'!$T$1:$T$355,$AB184)))+LEN(TRIM(INDEX('ORDER Form'!$U$1:$U$355,$AB184))))=0)</f>
        <v/>
      </c>
    </row>
    <row r="185" spans="1:30" ht="15" customHeight="1" x14ac:dyDescent="0.25">
      <c r="A185" s="50" t="str">
        <f>IF($AB185="","",IFERROR(IF(AND(INDEX('ORDER Form'!$N$1:$N$355,$AB185)="GB",LEFT(UPPER(TRIM(INDEX('ORDER Form'!$L$1:$L$355,$AB185))),2)="BT"),INDEX('ORDER Form'!$AC$1:$AC$355,$AB185),IFERROR(VLOOKUP(INDEX('ORDER Form'!$AC$1:$AC$355,$AB185)&amp;"|"&amp;INDEX('PRODUCT DATA'!$A$2:$A$58,MATCH(INDEX('ORDER Form'!$N$1:$N$355,$AB185),'PRODUCT DATA'!$B$2:$B$58,0)),'PRODUCT DATA'!$NO$2:$NP$25,2,FALSE()),INDEX('ORDER Form'!$AC$1:$AC$355,$AB185)))&amp;"",""))</f>
        <v/>
      </c>
      <c r="B185" s="49"/>
      <c r="C185" s="51" t="str">
        <f>IF($AB185="","",INDEX('ORDER Form'!$C$1:$C$355,$AB185))</f>
        <v/>
      </c>
      <c r="D185" s="49"/>
      <c r="E185" s="49"/>
      <c r="F185" s="49"/>
      <c r="G185" s="49"/>
      <c r="H185" s="49"/>
      <c r="I185" s="49"/>
      <c r="J185" s="50" t="str">
        <f>IF($AB185="","",INDEX('ORDER Form'!$D$1:$D$355,$AB185)&amp;"")</f>
        <v/>
      </c>
      <c r="K185" s="50" t="str">
        <f>IF($AB185="","",INDEX('ORDER Form'!$E$1:$E$355,$AB185)&amp;"")</f>
        <v/>
      </c>
      <c r="L185" s="50" t="str">
        <f>IF($AB185="","",INDEX('ORDER Form'!$F$1:$F$355,$AB185)&amp;"")</f>
        <v/>
      </c>
      <c r="M185" s="50" t="str">
        <f>IF($AB185="","",INDEX('ORDER Form'!$G$1:$G$355,$AB185)&amp;"")</f>
        <v/>
      </c>
      <c r="N185" s="50" t="str">
        <f>IF($AB185="","",INDEX('ORDER Form'!$H$1:$H$355,$AB185)&amp;"")</f>
        <v/>
      </c>
      <c r="O185" s="50" t="str">
        <f>IF($AB185="","",INDEX('ORDER Form'!$I$1:$I$355,$AB185)&amp;"")</f>
        <v/>
      </c>
      <c r="P185" s="50" t="str">
        <f>IF($AB185="","",INDEX('ORDER Form'!$J$1:$J$355,$AB185)&amp;"")</f>
        <v/>
      </c>
      <c r="Q185" s="50" t="str">
        <f>IF($AB185="","",INDEX('ORDER Form'!$AB$1:$AB$355,$AB185)&amp;"")</f>
        <v/>
      </c>
      <c r="R185" s="50" t="str">
        <f>IF($AB185="","",INDEX('ORDER Form'!$L$1:$L$355,$AB185)&amp;"")</f>
        <v/>
      </c>
      <c r="S185" s="50" t="str">
        <f>IF($AB185="","",INDEX('ORDER Form'!$N$1:$N$355,$AB185)&amp;"")</f>
        <v/>
      </c>
      <c r="T185" s="50" t="str">
        <f>IF($AB185="","",IF($AD185,T$3,INDEX('ORDER Form'!$O$1:$O$355,$AB185))&amp;"")</f>
        <v/>
      </c>
      <c r="U185" s="50" t="str">
        <f>IF($AB185="","",IF($AD185,U$3,INDEX('ORDER Form'!$P$1:$P$355,$AB185))&amp;"")</f>
        <v/>
      </c>
      <c r="V185" s="50" t="str">
        <f>IF($AB185="","",IF($AD185,V$3,INDEX('ORDER Form'!$Q$1:$Q$355,$AB185))&amp;"")</f>
        <v/>
      </c>
      <c r="W185" s="50" t="str">
        <f>IF($AB185="","",IF($AD185,W$3,INDEX('ORDER Form'!$R$1:$R$355,$AB185))&amp;"")</f>
        <v/>
      </c>
      <c r="X185" s="50" t="str">
        <f>IF($AB185="","",IF($AD185,X$3,INDEX('ORDER Form'!$S$1:$S$355,$AB185))&amp;"")</f>
        <v/>
      </c>
      <c r="Y185" s="50" t="str">
        <f>IF($AB185="","",IF($AD185,Y$3,INDEX('ORDER Form'!$T$1:$T$355,$AB185))&amp;"")</f>
        <v/>
      </c>
      <c r="Z185" s="50" t="str">
        <f>IF($AB185="","",IF($AD185,Z$3,INDEX('ORDER Form'!$U$1:$U$355,$AB185))&amp;"")</f>
        <v/>
      </c>
      <c r="AB185" s="51" t="str">
        <f>IFERROR(MATCH(181,$AC$5:$AC$354,0)+5,"")</f>
        <v/>
      </c>
      <c r="AC185" s="51" t="str">
        <f>IF('ORDER Form'!$V186="OK",COUNTIF('ORDER Form'!$V$6:$V186,"OK"),"")</f>
        <v/>
      </c>
      <c r="AD185" s="51" t="str">
        <f>IF($AB185="","",(LEN(TRIM(INDEX('ORDER Form'!$O$1:$O$355,$AB185)))+LEN(TRIM(INDEX('ORDER Form'!$P$1:$P$355,$AB185)))+LEN(TRIM(INDEX('ORDER Form'!$Q$1:$Q$355,$AB185)))+LEN(TRIM(INDEX('ORDER Form'!$R$1:$R$355,$AB185)))+LEN(TRIM(INDEX('ORDER Form'!$S$1:$S$355,$AB185)))+LEN(TRIM(INDEX('ORDER Form'!$T$1:$T$355,$AB185)))+LEN(TRIM(INDEX('ORDER Form'!$U$1:$U$355,$AB185))))=0)</f>
        <v/>
      </c>
    </row>
    <row r="186" spans="1:30" ht="15" customHeight="1" x14ac:dyDescent="0.25">
      <c r="A186" s="50" t="str">
        <f>IF($AB186="","",IFERROR(IF(AND(INDEX('ORDER Form'!$N$1:$N$355,$AB186)="GB",LEFT(UPPER(TRIM(INDEX('ORDER Form'!$L$1:$L$355,$AB186))),2)="BT"),INDEX('ORDER Form'!$AC$1:$AC$355,$AB186),IFERROR(VLOOKUP(INDEX('ORDER Form'!$AC$1:$AC$355,$AB186)&amp;"|"&amp;INDEX('PRODUCT DATA'!$A$2:$A$58,MATCH(INDEX('ORDER Form'!$N$1:$N$355,$AB186),'PRODUCT DATA'!$B$2:$B$58,0)),'PRODUCT DATA'!$NO$2:$NP$25,2,FALSE()),INDEX('ORDER Form'!$AC$1:$AC$355,$AB186)))&amp;"",""))</f>
        <v/>
      </c>
      <c r="B186" s="49"/>
      <c r="C186" s="51" t="str">
        <f>IF($AB186="","",INDEX('ORDER Form'!$C$1:$C$355,$AB186))</f>
        <v/>
      </c>
      <c r="D186" s="49"/>
      <c r="E186" s="49"/>
      <c r="F186" s="49"/>
      <c r="G186" s="49"/>
      <c r="H186" s="49"/>
      <c r="I186" s="49"/>
      <c r="J186" s="50" t="str">
        <f>IF($AB186="","",INDEX('ORDER Form'!$D$1:$D$355,$AB186)&amp;"")</f>
        <v/>
      </c>
      <c r="K186" s="50" t="str">
        <f>IF($AB186="","",INDEX('ORDER Form'!$E$1:$E$355,$AB186)&amp;"")</f>
        <v/>
      </c>
      <c r="L186" s="50" t="str">
        <f>IF($AB186="","",INDEX('ORDER Form'!$F$1:$F$355,$AB186)&amp;"")</f>
        <v/>
      </c>
      <c r="M186" s="50" t="str">
        <f>IF($AB186="","",INDEX('ORDER Form'!$G$1:$G$355,$AB186)&amp;"")</f>
        <v/>
      </c>
      <c r="N186" s="50" t="str">
        <f>IF($AB186="","",INDEX('ORDER Form'!$H$1:$H$355,$AB186)&amp;"")</f>
        <v/>
      </c>
      <c r="O186" s="50" t="str">
        <f>IF($AB186="","",INDEX('ORDER Form'!$I$1:$I$355,$AB186)&amp;"")</f>
        <v/>
      </c>
      <c r="P186" s="50" t="str">
        <f>IF($AB186="","",INDEX('ORDER Form'!$J$1:$J$355,$AB186)&amp;"")</f>
        <v/>
      </c>
      <c r="Q186" s="50" t="str">
        <f>IF($AB186="","",INDEX('ORDER Form'!$AB$1:$AB$355,$AB186)&amp;"")</f>
        <v/>
      </c>
      <c r="R186" s="50" t="str">
        <f>IF($AB186="","",INDEX('ORDER Form'!$L$1:$L$355,$AB186)&amp;"")</f>
        <v/>
      </c>
      <c r="S186" s="50" t="str">
        <f>IF($AB186="","",INDEX('ORDER Form'!$N$1:$N$355,$AB186)&amp;"")</f>
        <v/>
      </c>
      <c r="T186" s="50" t="str">
        <f>IF($AB186="","",IF($AD186,T$3,INDEX('ORDER Form'!$O$1:$O$355,$AB186))&amp;"")</f>
        <v/>
      </c>
      <c r="U186" s="50" t="str">
        <f>IF($AB186="","",IF($AD186,U$3,INDEX('ORDER Form'!$P$1:$P$355,$AB186))&amp;"")</f>
        <v/>
      </c>
      <c r="V186" s="50" t="str">
        <f>IF($AB186="","",IF($AD186,V$3,INDEX('ORDER Form'!$Q$1:$Q$355,$AB186))&amp;"")</f>
        <v/>
      </c>
      <c r="W186" s="50" t="str">
        <f>IF($AB186="","",IF($AD186,W$3,INDEX('ORDER Form'!$R$1:$R$355,$AB186))&amp;"")</f>
        <v/>
      </c>
      <c r="X186" s="50" t="str">
        <f>IF($AB186="","",IF($AD186,X$3,INDEX('ORDER Form'!$S$1:$S$355,$AB186))&amp;"")</f>
        <v/>
      </c>
      <c r="Y186" s="50" t="str">
        <f>IF($AB186="","",IF($AD186,Y$3,INDEX('ORDER Form'!$T$1:$T$355,$AB186))&amp;"")</f>
        <v/>
      </c>
      <c r="Z186" s="50" t="str">
        <f>IF($AB186="","",IF($AD186,Z$3,INDEX('ORDER Form'!$U$1:$U$355,$AB186))&amp;"")</f>
        <v/>
      </c>
      <c r="AB186" s="51" t="str">
        <f>IFERROR(MATCH(182,$AC$5:$AC$354,0)+5,"")</f>
        <v/>
      </c>
      <c r="AC186" s="51" t="str">
        <f>IF('ORDER Form'!$V187="OK",COUNTIF('ORDER Form'!$V$6:$V187,"OK"),"")</f>
        <v/>
      </c>
      <c r="AD186" s="51" t="str">
        <f>IF($AB186="","",(LEN(TRIM(INDEX('ORDER Form'!$O$1:$O$355,$AB186)))+LEN(TRIM(INDEX('ORDER Form'!$P$1:$P$355,$AB186)))+LEN(TRIM(INDEX('ORDER Form'!$Q$1:$Q$355,$AB186)))+LEN(TRIM(INDEX('ORDER Form'!$R$1:$R$355,$AB186)))+LEN(TRIM(INDEX('ORDER Form'!$S$1:$S$355,$AB186)))+LEN(TRIM(INDEX('ORDER Form'!$T$1:$T$355,$AB186)))+LEN(TRIM(INDEX('ORDER Form'!$U$1:$U$355,$AB186))))=0)</f>
        <v/>
      </c>
    </row>
    <row r="187" spans="1:30" ht="15" customHeight="1" x14ac:dyDescent="0.25">
      <c r="A187" s="50" t="str">
        <f>IF($AB187="","",IFERROR(IF(AND(INDEX('ORDER Form'!$N$1:$N$355,$AB187)="GB",LEFT(UPPER(TRIM(INDEX('ORDER Form'!$L$1:$L$355,$AB187))),2)="BT"),INDEX('ORDER Form'!$AC$1:$AC$355,$AB187),IFERROR(VLOOKUP(INDEX('ORDER Form'!$AC$1:$AC$355,$AB187)&amp;"|"&amp;INDEX('PRODUCT DATA'!$A$2:$A$58,MATCH(INDEX('ORDER Form'!$N$1:$N$355,$AB187),'PRODUCT DATA'!$B$2:$B$58,0)),'PRODUCT DATA'!$NO$2:$NP$25,2,FALSE()),INDEX('ORDER Form'!$AC$1:$AC$355,$AB187)))&amp;"",""))</f>
        <v/>
      </c>
      <c r="B187" s="49"/>
      <c r="C187" s="51" t="str">
        <f>IF($AB187="","",INDEX('ORDER Form'!$C$1:$C$355,$AB187))</f>
        <v/>
      </c>
      <c r="D187" s="49"/>
      <c r="E187" s="49"/>
      <c r="F187" s="49"/>
      <c r="G187" s="49"/>
      <c r="H187" s="49"/>
      <c r="I187" s="49"/>
      <c r="J187" s="50" t="str">
        <f>IF($AB187="","",INDEX('ORDER Form'!$D$1:$D$355,$AB187)&amp;"")</f>
        <v/>
      </c>
      <c r="K187" s="50" t="str">
        <f>IF($AB187="","",INDEX('ORDER Form'!$E$1:$E$355,$AB187)&amp;"")</f>
        <v/>
      </c>
      <c r="L187" s="50" t="str">
        <f>IF($AB187="","",INDEX('ORDER Form'!$F$1:$F$355,$AB187)&amp;"")</f>
        <v/>
      </c>
      <c r="M187" s="50" t="str">
        <f>IF($AB187="","",INDEX('ORDER Form'!$G$1:$G$355,$AB187)&amp;"")</f>
        <v/>
      </c>
      <c r="N187" s="50" t="str">
        <f>IF($AB187="","",INDEX('ORDER Form'!$H$1:$H$355,$AB187)&amp;"")</f>
        <v/>
      </c>
      <c r="O187" s="50" t="str">
        <f>IF($AB187="","",INDEX('ORDER Form'!$I$1:$I$355,$AB187)&amp;"")</f>
        <v/>
      </c>
      <c r="P187" s="50" t="str">
        <f>IF($AB187="","",INDEX('ORDER Form'!$J$1:$J$355,$AB187)&amp;"")</f>
        <v/>
      </c>
      <c r="Q187" s="50" t="str">
        <f>IF($AB187="","",INDEX('ORDER Form'!$AB$1:$AB$355,$AB187)&amp;"")</f>
        <v/>
      </c>
      <c r="R187" s="50" t="str">
        <f>IF($AB187="","",INDEX('ORDER Form'!$L$1:$L$355,$AB187)&amp;"")</f>
        <v/>
      </c>
      <c r="S187" s="50" t="str">
        <f>IF($AB187="","",INDEX('ORDER Form'!$N$1:$N$355,$AB187)&amp;"")</f>
        <v/>
      </c>
      <c r="T187" s="50" t="str">
        <f>IF($AB187="","",IF($AD187,T$3,INDEX('ORDER Form'!$O$1:$O$355,$AB187))&amp;"")</f>
        <v/>
      </c>
      <c r="U187" s="50" t="str">
        <f>IF($AB187="","",IF($AD187,U$3,INDEX('ORDER Form'!$P$1:$P$355,$AB187))&amp;"")</f>
        <v/>
      </c>
      <c r="V187" s="50" t="str">
        <f>IF($AB187="","",IF($AD187,V$3,INDEX('ORDER Form'!$Q$1:$Q$355,$AB187))&amp;"")</f>
        <v/>
      </c>
      <c r="W187" s="50" t="str">
        <f>IF($AB187="","",IF($AD187,W$3,INDEX('ORDER Form'!$R$1:$R$355,$AB187))&amp;"")</f>
        <v/>
      </c>
      <c r="X187" s="50" t="str">
        <f>IF($AB187="","",IF($AD187,X$3,INDEX('ORDER Form'!$S$1:$S$355,$AB187))&amp;"")</f>
        <v/>
      </c>
      <c r="Y187" s="50" t="str">
        <f>IF($AB187="","",IF($AD187,Y$3,INDEX('ORDER Form'!$T$1:$T$355,$AB187))&amp;"")</f>
        <v/>
      </c>
      <c r="Z187" s="50" t="str">
        <f>IF($AB187="","",IF($AD187,Z$3,INDEX('ORDER Form'!$U$1:$U$355,$AB187))&amp;"")</f>
        <v/>
      </c>
      <c r="AB187" s="51" t="str">
        <f>IFERROR(MATCH(183,$AC$5:$AC$354,0)+5,"")</f>
        <v/>
      </c>
      <c r="AC187" s="51" t="str">
        <f>IF('ORDER Form'!$V188="OK",COUNTIF('ORDER Form'!$V$6:$V188,"OK"),"")</f>
        <v/>
      </c>
      <c r="AD187" s="51" t="str">
        <f>IF($AB187="","",(LEN(TRIM(INDEX('ORDER Form'!$O$1:$O$355,$AB187)))+LEN(TRIM(INDEX('ORDER Form'!$P$1:$P$355,$AB187)))+LEN(TRIM(INDEX('ORDER Form'!$Q$1:$Q$355,$AB187)))+LEN(TRIM(INDEX('ORDER Form'!$R$1:$R$355,$AB187)))+LEN(TRIM(INDEX('ORDER Form'!$S$1:$S$355,$AB187)))+LEN(TRIM(INDEX('ORDER Form'!$T$1:$T$355,$AB187)))+LEN(TRIM(INDEX('ORDER Form'!$U$1:$U$355,$AB187))))=0)</f>
        <v/>
      </c>
    </row>
    <row r="188" spans="1:30" ht="15" customHeight="1" x14ac:dyDescent="0.25">
      <c r="A188" s="50" t="str">
        <f>IF($AB188="","",IFERROR(IF(AND(INDEX('ORDER Form'!$N$1:$N$355,$AB188)="GB",LEFT(UPPER(TRIM(INDEX('ORDER Form'!$L$1:$L$355,$AB188))),2)="BT"),INDEX('ORDER Form'!$AC$1:$AC$355,$AB188),IFERROR(VLOOKUP(INDEX('ORDER Form'!$AC$1:$AC$355,$AB188)&amp;"|"&amp;INDEX('PRODUCT DATA'!$A$2:$A$58,MATCH(INDEX('ORDER Form'!$N$1:$N$355,$AB188),'PRODUCT DATA'!$B$2:$B$58,0)),'PRODUCT DATA'!$NO$2:$NP$25,2,FALSE()),INDEX('ORDER Form'!$AC$1:$AC$355,$AB188)))&amp;"",""))</f>
        <v/>
      </c>
      <c r="B188" s="49"/>
      <c r="C188" s="51" t="str">
        <f>IF($AB188="","",INDEX('ORDER Form'!$C$1:$C$355,$AB188))</f>
        <v/>
      </c>
      <c r="D188" s="49"/>
      <c r="E188" s="49"/>
      <c r="F188" s="49"/>
      <c r="G188" s="49"/>
      <c r="H188" s="49"/>
      <c r="I188" s="49"/>
      <c r="J188" s="50" t="str">
        <f>IF($AB188="","",INDEX('ORDER Form'!$D$1:$D$355,$AB188)&amp;"")</f>
        <v/>
      </c>
      <c r="K188" s="50" t="str">
        <f>IF($AB188="","",INDEX('ORDER Form'!$E$1:$E$355,$AB188)&amp;"")</f>
        <v/>
      </c>
      <c r="L188" s="50" t="str">
        <f>IF($AB188="","",INDEX('ORDER Form'!$F$1:$F$355,$AB188)&amp;"")</f>
        <v/>
      </c>
      <c r="M188" s="50" t="str">
        <f>IF($AB188="","",INDEX('ORDER Form'!$G$1:$G$355,$AB188)&amp;"")</f>
        <v/>
      </c>
      <c r="N188" s="50" t="str">
        <f>IF($AB188="","",INDEX('ORDER Form'!$H$1:$H$355,$AB188)&amp;"")</f>
        <v/>
      </c>
      <c r="O188" s="50" t="str">
        <f>IF($AB188="","",INDEX('ORDER Form'!$I$1:$I$355,$AB188)&amp;"")</f>
        <v/>
      </c>
      <c r="P188" s="50" t="str">
        <f>IF($AB188="","",INDEX('ORDER Form'!$J$1:$J$355,$AB188)&amp;"")</f>
        <v/>
      </c>
      <c r="Q188" s="50" t="str">
        <f>IF($AB188="","",INDEX('ORDER Form'!$AB$1:$AB$355,$AB188)&amp;"")</f>
        <v/>
      </c>
      <c r="R188" s="50" t="str">
        <f>IF($AB188="","",INDEX('ORDER Form'!$L$1:$L$355,$AB188)&amp;"")</f>
        <v/>
      </c>
      <c r="S188" s="50" t="str">
        <f>IF($AB188="","",INDEX('ORDER Form'!$N$1:$N$355,$AB188)&amp;"")</f>
        <v/>
      </c>
      <c r="T188" s="50" t="str">
        <f>IF($AB188="","",IF($AD188,T$3,INDEX('ORDER Form'!$O$1:$O$355,$AB188))&amp;"")</f>
        <v/>
      </c>
      <c r="U188" s="50" t="str">
        <f>IF($AB188="","",IF($AD188,U$3,INDEX('ORDER Form'!$P$1:$P$355,$AB188))&amp;"")</f>
        <v/>
      </c>
      <c r="V188" s="50" t="str">
        <f>IF($AB188="","",IF($AD188,V$3,INDEX('ORDER Form'!$Q$1:$Q$355,$AB188))&amp;"")</f>
        <v/>
      </c>
      <c r="W188" s="50" t="str">
        <f>IF($AB188="","",IF($AD188,W$3,INDEX('ORDER Form'!$R$1:$R$355,$AB188))&amp;"")</f>
        <v/>
      </c>
      <c r="X188" s="50" t="str">
        <f>IF($AB188="","",IF($AD188,X$3,INDEX('ORDER Form'!$S$1:$S$355,$AB188))&amp;"")</f>
        <v/>
      </c>
      <c r="Y188" s="50" t="str">
        <f>IF($AB188="","",IF($AD188,Y$3,INDEX('ORDER Form'!$T$1:$T$355,$AB188))&amp;"")</f>
        <v/>
      </c>
      <c r="Z188" s="50" t="str">
        <f>IF($AB188="","",IF($AD188,Z$3,INDEX('ORDER Form'!$U$1:$U$355,$AB188))&amp;"")</f>
        <v/>
      </c>
      <c r="AB188" s="51" t="str">
        <f>IFERROR(MATCH(184,$AC$5:$AC$354,0)+5,"")</f>
        <v/>
      </c>
      <c r="AC188" s="51" t="str">
        <f>IF('ORDER Form'!$V189="OK",COUNTIF('ORDER Form'!$V$6:$V189,"OK"),"")</f>
        <v/>
      </c>
      <c r="AD188" s="51" t="str">
        <f>IF($AB188="","",(LEN(TRIM(INDEX('ORDER Form'!$O$1:$O$355,$AB188)))+LEN(TRIM(INDEX('ORDER Form'!$P$1:$P$355,$AB188)))+LEN(TRIM(INDEX('ORDER Form'!$Q$1:$Q$355,$AB188)))+LEN(TRIM(INDEX('ORDER Form'!$R$1:$R$355,$AB188)))+LEN(TRIM(INDEX('ORDER Form'!$S$1:$S$355,$AB188)))+LEN(TRIM(INDEX('ORDER Form'!$T$1:$T$355,$AB188)))+LEN(TRIM(INDEX('ORDER Form'!$U$1:$U$355,$AB188))))=0)</f>
        <v/>
      </c>
    </row>
    <row r="189" spans="1:30" ht="15" customHeight="1" x14ac:dyDescent="0.25">
      <c r="A189" s="50" t="str">
        <f>IF($AB189="","",IFERROR(IF(AND(INDEX('ORDER Form'!$N$1:$N$355,$AB189)="GB",LEFT(UPPER(TRIM(INDEX('ORDER Form'!$L$1:$L$355,$AB189))),2)="BT"),INDEX('ORDER Form'!$AC$1:$AC$355,$AB189),IFERROR(VLOOKUP(INDEX('ORDER Form'!$AC$1:$AC$355,$AB189)&amp;"|"&amp;INDEX('PRODUCT DATA'!$A$2:$A$58,MATCH(INDEX('ORDER Form'!$N$1:$N$355,$AB189),'PRODUCT DATA'!$B$2:$B$58,0)),'PRODUCT DATA'!$NO$2:$NP$25,2,FALSE()),INDEX('ORDER Form'!$AC$1:$AC$355,$AB189)))&amp;"",""))</f>
        <v/>
      </c>
      <c r="B189" s="49"/>
      <c r="C189" s="51" t="str">
        <f>IF($AB189="","",INDEX('ORDER Form'!$C$1:$C$355,$AB189))</f>
        <v/>
      </c>
      <c r="D189" s="49"/>
      <c r="E189" s="49"/>
      <c r="F189" s="49"/>
      <c r="G189" s="49"/>
      <c r="H189" s="49"/>
      <c r="I189" s="49"/>
      <c r="J189" s="50" t="str">
        <f>IF($AB189="","",INDEX('ORDER Form'!$D$1:$D$355,$AB189)&amp;"")</f>
        <v/>
      </c>
      <c r="K189" s="50" t="str">
        <f>IF($AB189="","",INDEX('ORDER Form'!$E$1:$E$355,$AB189)&amp;"")</f>
        <v/>
      </c>
      <c r="L189" s="50" t="str">
        <f>IF($AB189="","",INDEX('ORDER Form'!$F$1:$F$355,$AB189)&amp;"")</f>
        <v/>
      </c>
      <c r="M189" s="50" t="str">
        <f>IF($AB189="","",INDEX('ORDER Form'!$G$1:$G$355,$AB189)&amp;"")</f>
        <v/>
      </c>
      <c r="N189" s="50" t="str">
        <f>IF($AB189="","",INDEX('ORDER Form'!$H$1:$H$355,$AB189)&amp;"")</f>
        <v/>
      </c>
      <c r="O189" s="50" t="str">
        <f>IF($AB189="","",INDEX('ORDER Form'!$I$1:$I$355,$AB189)&amp;"")</f>
        <v/>
      </c>
      <c r="P189" s="50" t="str">
        <f>IF($AB189="","",INDEX('ORDER Form'!$J$1:$J$355,$AB189)&amp;"")</f>
        <v/>
      </c>
      <c r="Q189" s="50" t="str">
        <f>IF($AB189="","",INDEX('ORDER Form'!$AB$1:$AB$355,$AB189)&amp;"")</f>
        <v/>
      </c>
      <c r="R189" s="50" t="str">
        <f>IF($AB189="","",INDEX('ORDER Form'!$L$1:$L$355,$AB189)&amp;"")</f>
        <v/>
      </c>
      <c r="S189" s="50" t="str">
        <f>IF($AB189="","",INDEX('ORDER Form'!$N$1:$N$355,$AB189)&amp;"")</f>
        <v/>
      </c>
      <c r="T189" s="50" t="str">
        <f>IF($AB189="","",IF($AD189,T$3,INDEX('ORDER Form'!$O$1:$O$355,$AB189))&amp;"")</f>
        <v/>
      </c>
      <c r="U189" s="50" t="str">
        <f>IF($AB189="","",IF($AD189,U$3,INDEX('ORDER Form'!$P$1:$P$355,$AB189))&amp;"")</f>
        <v/>
      </c>
      <c r="V189" s="50" t="str">
        <f>IF($AB189="","",IF($AD189,V$3,INDEX('ORDER Form'!$Q$1:$Q$355,$AB189))&amp;"")</f>
        <v/>
      </c>
      <c r="W189" s="50" t="str">
        <f>IF($AB189="","",IF($AD189,W$3,INDEX('ORDER Form'!$R$1:$R$355,$AB189))&amp;"")</f>
        <v/>
      </c>
      <c r="X189" s="50" t="str">
        <f>IF($AB189="","",IF($AD189,X$3,INDEX('ORDER Form'!$S$1:$S$355,$AB189))&amp;"")</f>
        <v/>
      </c>
      <c r="Y189" s="50" t="str">
        <f>IF($AB189="","",IF($AD189,Y$3,INDEX('ORDER Form'!$T$1:$T$355,$AB189))&amp;"")</f>
        <v/>
      </c>
      <c r="Z189" s="50" t="str">
        <f>IF($AB189="","",IF($AD189,Z$3,INDEX('ORDER Form'!$U$1:$U$355,$AB189))&amp;"")</f>
        <v/>
      </c>
      <c r="AB189" s="51" t="str">
        <f>IFERROR(MATCH(185,$AC$5:$AC$354,0)+5,"")</f>
        <v/>
      </c>
      <c r="AC189" s="51" t="str">
        <f>IF('ORDER Form'!$V190="OK",COUNTIF('ORDER Form'!$V$6:$V190,"OK"),"")</f>
        <v/>
      </c>
      <c r="AD189" s="51" t="str">
        <f>IF($AB189="","",(LEN(TRIM(INDEX('ORDER Form'!$O$1:$O$355,$AB189)))+LEN(TRIM(INDEX('ORDER Form'!$P$1:$P$355,$AB189)))+LEN(TRIM(INDEX('ORDER Form'!$Q$1:$Q$355,$AB189)))+LEN(TRIM(INDEX('ORDER Form'!$R$1:$R$355,$AB189)))+LEN(TRIM(INDEX('ORDER Form'!$S$1:$S$355,$AB189)))+LEN(TRIM(INDEX('ORDER Form'!$T$1:$T$355,$AB189)))+LEN(TRIM(INDEX('ORDER Form'!$U$1:$U$355,$AB189))))=0)</f>
        <v/>
      </c>
    </row>
    <row r="190" spans="1:30" ht="15" customHeight="1" x14ac:dyDescent="0.25">
      <c r="A190" s="50" t="str">
        <f>IF($AB190="","",IFERROR(IF(AND(INDEX('ORDER Form'!$N$1:$N$355,$AB190)="GB",LEFT(UPPER(TRIM(INDEX('ORDER Form'!$L$1:$L$355,$AB190))),2)="BT"),INDEX('ORDER Form'!$AC$1:$AC$355,$AB190),IFERROR(VLOOKUP(INDEX('ORDER Form'!$AC$1:$AC$355,$AB190)&amp;"|"&amp;INDEX('PRODUCT DATA'!$A$2:$A$58,MATCH(INDEX('ORDER Form'!$N$1:$N$355,$AB190),'PRODUCT DATA'!$B$2:$B$58,0)),'PRODUCT DATA'!$NO$2:$NP$25,2,FALSE()),INDEX('ORDER Form'!$AC$1:$AC$355,$AB190)))&amp;"",""))</f>
        <v/>
      </c>
      <c r="B190" s="49"/>
      <c r="C190" s="51" t="str">
        <f>IF($AB190="","",INDEX('ORDER Form'!$C$1:$C$355,$AB190))</f>
        <v/>
      </c>
      <c r="D190" s="49"/>
      <c r="E190" s="49"/>
      <c r="F190" s="49"/>
      <c r="G190" s="49"/>
      <c r="H190" s="49"/>
      <c r="I190" s="49"/>
      <c r="J190" s="50" t="str">
        <f>IF($AB190="","",INDEX('ORDER Form'!$D$1:$D$355,$AB190)&amp;"")</f>
        <v/>
      </c>
      <c r="K190" s="50" t="str">
        <f>IF($AB190="","",INDEX('ORDER Form'!$E$1:$E$355,$AB190)&amp;"")</f>
        <v/>
      </c>
      <c r="L190" s="50" t="str">
        <f>IF($AB190="","",INDEX('ORDER Form'!$F$1:$F$355,$AB190)&amp;"")</f>
        <v/>
      </c>
      <c r="M190" s="50" t="str">
        <f>IF($AB190="","",INDEX('ORDER Form'!$G$1:$G$355,$AB190)&amp;"")</f>
        <v/>
      </c>
      <c r="N190" s="50" t="str">
        <f>IF($AB190="","",INDEX('ORDER Form'!$H$1:$H$355,$AB190)&amp;"")</f>
        <v/>
      </c>
      <c r="O190" s="50" t="str">
        <f>IF($AB190="","",INDEX('ORDER Form'!$I$1:$I$355,$AB190)&amp;"")</f>
        <v/>
      </c>
      <c r="P190" s="50" t="str">
        <f>IF($AB190="","",INDEX('ORDER Form'!$J$1:$J$355,$AB190)&amp;"")</f>
        <v/>
      </c>
      <c r="Q190" s="50" t="str">
        <f>IF($AB190="","",INDEX('ORDER Form'!$AB$1:$AB$355,$AB190)&amp;"")</f>
        <v/>
      </c>
      <c r="R190" s="50" t="str">
        <f>IF($AB190="","",INDEX('ORDER Form'!$L$1:$L$355,$AB190)&amp;"")</f>
        <v/>
      </c>
      <c r="S190" s="50" t="str">
        <f>IF($AB190="","",INDEX('ORDER Form'!$N$1:$N$355,$AB190)&amp;"")</f>
        <v/>
      </c>
      <c r="T190" s="50" t="str">
        <f>IF($AB190="","",IF($AD190,T$3,INDEX('ORDER Form'!$O$1:$O$355,$AB190))&amp;"")</f>
        <v/>
      </c>
      <c r="U190" s="50" t="str">
        <f>IF($AB190="","",IF($AD190,U$3,INDEX('ORDER Form'!$P$1:$P$355,$AB190))&amp;"")</f>
        <v/>
      </c>
      <c r="V190" s="50" t="str">
        <f>IF($AB190="","",IF($AD190,V$3,INDEX('ORDER Form'!$Q$1:$Q$355,$AB190))&amp;"")</f>
        <v/>
      </c>
      <c r="W190" s="50" t="str">
        <f>IF($AB190="","",IF($AD190,W$3,INDEX('ORDER Form'!$R$1:$R$355,$AB190))&amp;"")</f>
        <v/>
      </c>
      <c r="X190" s="50" t="str">
        <f>IF($AB190="","",IF($AD190,X$3,INDEX('ORDER Form'!$S$1:$S$355,$AB190))&amp;"")</f>
        <v/>
      </c>
      <c r="Y190" s="50" t="str">
        <f>IF($AB190="","",IF($AD190,Y$3,INDEX('ORDER Form'!$T$1:$T$355,$AB190))&amp;"")</f>
        <v/>
      </c>
      <c r="Z190" s="50" t="str">
        <f>IF($AB190="","",IF($AD190,Z$3,INDEX('ORDER Form'!$U$1:$U$355,$AB190))&amp;"")</f>
        <v/>
      </c>
      <c r="AB190" s="51" t="str">
        <f>IFERROR(MATCH(186,$AC$5:$AC$354,0)+5,"")</f>
        <v/>
      </c>
      <c r="AC190" s="51" t="str">
        <f>IF('ORDER Form'!$V191="OK",COUNTIF('ORDER Form'!$V$6:$V191,"OK"),"")</f>
        <v/>
      </c>
      <c r="AD190" s="51" t="str">
        <f>IF($AB190="","",(LEN(TRIM(INDEX('ORDER Form'!$O$1:$O$355,$AB190)))+LEN(TRIM(INDEX('ORDER Form'!$P$1:$P$355,$AB190)))+LEN(TRIM(INDEX('ORDER Form'!$Q$1:$Q$355,$AB190)))+LEN(TRIM(INDEX('ORDER Form'!$R$1:$R$355,$AB190)))+LEN(TRIM(INDEX('ORDER Form'!$S$1:$S$355,$AB190)))+LEN(TRIM(INDEX('ORDER Form'!$T$1:$T$355,$AB190)))+LEN(TRIM(INDEX('ORDER Form'!$U$1:$U$355,$AB190))))=0)</f>
        <v/>
      </c>
    </row>
    <row r="191" spans="1:30" ht="15" customHeight="1" x14ac:dyDescent="0.25">
      <c r="A191" s="50" t="str">
        <f>IF($AB191="","",IFERROR(IF(AND(INDEX('ORDER Form'!$N$1:$N$355,$AB191)="GB",LEFT(UPPER(TRIM(INDEX('ORDER Form'!$L$1:$L$355,$AB191))),2)="BT"),INDEX('ORDER Form'!$AC$1:$AC$355,$AB191),IFERROR(VLOOKUP(INDEX('ORDER Form'!$AC$1:$AC$355,$AB191)&amp;"|"&amp;INDEX('PRODUCT DATA'!$A$2:$A$58,MATCH(INDEX('ORDER Form'!$N$1:$N$355,$AB191),'PRODUCT DATA'!$B$2:$B$58,0)),'PRODUCT DATA'!$NO$2:$NP$25,2,FALSE()),INDEX('ORDER Form'!$AC$1:$AC$355,$AB191)))&amp;"",""))</f>
        <v/>
      </c>
      <c r="B191" s="49"/>
      <c r="C191" s="51" t="str">
        <f>IF($AB191="","",INDEX('ORDER Form'!$C$1:$C$355,$AB191))</f>
        <v/>
      </c>
      <c r="D191" s="49"/>
      <c r="E191" s="49"/>
      <c r="F191" s="49"/>
      <c r="G191" s="49"/>
      <c r="H191" s="49"/>
      <c r="I191" s="49"/>
      <c r="J191" s="50" t="str">
        <f>IF($AB191="","",INDEX('ORDER Form'!$D$1:$D$355,$AB191)&amp;"")</f>
        <v/>
      </c>
      <c r="K191" s="50" t="str">
        <f>IF($AB191="","",INDEX('ORDER Form'!$E$1:$E$355,$AB191)&amp;"")</f>
        <v/>
      </c>
      <c r="L191" s="50" t="str">
        <f>IF($AB191="","",INDEX('ORDER Form'!$F$1:$F$355,$AB191)&amp;"")</f>
        <v/>
      </c>
      <c r="M191" s="50" t="str">
        <f>IF($AB191="","",INDEX('ORDER Form'!$G$1:$G$355,$AB191)&amp;"")</f>
        <v/>
      </c>
      <c r="N191" s="50" t="str">
        <f>IF($AB191="","",INDEX('ORDER Form'!$H$1:$H$355,$AB191)&amp;"")</f>
        <v/>
      </c>
      <c r="O191" s="50" t="str">
        <f>IF($AB191="","",INDEX('ORDER Form'!$I$1:$I$355,$AB191)&amp;"")</f>
        <v/>
      </c>
      <c r="P191" s="50" t="str">
        <f>IF($AB191="","",INDEX('ORDER Form'!$J$1:$J$355,$AB191)&amp;"")</f>
        <v/>
      </c>
      <c r="Q191" s="50" t="str">
        <f>IF($AB191="","",INDEX('ORDER Form'!$AB$1:$AB$355,$AB191)&amp;"")</f>
        <v/>
      </c>
      <c r="R191" s="50" t="str">
        <f>IF($AB191="","",INDEX('ORDER Form'!$L$1:$L$355,$AB191)&amp;"")</f>
        <v/>
      </c>
      <c r="S191" s="50" t="str">
        <f>IF($AB191="","",INDEX('ORDER Form'!$N$1:$N$355,$AB191)&amp;"")</f>
        <v/>
      </c>
      <c r="T191" s="50" t="str">
        <f>IF($AB191="","",IF($AD191,T$3,INDEX('ORDER Form'!$O$1:$O$355,$AB191))&amp;"")</f>
        <v/>
      </c>
      <c r="U191" s="50" t="str">
        <f>IF($AB191="","",IF($AD191,U$3,INDEX('ORDER Form'!$P$1:$P$355,$AB191))&amp;"")</f>
        <v/>
      </c>
      <c r="V191" s="50" t="str">
        <f>IF($AB191="","",IF($AD191,V$3,INDEX('ORDER Form'!$Q$1:$Q$355,$AB191))&amp;"")</f>
        <v/>
      </c>
      <c r="W191" s="50" t="str">
        <f>IF($AB191="","",IF($AD191,W$3,INDEX('ORDER Form'!$R$1:$R$355,$AB191))&amp;"")</f>
        <v/>
      </c>
      <c r="X191" s="50" t="str">
        <f>IF($AB191="","",IF($AD191,X$3,INDEX('ORDER Form'!$S$1:$S$355,$AB191))&amp;"")</f>
        <v/>
      </c>
      <c r="Y191" s="50" t="str">
        <f>IF($AB191="","",IF($AD191,Y$3,INDEX('ORDER Form'!$T$1:$T$355,$AB191))&amp;"")</f>
        <v/>
      </c>
      <c r="Z191" s="50" t="str">
        <f>IF($AB191="","",IF($AD191,Z$3,INDEX('ORDER Form'!$U$1:$U$355,$AB191))&amp;"")</f>
        <v/>
      </c>
      <c r="AB191" s="51" t="str">
        <f>IFERROR(MATCH(187,$AC$5:$AC$354,0)+5,"")</f>
        <v/>
      </c>
      <c r="AC191" s="51" t="str">
        <f>IF('ORDER Form'!$V192="OK",COUNTIF('ORDER Form'!$V$6:$V192,"OK"),"")</f>
        <v/>
      </c>
      <c r="AD191" s="51" t="str">
        <f>IF($AB191="","",(LEN(TRIM(INDEX('ORDER Form'!$O$1:$O$355,$AB191)))+LEN(TRIM(INDEX('ORDER Form'!$P$1:$P$355,$AB191)))+LEN(TRIM(INDEX('ORDER Form'!$Q$1:$Q$355,$AB191)))+LEN(TRIM(INDEX('ORDER Form'!$R$1:$R$355,$AB191)))+LEN(TRIM(INDEX('ORDER Form'!$S$1:$S$355,$AB191)))+LEN(TRIM(INDEX('ORDER Form'!$T$1:$T$355,$AB191)))+LEN(TRIM(INDEX('ORDER Form'!$U$1:$U$355,$AB191))))=0)</f>
        <v/>
      </c>
    </row>
    <row r="192" spans="1:30" ht="15" customHeight="1" x14ac:dyDescent="0.25">
      <c r="A192" s="50" t="str">
        <f>IF($AB192="","",IFERROR(IF(AND(INDEX('ORDER Form'!$N$1:$N$355,$AB192)="GB",LEFT(UPPER(TRIM(INDEX('ORDER Form'!$L$1:$L$355,$AB192))),2)="BT"),INDEX('ORDER Form'!$AC$1:$AC$355,$AB192),IFERROR(VLOOKUP(INDEX('ORDER Form'!$AC$1:$AC$355,$AB192)&amp;"|"&amp;INDEX('PRODUCT DATA'!$A$2:$A$58,MATCH(INDEX('ORDER Form'!$N$1:$N$355,$AB192),'PRODUCT DATA'!$B$2:$B$58,0)),'PRODUCT DATA'!$NO$2:$NP$25,2,FALSE()),INDEX('ORDER Form'!$AC$1:$AC$355,$AB192)))&amp;"",""))</f>
        <v/>
      </c>
      <c r="B192" s="49"/>
      <c r="C192" s="51" t="str">
        <f>IF($AB192="","",INDEX('ORDER Form'!$C$1:$C$355,$AB192))</f>
        <v/>
      </c>
      <c r="D192" s="49"/>
      <c r="E192" s="49"/>
      <c r="F192" s="49"/>
      <c r="G192" s="49"/>
      <c r="H192" s="49"/>
      <c r="I192" s="49"/>
      <c r="J192" s="50" t="str">
        <f>IF($AB192="","",INDEX('ORDER Form'!$D$1:$D$355,$AB192)&amp;"")</f>
        <v/>
      </c>
      <c r="K192" s="50" t="str">
        <f>IF($AB192="","",INDEX('ORDER Form'!$E$1:$E$355,$AB192)&amp;"")</f>
        <v/>
      </c>
      <c r="L192" s="50" t="str">
        <f>IF($AB192="","",INDEX('ORDER Form'!$F$1:$F$355,$AB192)&amp;"")</f>
        <v/>
      </c>
      <c r="M192" s="50" t="str">
        <f>IF($AB192="","",INDEX('ORDER Form'!$G$1:$G$355,$AB192)&amp;"")</f>
        <v/>
      </c>
      <c r="N192" s="50" t="str">
        <f>IF($AB192="","",INDEX('ORDER Form'!$H$1:$H$355,$AB192)&amp;"")</f>
        <v/>
      </c>
      <c r="O192" s="50" t="str">
        <f>IF($AB192="","",INDEX('ORDER Form'!$I$1:$I$355,$AB192)&amp;"")</f>
        <v/>
      </c>
      <c r="P192" s="50" t="str">
        <f>IF($AB192="","",INDEX('ORDER Form'!$J$1:$J$355,$AB192)&amp;"")</f>
        <v/>
      </c>
      <c r="Q192" s="50" t="str">
        <f>IF($AB192="","",INDEX('ORDER Form'!$AB$1:$AB$355,$AB192)&amp;"")</f>
        <v/>
      </c>
      <c r="R192" s="50" t="str">
        <f>IF($AB192="","",INDEX('ORDER Form'!$L$1:$L$355,$AB192)&amp;"")</f>
        <v/>
      </c>
      <c r="S192" s="50" t="str">
        <f>IF($AB192="","",INDEX('ORDER Form'!$N$1:$N$355,$AB192)&amp;"")</f>
        <v/>
      </c>
      <c r="T192" s="50" t="str">
        <f>IF($AB192="","",IF($AD192,T$3,INDEX('ORDER Form'!$O$1:$O$355,$AB192))&amp;"")</f>
        <v/>
      </c>
      <c r="U192" s="50" t="str">
        <f>IF($AB192="","",IF($AD192,U$3,INDEX('ORDER Form'!$P$1:$P$355,$AB192))&amp;"")</f>
        <v/>
      </c>
      <c r="V192" s="50" t="str">
        <f>IF($AB192="","",IF($AD192,V$3,INDEX('ORDER Form'!$Q$1:$Q$355,$AB192))&amp;"")</f>
        <v/>
      </c>
      <c r="W192" s="50" t="str">
        <f>IF($AB192="","",IF($AD192,W$3,INDEX('ORDER Form'!$R$1:$R$355,$AB192))&amp;"")</f>
        <v/>
      </c>
      <c r="X192" s="50" t="str">
        <f>IF($AB192="","",IF($AD192,X$3,INDEX('ORDER Form'!$S$1:$S$355,$AB192))&amp;"")</f>
        <v/>
      </c>
      <c r="Y192" s="50" t="str">
        <f>IF($AB192="","",IF($AD192,Y$3,INDEX('ORDER Form'!$T$1:$T$355,$AB192))&amp;"")</f>
        <v/>
      </c>
      <c r="Z192" s="50" t="str">
        <f>IF($AB192="","",IF($AD192,Z$3,INDEX('ORDER Form'!$U$1:$U$355,$AB192))&amp;"")</f>
        <v/>
      </c>
      <c r="AB192" s="51" t="str">
        <f>IFERROR(MATCH(188,$AC$5:$AC$354,0)+5,"")</f>
        <v/>
      </c>
      <c r="AC192" s="51" t="str">
        <f>IF('ORDER Form'!$V193="OK",COUNTIF('ORDER Form'!$V$6:$V193,"OK"),"")</f>
        <v/>
      </c>
      <c r="AD192" s="51" t="str">
        <f>IF($AB192="","",(LEN(TRIM(INDEX('ORDER Form'!$O$1:$O$355,$AB192)))+LEN(TRIM(INDEX('ORDER Form'!$P$1:$P$355,$AB192)))+LEN(TRIM(INDEX('ORDER Form'!$Q$1:$Q$355,$AB192)))+LEN(TRIM(INDEX('ORDER Form'!$R$1:$R$355,$AB192)))+LEN(TRIM(INDEX('ORDER Form'!$S$1:$S$355,$AB192)))+LEN(TRIM(INDEX('ORDER Form'!$T$1:$T$355,$AB192)))+LEN(TRIM(INDEX('ORDER Form'!$U$1:$U$355,$AB192))))=0)</f>
        <v/>
      </c>
    </row>
    <row r="193" spans="1:30" ht="15" customHeight="1" x14ac:dyDescent="0.25">
      <c r="A193" s="50" t="str">
        <f>IF($AB193="","",IFERROR(IF(AND(INDEX('ORDER Form'!$N$1:$N$355,$AB193)="GB",LEFT(UPPER(TRIM(INDEX('ORDER Form'!$L$1:$L$355,$AB193))),2)="BT"),INDEX('ORDER Form'!$AC$1:$AC$355,$AB193),IFERROR(VLOOKUP(INDEX('ORDER Form'!$AC$1:$AC$355,$AB193)&amp;"|"&amp;INDEX('PRODUCT DATA'!$A$2:$A$58,MATCH(INDEX('ORDER Form'!$N$1:$N$355,$AB193),'PRODUCT DATA'!$B$2:$B$58,0)),'PRODUCT DATA'!$NO$2:$NP$25,2,FALSE()),INDEX('ORDER Form'!$AC$1:$AC$355,$AB193)))&amp;"",""))</f>
        <v/>
      </c>
      <c r="B193" s="49"/>
      <c r="C193" s="51" t="str">
        <f>IF($AB193="","",INDEX('ORDER Form'!$C$1:$C$355,$AB193))</f>
        <v/>
      </c>
      <c r="D193" s="49"/>
      <c r="E193" s="49"/>
      <c r="F193" s="49"/>
      <c r="G193" s="49"/>
      <c r="H193" s="49"/>
      <c r="I193" s="49"/>
      <c r="J193" s="50" t="str">
        <f>IF($AB193="","",INDEX('ORDER Form'!$D$1:$D$355,$AB193)&amp;"")</f>
        <v/>
      </c>
      <c r="K193" s="50" t="str">
        <f>IF($AB193="","",INDEX('ORDER Form'!$E$1:$E$355,$AB193)&amp;"")</f>
        <v/>
      </c>
      <c r="L193" s="50" t="str">
        <f>IF($AB193="","",INDEX('ORDER Form'!$F$1:$F$355,$AB193)&amp;"")</f>
        <v/>
      </c>
      <c r="M193" s="50" t="str">
        <f>IF($AB193="","",INDEX('ORDER Form'!$G$1:$G$355,$AB193)&amp;"")</f>
        <v/>
      </c>
      <c r="N193" s="50" t="str">
        <f>IF($AB193="","",INDEX('ORDER Form'!$H$1:$H$355,$AB193)&amp;"")</f>
        <v/>
      </c>
      <c r="O193" s="50" t="str">
        <f>IF($AB193="","",INDEX('ORDER Form'!$I$1:$I$355,$AB193)&amp;"")</f>
        <v/>
      </c>
      <c r="P193" s="50" t="str">
        <f>IF($AB193="","",INDEX('ORDER Form'!$J$1:$J$355,$AB193)&amp;"")</f>
        <v/>
      </c>
      <c r="Q193" s="50" t="str">
        <f>IF($AB193="","",INDEX('ORDER Form'!$AB$1:$AB$355,$AB193)&amp;"")</f>
        <v/>
      </c>
      <c r="R193" s="50" t="str">
        <f>IF($AB193="","",INDEX('ORDER Form'!$L$1:$L$355,$AB193)&amp;"")</f>
        <v/>
      </c>
      <c r="S193" s="50" t="str">
        <f>IF($AB193="","",INDEX('ORDER Form'!$N$1:$N$355,$AB193)&amp;"")</f>
        <v/>
      </c>
      <c r="T193" s="50" t="str">
        <f>IF($AB193="","",IF($AD193,T$3,INDEX('ORDER Form'!$O$1:$O$355,$AB193))&amp;"")</f>
        <v/>
      </c>
      <c r="U193" s="50" t="str">
        <f>IF($AB193="","",IF($AD193,U$3,INDEX('ORDER Form'!$P$1:$P$355,$AB193))&amp;"")</f>
        <v/>
      </c>
      <c r="V193" s="50" t="str">
        <f>IF($AB193="","",IF($AD193,V$3,INDEX('ORDER Form'!$Q$1:$Q$355,$AB193))&amp;"")</f>
        <v/>
      </c>
      <c r="W193" s="50" t="str">
        <f>IF($AB193="","",IF($AD193,W$3,INDEX('ORDER Form'!$R$1:$R$355,$AB193))&amp;"")</f>
        <v/>
      </c>
      <c r="X193" s="50" t="str">
        <f>IF($AB193="","",IF($AD193,X$3,INDEX('ORDER Form'!$S$1:$S$355,$AB193))&amp;"")</f>
        <v/>
      </c>
      <c r="Y193" s="50" t="str">
        <f>IF($AB193="","",IF($AD193,Y$3,INDEX('ORDER Form'!$T$1:$T$355,$AB193))&amp;"")</f>
        <v/>
      </c>
      <c r="Z193" s="50" t="str">
        <f>IF($AB193="","",IF($AD193,Z$3,INDEX('ORDER Form'!$U$1:$U$355,$AB193))&amp;"")</f>
        <v/>
      </c>
      <c r="AB193" s="51" t="str">
        <f>IFERROR(MATCH(189,$AC$5:$AC$354,0)+5,"")</f>
        <v/>
      </c>
      <c r="AC193" s="51" t="str">
        <f>IF('ORDER Form'!$V194="OK",COUNTIF('ORDER Form'!$V$6:$V194,"OK"),"")</f>
        <v/>
      </c>
      <c r="AD193" s="51" t="str">
        <f>IF($AB193="","",(LEN(TRIM(INDEX('ORDER Form'!$O$1:$O$355,$AB193)))+LEN(TRIM(INDEX('ORDER Form'!$P$1:$P$355,$AB193)))+LEN(TRIM(INDEX('ORDER Form'!$Q$1:$Q$355,$AB193)))+LEN(TRIM(INDEX('ORDER Form'!$R$1:$R$355,$AB193)))+LEN(TRIM(INDEX('ORDER Form'!$S$1:$S$355,$AB193)))+LEN(TRIM(INDEX('ORDER Form'!$T$1:$T$355,$AB193)))+LEN(TRIM(INDEX('ORDER Form'!$U$1:$U$355,$AB193))))=0)</f>
        <v/>
      </c>
    </row>
    <row r="194" spans="1:30" ht="15" customHeight="1" x14ac:dyDescent="0.25">
      <c r="A194" s="50" t="str">
        <f>IF($AB194="","",IFERROR(IF(AND(INDEX('ORDER Form'!$N$1:$N$355,$AB194)="GB",LEFT(UPPER(TRIM(INDEX('ORDER Form'!$L$1:$L$355,$AB194))),2)="BT"),INDEX('ORDER Form'!$AC$1:$AC$355,$AB194),IFERROR(VLOOKUP(INDEX('ORDER Form'!$AC$1:$AC$355,$AB194)&amp;"|"&amp;INDEX('PRODUCT DATA'!$A$2:$A$58,MATCH(INDEX('ORDER Form'!$N$1:$N$355,$AB194),'PRODUCT DATA'!$B$2:$B$58,0)),'PRODUCT DATA'!$NO$2:$NP$25,2,FALSE()),INDEX('ORDER Form'!$AC$1:$AC$355,$AB194)))&amp;"",""))</f>
        <v/>
      </c>
      <c r="B194" s="49"/>
      <c r="C194" s="51" t="str">
        <f>IF($AB194="","",INDEX('ORDER Form'!$C$1:$C$355,$AB194))</f>
        <v/>
      </c>
      <c r="D194" s="49"/>
      <c r="E194" s="49"/>
      <c r="F194" s="49"/>
      <c r="G194" s="49"/>
      <c r="H194" s="49"/>
      <c r="I194" s="49"/>
      <c r="J194" s="50" t="str">
        <f>IF($AB194="","",INDEX('ORDER Form'!$D$1:$D$355,$AB194)&amp;"")</f>
        <v/>
      </c>
      <c r="K194" s="50" t="str">
        <f>IF($AB194="","",INDEX('ORDER Form'!$E$1:$E$355,$AB194)&amp;"")</f>
        <v/>
      </c>
      <c r="L194" s="50" t="str">
        <f>IF($AB194="","",INDEX('ORDER Form'!$F$1:$F$355,$AB194)&amp;"")</f>
        <v/>
      </c>
      <c r="M194" s="50" t="str">
        <f>IF($AB194="","",INDEX('ORDER Form'!$G$1:$G$355,$AB194)&amp;"")</f>
        <v/>
      </c>
      <c r="N194" s="50" t="str">
        <f>IF($AB194="","",INDEX('ORDER Form'!$H$1:$H$355,$AB194)&amp;"")</f>
        <v/>
      </c>
      <c r="O194" s="50" t="str">
        <f>IF($AB194="","",INDEX('ORDER Form'!$I$1:$I$355,$AB194)&amp;"")</f>
        <v/>
      </c>
      <c r="P194" s="50" t="str">
        <f>IF($AB194="","",INDEX('ORDER Form'!$J$1:$J$355,$AB194)&amp;"")</f>
        <v/>
      </c>
      <c r="Q194" s="50" t="str">
        <f>IF($AB194="","",INDEX('ORDER Form'!$AB$1:$AB$355,$AB194)&amp;"")</f>
        <v/>
      </c>
      <c r="R194" s="50" t="str">
        <f>IF($AB194="","",INDEX('ORDER Form'!$L$1:$L$355,$AB194)&amp;"")</f>
        <v/>
      </c>
      <c r="S194" s="50" t="str">
        <f>IF($AB194="","",INDEX('ORDER Form'!$N$1:$N$355,$AB194)&amp;"")</f>
        <v/>
      </c>
      <c r="T194" s="50" t="str">
        <f>IF($AB194="","",IF($AD194,T$3,INDEX('ORDER Form'!$O$1:$O$355,$AB194))&amp;"")</f>
        <v/>
      </c>
      <c r="U194" s="50" t="str">
        <f>IF($AB194="","",IF($AD194,U$3,INDEX('ORDER Form'!$P$1:$P$355,$AB194))&amp;"")</f>
        <v/>
      </c>
      <c r="V194" s="50" t="str">
        <f>IF($AB194="","",IF($AD194,V$3,INDEX('ORDER Form'!$Q$1:$Q$355,$AB194))&amp;"")</f>
        <v/>
      </c>
      <c r="W194" s="50" t="str">
        <f>IF($AB194="","",IF($AD194,W$3,INDEX('ORDER Form'!$R$1:$R$355,$AB194))&amp;"")</f>
        <v/>
      </c>
      <c r="X194" s="50" t="str">
        <f>IF($AB194="","",IF($AD194,X$3,INDEX('ORDER Form'!$S$1:$S$355,$AB194))&amp;"")</f>
        <v/>
      </c>
      <c r="Y194" s="50" t="str">
        <f>IF($AB194="","",IF($AD194,Y$3,INDEX('ORDER Form'!$T$1:$T$355,$AB194))&amp;"")</f>
        <v/>
      </c>
      <c r="Z194" s="50" t="str">
        <f>IF($AB194="","",IF($AD194,Z$3,INDEX('ORDER Form'!$U$1:$U$355,$AB194))&amp;"")</f>
        <v/>
      </c>
      <c r="AB194" s="51" t="str">
        <f>IFERROR(MATCH(190,$AC$5:$AC$354,0)+5,"")</f>
        <v/>
      </c>
      <c r="AC194" s="51" t="str">
        <f>IF('ORDER Form'!$V195="OK",COUNTIF('ORDER Form'!$V$6:$V195,"OK"),"")</f>
        <v/>
      </c>
      <c r="AD194" s="51" t="str">
        <f>IF($AB194="","",(LEN(TRIM(INDEX('ORDER Form'!$O$1:$O$355,$AB194)))+LEN(TRIM(INDEX('ORDER Form'!$P$1:$P$355,$AB194)))+LEN(TRIM(INDEX('ORDER Form'!$Q$1:$Q$355,$AB194)))+LEN(TRIM(INDEX('ORDER Form'!$R$1:$R$355,$AB194)))+LEN(TRIM(INDEX('ORDER Form'!$S$1:$S$355,$AB194)))+LEN(TRIM(INDEX('ORDER Form'!$T$1:$T$355,$AB194)))+LEN(TRIM(INDEX('ORDER Form'!$U$1:$U$355,$AB194))))=0)</f>
        <v/>
      </c>
    </row>
    <row r="195" spans="1:30" ht="15" customHeight="1" x14ac:dyDescent="0.25">
      <c r="A195" s="50" t="str">
        <f>IF($AB195="","",IFERROR(IF(AND(INDEX('ORDER Form'!$N$1:$N$355,$AB195)="GB",LEFT(UPPER(TRIM(INDEX('ORDER Form'!$L$1:$L$355,$AB195))),2)="BT"),INDEX('ORDER Form'!$AC$1:$AC$355,$AB195),IFERROR(VLOOKUP(INDEX('ORDER Form'!$AC$1:$AC$355,$AB195)&amp;"|"&amp;INDEX('PRODUCT DATA'!$A$2:$A$58,MATCH(INDEX('ORDER Form'!$N$1:$N$355,$AB195),'PRODUCT DATA'!$B$2:$B$58,0)),'PRODUCT DATA'!$NO$2:$NP$25,2,FALSE()),INDEX('ORDER Form'!$AC$1:$AC$355,$AB195)))&amp;"",""))</f>
        <v/>
      </c>
      <c r="B195" s="49"/>
      <c r="C195" s="51" t="str">
        <f>IF($AB195="","",INDEX('ORDER Form'!$C$1:$C$355,$AB195))</f>
        <v/>
      </c>
      <c r="D195" s="49"/>
      <c r="E195" s="49"/>
      <c r="F195" s="49"/>
      <c r="G195" s="49"/>
      <c r="H195" s="49"/>
      <c r="I195" s="49"/>
      <c r="J195" s="50" t="str">
        <f>IF($AB195="","",INDEX('ORDER Form'!$D$1:$D$355,$AB195)&amp;"")</f>
        <v/>
      </c>
      <c r="K195" s="50" t="str">
        <f>IF($AB195="","",INDEX('ORDER Form'!$E$1:$E$355,$AB195)&amp;"")</f>
        <v/>
      </c>
      <c r="L195" s="50" t="str">
        <f>IF($AB195="","",INDEX('ORDER Form'!$F$1:$F$355,$AB195)&amp;"")</f>
        <v/>
      </c>
      <c r="M195" s="50" t="str">
        <f>IF($AB195="","",INDEX('ORDER Form'!$G$1:$G$355,$AB195)&amp;"")</f>
        <v/>
      </c>
      <c r="N195" s="50" t="str">
        <f>IF($AB195="","",INDEX('ORDER Form'!$H$1:$H$355,$AB195)&amp;"")</f>
        <v/>
      </c>
      <c r="O195" s="50" t="str">
        <f>IF($AB195="","",INDEX('ORDER Form'!$I$1:$I$355,$AB195)&amp;"")</f>
        <v/>
      </c>
      <c r="P195" s="50" t="str">
        <f>IF($AB195="","",INDEX('ORDER Form'!$J$1:$J$355,$AB195)&amp;"")</f>
        <v/>
      </c>
      <c r="Q195" s="50" t="str">
        <f>IF($AB195="","",INDEX('ORDER Form'!$AB$1:$AB$355,$AB195)&amp;"")</f>
        <v/>
      </c>
      <c r="R195" s="50" t="str">
        <f>IF($AB195="","",INDEX('ORDER Form'!$L$1:$L$355,$AB195)&amp;"")</f>
        <v/>
      </c>
      <c r="S195" s="50" t="str">
        <f>IF($AB195="","",INDEX('ORDER Form'!$N$1:$N$355,$AB195)&amp;"")</f>
        <v/>
      </c>
      <c r="T195" s="50" t="str">
        <f>IF($AB195="","",IF($AD195,T$3,INDEX('ORDER Form'!$O$1:$O$355,$AB195))&amp;"")</f>
        <v/>
      </c>
      <c r="U195" s="50" t="str">
        <f>IF($AB195="","",IF($AD195,U$3,INDEX('ORDER Form'!$P$1:$P$355,$AB195))&amp;"")</f>
        <v/>
      </c>
      <c r="V195" s="50" t="str">
        <f>IF($AB195="","",IF($AD195,V$3,INDEX('ORDER Form'!$Q$1:$Q$355,$AB195))&amp;"")</f>
        <v/>
      </c>
      <c r="W195" s="50" t="str">
        <f>IF($AB195="","",IF($AD195,W$3,INDEX('ORDER Form'!$R$1:$R$355,$AB195))&amp;"")</f>
        <v/>
      </c>
      <c r="X195" s="50" t="str">
        <f>IF($AB195="","",IF($AD195,X$3,INDEX('ORDER Form'!$S$1:$S$355,$AB195))&amp;"")</f>
        <v/>
      </c>
      <c r="Y195" s="50" t="str">
        <f>IF($AB195="","",IF($AD195,Y$3,INDEX('ORDER Form'!$T$1:$T$355,$AB195))&amp;"")</f>
        <v/>
      </c>
      <c r="Z195" s="50" t="str">
        <f>IF($AB195="","",IF($AD195,Z$3,INDEX('ORDER Form'!$U$1:$U$355,$AB195))&amp;"")</f>
        <v/>
      </c>
      <c r="AB195" s="51" t="str">
        <f>IFERROR(MATCH(191,$AC$5:$AC$354,0)+5,"")</f>
        <v/>
      </c>
      <c r="AC195" s="51" t="str">
        <f>IF('ORDER Form'!$V196="OK",COUNTIF('ORDER Form'!$V$6:$V196,"OK"),"")</f>
        <v/>
      </c>
      <c r="AD195" s="51" t="str">
        <f>IF($AB195="","",(LEN(TRIM(INDEX('ORDER Form'!$O$1:$O$355,$AB195)))+LEN(TRIM(INDEX('ORDER Form'!$P$1:$P$355,$AB195)))+LEN(TRIM(INDEX('ORDER Form'!$Q$1:$Q$355,$AB195)))+LEN(TRIM(INDEX('ORDER Form'!$R$1:$R$355,$AB195)))+LEN(TRIM(INDEX('ORDER Form'!$S$1:$S$355,$AB195)))+LEN(TRIM(INDEX('ORDER Form'!$T$1:$T$355,$AB195)))+LEN(TRIM(INDEX('ORDER Form'!$U$1:$U$355,$AB195))))=0)</f>
        <v/>
      </c>
    </row>
    <row r="196" spans="1:30" ht="15" customHeight="1" x14ac:dyDescent="0.25">
      <c r="A196" s="50" t="str">
        <f>IF($AB196="","",IFERROR(IF(AND(INDEX('ORDER Form'!$N$1:$N$355,$AB196)="GB",LEFT(UPPER(TRIM(INDEX('ORDER Form'!$L$1:$L$355,$AB196))),2)="BT"),INDEX('ORDER Form'!$AC$1:$AC$355,$AB196),IFERROR(VLOOKUP(INDEX('ORDER Form'!$AC$1:$AC$355,$AB196)&amp;"|"&amp;INDEX('PRODUCT DATA'!$A$2:$A$58,MATCH(INDEX('ORDER Form'!$N$1:$N$355,$AB196),'PRODUCT DATA'!$B$2:$B$58,0)),'PRODUCT DATA'!$NO$2:$NP$25,2,FALSE()),INDEX('ORDER Form'!$AC$1:$AC$355,$AB196)))&amp;"",""))</f>
        <v/>
      </c>
      <c r="B196" s="49"/>
      <c r="C196" s="51" t="str">
        <f>IF($AB196="","",INDEX('ORDER Form'!$C$1:$C$355,$AB196))</f>
        <v/>
      </c>
      <c r="D196" s="49"/>
      <c r="E196" s="49"/>
      <c r="F196" s="49"/>
      <c r="G196" s="49"/>
      <c r="H196" s="49"/>
      <c r="I196" s="49"/>
      <c r="J196" s="50" t="str">
        <f>IF($AB196="","",INDEX('ORDER Form'!$D$1:$D$355,$AB196)&amp;"")</f>
        <v/>
      </c>
      <c r="K196" s="50" t="str">
        <f>IF($AB196="","",INDEX('ORDER Form'!$E$1:$E$355,$AB196)&amp;"")</f>
        <v/>
      </c>
      <c r="L196" s="50" t="str">
        <f>IF($AB196="","",INDEX('ORDER Form'!$F$1:$F$355,$AB196)&amp;"")</f>
        <v/>
      </c>
      <c r="M196" s="50" t="str">
        <f>IF($AB196="","",INDEX('ORDER Form'!$G$1:$G$355,$AB196)&amp;"")</f>
        <v/>
      </c>
      <c r="N196" s="50" t="str">
        <f>IF($AB196="","",INDEX('ORDER Form'!$H$1:$H$355,$AB196)&amp;"")</f>
        <v/>
      </c>
      <c r="O196" s="50" t="str">
        <f>IF($AB196="","",INDEX('ORDER Form'!$I$1:$I$355,$AB196)&amp;"")</f>
        <v/>
      </c>
      <c r="P196" s="50" t="str">
        <f>IF($AB196="","",INDEX('ORDER Form'!$J$1:$J$355,$AB196)&amp;"")</f>
        <v/>
      </c>
      <c r="Q196" s="50" t="str">
        <f>IF($AB196="","",INDEX('ORDER Form'!$AB$1:$AB$355,$AB196)&amp;"")</f>
        <v/>
      </c>
      <c r="R196" s="50" t="str">
        <f>IF($AB196="","",INDEX('ORDER Form'!$L$1:$L$355,$AB196)&amp;"")</f>
        <v/>
      </c>
      <c r="S196" s="50" t="str">
        <f>IF($AB196="","",INDEX('ORDER Form'!$N$1:$N$355,$AB196)&amp;"")</f>
        <v/>
      </c>
      <c r="T196" s="50" t="str">
        <f>IF($AB196="","",IF($AD196,T$3,INDEX('ORDER Form'!$O$1:$O$355,$AB196))&amp;"")</f>
        <v/>
      </c>
      <c r="U196" s="50" t="str">
        <f>IF($AB196="","",IF($AD196,U$3,INDEX('ORDER Form'!$P$1:$P$355,$AB196))&amp;"")</f>
        <v/>
      </c>
      <c r="V196" s="50" t="str">
        <f>IF($AB196="","",IF($AD196,V$3,INDEX('ORDER Form'!$Q$1:$Q$355,$AB196))&amp;"")</f>
        <v/>
      </c>
      <c r="W196" s="50" t="str">
        <f>IF($AB196="","",IF($AD196,W$3,INDEX('ORDER Form'!$R$1:$R$355,$AB196))&amp;"")</f>
        <v/>
      </c>
      <c r="X196" s="50" t="str">
        <f>IF($AB196="","",IF($AD196,X$3,INDEX('ORDER Form'!$S$1:$S$355,$AB196))&amp;"")</f>
        <v/>
      </c>
      <c r="Y196" s="50" t="str">
        <f>IF($AB196="","",IF($AD196,Y$3,INDEX('ORDER Form'!$T$1:$T$355,$AB196))&amp;"")</f>
        <v/>
      </c>
      <c r="Z196" s="50" t="str">
        <f>IF($AB196="","",IF($AD196,Z$3,INDEX('ORDER Form'!$U$1:$U$355,$AB196))&amp;"")</f>
        <v/>
      </c>
      <c r="AB196" s="51" t="str">
        <f>IFERROR(MATCH(192,$AC$5:$AC$354,0)+5,"")</f>
        <v/>
      </c>
      <c r="AC196" s="51" t="str">
        <f>IF('ORDER Form'!$V197="OK",COUNTIF('ORDER Form'!$V$6:$V197,"OK"),"")</f>
        <v/>
      </c>
      <c r="AD196" s="51" t="str">
        <f>IF($AB196="","",(LEN(TRIM(INDEX('ORDER Form'!$O$1:$O$355,$AB196)))+LEN(TRIM(INDEX('ORDER Form'!$P$1:$P$355,$AB196)))+LEN(TRIM(INDEX('ORDER Form'!$Q$1:$Q$355,$AB196)))+LEN(TRIM(INDEX('ORDER Form'!$R$1:$R$355,$AB196)))+LEN(TRIM(INDEX('ORDER Form'!$S$1:$S$355,$AB196)))+LEN(TRIM(INDEX('ORDER Form'!$T$1:$T$355,$AB196)))+LEN(TRIM(INDEX('ORDER Form'!$U$1:$U$355,$AB196))))=0)</f>
        <v/>
      </c>
    </row>
    <row r="197" spans="1:30" ht="15" customHeight="1" x14ac:dyDescent="0.25">
      <c r="A197" s="50" t="str">
        <f>IF($AB197="","",IFERROR(IF(AND(INDEX('ORDER Form'!$N$1:$N$355,$AB197)="GB",LEFT(UPPER(TRIM(INDEX('ORDER Form'!$L$1:$L$355,$AB197))),2)="BT"),INDEX('ORDER Form'!$AC$1:$AC$355,$AB197),IFERROR(VLOOKUP(INDEX('ORDER Form'!$AC$1:$AC$355,$AB197)&amp;"|"&amp;INDEX('PRODUCT DATA'!$A$2:$A$58,MATCH(INDEX('ORDER Form'!$N$1:$N$355,$AB197),'PRODUCT DATA'!$B$2:$B$58,0)),'PRODUCT DATA'!$NO$2:$NP$25,2,FALSE()),INDEX('ORDER Form'!$AC$1:$AC$355,$AB197)))&amp;"",""))</f>
        <v/>
      </c>
      <c r="B197" s="49"/>
      <c r="C197" s="51" t="str">
        <f>IF($AB197="","",INDEX('ORDER Form'!$C$1:$C$355,$AB197))</f>
        <v/>
      </c>
      <c r="D197" s="49"/>
      <c r="E197" s="49"/>
      <c r="F197" s="49"/>
      <c r="G197" s="49"/>
      <c r="H197" s="49"/>
      <c r="I197" s="49"/>
      <c r="J197" s="50" t="str">
        <f>IF($AB197="","",INDEX('ORDER Form'!$D$1:$D$355,$AB197)&amp;"")</f>
        <v/>
      </c>
      <c r="K197" s="50" t="str">
        <f>IF($AB197="","",INDEX('ORDER Form'!$E$1:$E$355,$AB197)&amp;"")</f>
        <v/>
      </c>
      <c r="L197" s="50" t="str">
        <f>IF($AB197="","",INDEX('ORDER Form'!$F$1:$F$355,$AB197)&amp;"")</f>
        <v/>
      </c>
      <c r="M197" s="50" t="str">
        <f>IF($AB197="","",INDEX('ORDER Form'!$G$1:$G$355,$AB197)&amp;"")</f>
        <v/>
      </c>
      <c r="N197" s="50" t="str">
        <f>IF($AB197="","",INDEX('ORDER Form'!$H$1:$H$355,$AB197)&amp;"")</f>
        <v/>
      </c>
      <c r="O197" s="50" t="str">
        <f>IF($AB197="","",INDEX('ORDER Form'!$I$1:$I$355,$AB197)&amp;"")</f>
        <v/>
      </c>
      <c r="P197" s="50" t="str">
        <f>IF($AB197="","",INDEX('ORDER Form'!$J$1:$J$355,$AB197)&amp;"")</f>
        <v/>
      </c>
      <c r="Q197" s="50" t="str">
        <f>IF($AB197="","",INDEX('ORDER Form'!$AB$1:$AB$355,$AB197)&amp;"")</f>
        <v/>
      </c>
      <c r="R197" s="50" t="str">
        <f>IF($AB197="","",INDEX('ORDER Form'!$L$1:$L$355,$AB197)&amp;"")</f>
        <v/>
      </c>
      <c r="S197" s="50" t="str">
        <f>IF($AB197="","",INDEX('ORDER Form'!$N$1:$N$355,$AB197)&amp;"")</f>
        <v/>
      </c>
      <c r="T197" s="50" t="str">
        <f>IF($AB197="","",IF($AD197,T$3,INDEX('ORDER Form'!$O$1:$O$355,$AB197))&amp;"")</f>
        <v/>
      </c>
      <c r="U197" s="50" t="str">
        <f>IF($AB197="","",IF($AD197,U$3,INDEX('ORDER Form'!$P$1:$P$355,$AB197))&amp;"")</f>
        <v/>
      </c>
      <c r="V197" s="50" t="str">
        <f>IF($AB197="","",IF($AD197,V$3,INDEX('ORDER Form'!$Q$1:$Q$355,$AB197))&amp;"")</f>
        <v/>
      </c>
      <c r="W197" s="50" t="str">
        <f>IF($AB197="","",IF($AD197,W$3,INDEX('ORDER Form'!$R$1:$R$355,$AB197))&amp;"")</f>
        <v/>
      </c>
      <c r="X197" s="50" t="str">
        <f>IF($AB197="","",IF($AD197,X$3,INDEX('ORDER Form'!$S$1:$S$355,$AB197))&amp;"")</f>
        <v/>
      </c>
      <c r="Y197" s="50" t="str">
        <f>IF($AB197="","",IF($AD197,Y$3,INDEX('ORDER Form'!$T$1:$T$355,$AB197))&amp;"")</f>
        <v/>
      </c>
      <c r="Z197" s="50" t="str">
        <f>IF($AB197="","",IF($AD197,Z$3,INDEX('ORDER Form'!$U$1:$U$355,$AB197))&amp;"")</f>
        <v/>
      </c>
      <c r="AB197" s="51" t="str">
        <f>IFERROR(MATCH(193,$AC$5:$AC$354,0)+5,"")</f>
        <v/>
      </c>
      <c r="AC197" s="51" t="str">
        <f>IF('ORDER Form'!$V198="OK",COUNTIF('ORDER Form'!$V$6:$V198,"OK"),"")</f>
        <v/>
      </c>
      <c r="AD197" s="51" t="str">
        <f>IF($AB197="","",(LEN(TRIM(INDEX('ORDER Form'!$O$1:$O$355,$AB197)))+LEN(TRIM(INDEX('ORDER Form'!$P$1:$P$355,$AB197)))+LEN(TRIM(INDEX('ORDER Form'!$Q$1:$Q$355,$AB197)))+LEN(TRIM(INDEX('ORDER Form'!$R$1:$R$355,$AB197)))+LEN(TRIM(INDEX('ORDER Form'!$S$1:$S$355,$AB197)))+LEN(TRIM(INDEX('ORDER Form'!$T$1:$T$355,$AB197)))+LEN(TRIM(INDEX('ORDER Form'!$U$1:$U$355,$AB197))))=0)</f>
        <v/>
      </c>
    </row>
    <row r="198" spans="1:30" ht="15" customHeight="1" x14ac:dyDescent="0.25">
      <c r="A198" s="50" t="str">
        <f>IF($AB198="","",IFERROR(IF(AND(INDEX('ORDER Form'!$N$1:$N$355,$AB198)="GB",LEFT(UPPER(TRIM(INDEX('ORDER Form'!$L$1:$L$355,$AB198))),2)="BT"),INDEX('ORDER Form'!$AC$1:$AC$355,$AB198),IFERROR(VLOOKUP(INDEX('ORDER Form'!$AC$1:$AC$355,$AB198)&amp;"|"&amp;INDEX('PRODUCT DATA'!$A$2:$A$58,MATCH(INDEX('ORDER Form'!$N$1:$N$355,$AB198),'PRODUCT DATA'!$B$2:$B$58,0)),'PRODUCT DATA'!$NO$2:$NP$25,2,FALSE()),INDEX('ORDER Form'!$AC$1:$AC$355,$AB198)))&amp;"",""))</f>
        <v/>
      </c>
      <c r="B198" s="49"/>
      <c r="C198" s="51" t="str">
        <f>IF($AB198="","",INDEX('ORDER Form'!$C$1:$C$355,$AB198))</f>
        <v/>
      </c>
      <c r="D198" s="49"/>
      <c r="E198" s="49"/>
      <c r="F198" s="49"/>
      <c r="G198" s="49"/>
      <c r="H198" s="49"/>
      <c r="I198" s="49"/>
      <c r="J198" s="50" t="str">
        <f>IF($AB198="","",INDEX('ORDER Form'!$D$1:$D$355,$AB198)&amp;"")</f>
        <v/>
      </c>
      <c r="K198" s="50" t="str">
        <f>IF($AB198="","",INDEX('ORDER Form'!$E$1:$E$355,$AB198)&amp;"")</f>
        <v/>
      </c>
      <c r="L198" s="50" t="str">
        <f>IF($AB198="","",INDEX('ORDER Form'!$F$1:$F$355,$AB198)&amp;"")</f>
        <v/>
      </c>
      <c r="M198" s="50" t="str">
        <f>IF($AB198="","",INDEX('ORDER Form'!$G$1:$G$355,$AB198)&amp;"")</f>
        <v/>
      </c>
      <c r="N198" s="50" t="str">
        <f>IF($AB198="","",INDEX('ORDER Form'!$H$1:$H$355,$AB198)&amp;"")</f>
        <v/>
      </c>
      <c r="O198" s="50" t="str">
        <f>IF($AB198="","",INDEX('ORDER Form'!$I$1:$I$355,$AB198)&amp;"")</f>
        <v/>
      </c>
      <c r="P198" s="50" t="str">
        <f>IF($AB198="","",INDEX('ORDER Form'!$J$1:$J$355,$AB198)&amp;"")</f>
        <v/>
      </c>
      <c r="Q198" s="50" t="str">
        <f>IF($AB198="","",INDEX('ORDER Form'!$AB$1:$AB$355,$AB198)&amp;"")</f>
        <v/>
      </c>
      <c r="R198" s="50" t="str">
        <f>IF($AB198="","",INDEX('ORDER Form'!$L$1:$L$355,$AB198)&amp;"")</f>
        <v/>
      </c>
      <c r="S198" s="50" t="str">
        <f>IF($AB198="","",INDEX('ORDER Form'!$N$1:$N$355,$AB198)&amp;"")</f>
        <v/>
      </c>
      <c r="T198" s="50" t="str">
        <f>IF($AB198="","",IF($AD198,T$3,INDEX('ORDER Form'!$O$1:$O$355,$AB198))&amp;"")</f>
        <v/>
      </c>
      <c r="U198" s="50" t="str">
        <f>IF($AB198="","",IF($AD198,U$3,INDEX('ORDER Form'!$P$1:$P$355,$AB198))&amp;"")</f>
        <v/>
      </c>
      <c r="V198" s="50" t="str">
        <f>IF($AB198="","",IF($AD198,V$3,INDEX('ORDER Form'!$Q$1:$Q$355,$AB198))&amp;"")</f>
        <v/>
      </c>
      <c r="W198" s="50" t="str">
        <f>IF($AB198="","",IF($AD198,W$3,INDEX('ORDER Form'!$R$1:$R$355,$AB198))&amp;"")</f>
        <v/>
      </c>
      <c r="X198" s="50" t="str">
        <f>IF($AB198="","",IF($AD198,X$3,INDEX('ORDER Form'!$S$1:$S$355,$AB198))&amp;"")</f>
        <v/>
      </c>
      <c r="Y198" s="50" t="str">
        <f>IF($AB198="","",IF($AD198,Y$3,INDEX('ORDER Form'!$T$1:$T$355,$AB198))&amp;"")</f>
        <v/>
      </c>
      <c r="Z198" s="50" t="str">
        <f>IF($AB198="","",IF($AD198,Z$3,INDEX('ORDER Form'!$U$1:$U$355,$AB198))&amp;"")</f>
        <v/>
      </c>
      <c r="AB198" s="51" t="str">
        <f>IFERROR(MATCH(194,$AC$5:$AC$354,0)+5,"")</f>
        <v/>
      </c>
      <c r="AC198" s="51" t="str">
        <f>IF('ORDER Form'!$V199="OK",COUNTIF('ORDER Form'!$V$6:$V199,"OK"),"")</f>
        <v/>
      </c>
      <c r="AD198" s="51" t="str">
        <f>IF($AB198="","",(LEN(TRIM(INDEX('ORDER Form'!$O$1:$O$355,$AB198)))+LEN(TRIM(INDEX('ORDER Form'!$P$1:$P$355,$AB198)))+LEN(TRIM(INDEX('ORDER Form'!$Q$1:$Q$355,$AB198)))+LEN(TRIM(INDEX('ORDER Form'!$R$1:$R$355,$AB198)))+LEN(TRIM(INDEX('ORDER Form'!$S$1:$S$355,$AB198)))+LEN(TRIM(INDEX('ORDER Form'!$T$1:$T$355,$AB198)))+LEN(TRIM(INDEX('ORDER Form'!$U$1:$U$355,$AB198))))=0)</f>
        <v/>
      </c>
    </row>
    <row r="199" spans="1:30" ht="15" customHeight="1" x14ac:dyDescent="0.25">
      <c r="A199" s="50" t="str">
        <f>IF($AB199="","",IFERROR(IF(AND(INDEX('ORDER Form'!$N$1:$N$355,$AB199)="GB",LEFT(UPPER(TRIM(INDEX('ORDER Form'!$L$1:$L$355,$AB199))),2)="BT"),INDEX('ORDER Form'!$AC$1:$AC$355,$AB199),IFERROR(VLOOKUP(INDEX('ORDER Form'!$AC$1:$AC$355,$AB199)&amp;"|"&amp;INDEX('PRODUCT DATA'!$A$2:$A$58,MATCH(INDEX('ORDER Form'!$N$1:$N$355,$AB199),'PRODUCT DATA'!$B$2:$B$58,0)),'PRODUCT DATA'!$NO$2:$NP$25,2,FALSE()),INDEX('ORDER Form'!$AC$1:$AC$355,$AB199)))&amp;"",""))</f>
        <v/>
      </c>
      <c r="B199" s="49"/>
      <c r="C199" s="51" t="str">
        <f>IF($AB199="","",INDEX('ORDER Form'!$C$1:$C$355,$AB199))</f>
        <v/>
      </c>
      <c r="D199" s="49"/>
      <c r="E199" s="49"/>
      <c r="F199" s="49"/>
      <c r="G199" s="49"/>
      <c r="H199" s="49"/>
      <c r="I199" s="49"/>
      <c r="J199" s="50" t="str">
        <f>IF($AB199="","",INDEX('ORDER Form'!$D$1:$D$355,$AB199)&amp;"")</f>
        <v/>
      </c>
      <c r="K199" s="50" t="str">
        <f>IF($AB199="","",INDEX('ORDER Form'!$E$1:$E$355,$AB199)&amp;"")</f>
        <v/>
      </c>
      <c r="L199" s="50" t="str">
        <f>IF($AB199="","",INDEX('ORDER Form'!$F$1:$F$355,$AB199)&amp;"")</f>
        <v/>
      </c>
      <c r="M199" s="50" t="str">
        <f>IF($AB199="","",INDEX('ORDER Form'!$G$1:$G$355,$AB199)&amp;"")</f>
        <v/>
      </c>
      <c r="N199" s="50" t="str">
        <f>IF($AB199="","",INDEX('ORDER Form'!$H$1:$H$355,$AB199)&amp;"")</f>
        <v/>
      </c>
      <c r="O199" s="50" t="str">
        <f>IF($AB199="","",INDEX('ORDER Form'!$I$1:$I$355,$AB199)&amp;"")</f>
        <v/>
      </c>
      <c r="P199" s="50" t="str">
        <f>IF($AB199="","",INDEX('ORDER Form'!$J$1:$J$355,$AB199)&amp;"")</f>
        <v/>
      </c>
      <c r="Q199" s="50" t="str">
        <f>IF($AB199="","",INDEX('ORDER Form'!$AB$1:$AB$355,$AB199)&amp;"")</f>
        <v/>
      </c>
      <c r="R199" s="50" t="str">
        <f>IF($AB199="","",INDEX('ORDER Form'!$L$1:$L$355,$AB199)&amp;"")</f>
        <v/>
      </c>
      <c r="S199" s="50" t="str">
        <f>IF($AB199="","",INDEX('ORDER Form'!$N$1:$N$355,$AB199)&amp;"")</f>
        <v/>
      </c>
      <c r="T199" s="50" t="str">
        <f>IF($AB199="","",IF($AD199,T$3,INDEX('ORDER Form'!$O$1:$O$355,$AB199))&amp;"")</f>
        <v/>
      </c>
      <c r="U199" s="50" t="str">
        <f>IF($AB199="","",IF($AD199,U$3,INDEX('ORDER Form'!$P$1:$P$355,$AB199))&amp;"")</f>
        <v/>
      </c>
      <c r="V199" s="50" t="str">
        <f>IF($AB199="","",IF($AD199,V$3,INDEX('ORDER Form'!$Q$1:$Q$355,$AB199))&amp;"")</f>
        <v/>
      </c>
      <c r="W199" s="50" t="str">
        <f>IF($AB199="","",IF($AD199,W$3,INDEX('ORDER Form'!$R$1:$R$355,$AB199))&amp;"")</f>
        <v/>
      </c>
      <c r="X199" s="50" t="str">
        <f>IF($AB199="","",IF($AD199,X$3,INDEX('ORDER Form'!$S$1:$S$355,$AB199))&amp;"")</f>
        <v/>
      </c>
      <c r="Y199" s="50" t="str">
        <f>IF($AB199="","",IF($AD199,Y$3,INDEX('ORDER Form'!$T$1:$T$355,$AB199))&amp;"")</f>
        <v/>
      </c>
      <c r="Z199" s="50" t="str">
        <f>IF($AB199="","",IF($AD199,Z$3,INDEX('ORDER Form'!$U$1:$U$355,$AB199))&amp;"")</f>
        <v/>
      </c>
      <c r="AB199" s="51" t="str">
        <f>IFERROR(MATCH(195,$AC$5:$AC$354,0)+5,"")</f>
        <v/>
      </c>
      <c r="AC199" s="51" t="str">
        <f>IF('ORDER Form'!$V200="OK",COUNTIF('ORDER Form'!$V$6:$V200,"OK"),"")</f>
        <v/>
      </c>
      <c r="AD199" s="51" t="str">
        <f>IF($AB199="","",(LEN(TRIM(INDEX('ORDER Form'!$O$1:$O$355,$AB199)))+LEN(TRIM(INDEX('ORDER Form'!$P$1:$P$355,$AB199)))+LEN(TRIM(INDEX('ORDER Form'!$Q$1:$Q$355,$AB199)))+LEN(TRIM(INDEX('ORDER Form'!$R$1:$R$355,$AB199)))+LEN(TRIM(INDEX('ORDER Form'!$S$1:$S$355,$AB199)))+LEN(TRIM(INDEX('ORDER Form'!$T$1:$T$355,$AB199)))+LEN(TRIM(INDEX('ORDER Form'!$U$1:$U$355,$AB199))))=0)</f>
        <v/>
      </c>
    </row>
    <row r="200" spans="1:30" ht="15" customHeight="1" x14ac:dyDescent="0.25">
      <c r="A200" s="50" t="str">
        <f>IF($AB200="","",IFERROR(IF(AND(INDEX('ORDER Form'!$N$1:$N$355,$AB200)="GB",LEFT(UPPER(TRIM(INDEX('ORDER Form'!$L$1:$L$355,$AB200))),2)="BT"),INDEX('ORDER Form'!$AC$1:$AC$355,$AB200),IFERROR(VLOOKUP(INDEX('ORDER Form'!$AC$1:$AC$355,$AB200)&amp;"|"&amp;INDEX('PRODUCT DATA'!$A$2:$A$58,MATCH(INDEX('ORDER Form'!$N$1:$N$355,$AB200),'PRODUCT DATA'!$B$2:$B$58,0)),'PRODUCT DATA'!$NO$2:$NP$25,2,FALSE()),INDEX('ORDER Form'!$AC$1:$AC$355,$AB200)))&amp;"",""))</f>
        <v/>
      </c>
      <c r="B200" s="49"/>
      <c r="C200" s="51" t="str">
        <f>IF($AB200="","",INDEX('ORDER Form'!$C$1:$C$355,$AB200))</f>
        <v/>
      </c>
      <c r="D200" s="49"/>
      <c r="E200" s="49"/>
      <c r="F200" s="49"/>
      <c r="G200" s="49"/>
      <c r="H200" s="49"/>
      <c r="I200" s="49"/>
      <c r="J200" s="50" t="str">
        <f>IF($AB200="","",INDEX('ORDER Form'!$D$1:$D$355,$AB200)&amp;"")</f>
        <v/>
      </c>
      <c r="K200" s="50" t="str">
        <f>IF($AB200="","",INDEX('ORDER Form'!$E$1:$E$355,$AB200)&amp;"")</f>
        <v/>
      </c>
      <c r="L200" s="50" t="str">
        <f>IF($AB200="","",INDEX('ORDER Form'!$F$1:$F$355,$AB200)&amp;"")</f>
        <v/>
      </c>
      <c r="M200" s="50" t="str">
        <f>IF($AB200="","",INDEX('ORDER Form'!$G$1:$G$355,$AB200)&amp;"")</f>
        <v/>
      </c>
      <c r="N200" s="50" t="str">
        <f>IF($AB200="","",INDEX('ORDER Form'!$H$1:$H$355,$AB200)&amp;"")</f>
        <v/>
      </c>
      <c r="O200" s="50" t="str">
        <f>IF($AB200="","",INDEX('ORDER Form'!$I$1:$I$355,$AB200)&amp;"")</f>
        <v/>
      </c>
      <c r="P200" s="50" t="str">
        <f>IF($AB200="","",INDEX('ORDER Form'!$J$1:$J$355,$AB200)&amp;"")</f>
        <v/>
      </c>
      <c r="Q200" s="50" t="str">
        <f>IF($AB200="","",INDEX('ORDER Form'!$AB$1:$AB$355,$AB200)&amp;"")</f>
        <v/>
      </c>
      <c r="R200" s="50" t="str">
        <f>IF($AB200="","",INDEX('ORDER Form'!$L$1:$L$355,$AB200)&amp;"")</f>
        <v/>
      </c>
      <c r="S200" s="50" t="str">
        <f>IF($AB200="","",INDEX('ORDER Form'!$N$1:$N$355,$AB200)&amp;"")</f>
        <v/>
      </c>
      <c r="T200" s="50" t="str">
        <f>IF($AB200="","",IF($AD200,T$3,INDEX('ORDER Form'!$O$1:$O$355,$AB200))&amp;"")</f>
        <v/>
      </c>
      <c r="U200" s="50" t="str">
        <f>IF($AB200="","",IF($AD200,U$3,INDEX('ORDER Form'!$P$1:$P$355,$AB200))&amp;"")</f>
        <v/>
      </c>
      <c r="V200" s="50" t="str">
        <f>IF($AB200="","",IF($AD200,V$3,INDEX('ORDER Form'!$Q$1:$Q$355,$AB200))&amp;"")</f>
        <v/>
      </c>
      <c r="W200" s="50" t="str">
        <f>IF($AB200="","",IF($AD200,W$3,INDEX('ORDER Form'!$R$1:$R$355,$AB200))&amp;"")</f>
        <v/>
      </c>
      <c r="X200" s="50" t="str">
        <f>IF($AB200="","",IF($AD200,X$3,INDEX('ORDER Form'!$S$1:$S$355,$AB200))&amp;"")</f>
        <v/>
      </c>
      <c r="Y200" s="50" t="str">
        <f>IF($AB200="","",IF($AD200,Y$3,INDEX('ORDER Form'!$T$1:$T$355,$AB200))&amp;"")</f>
        <v/>
      </c>
      <c r="Z200" s="50" t="str">
        <f>IF($AB200="","",IF($AD200,Z$3,INDEX('ORDER Form'!$U$1:$U$355,$AB200))&amp;"")</f>
        <v/>
      </c>
      <c r="AB200" s="51" t="str">
        <f>IFERROR(MATCH(196,$AC$5:$AC$354,0)+5,"")</f>
        <v/>
      </c>
      <c r="AC200" s="51" t="str">
        <f>IF('ORDER Form'!$V201="OK",COUNTIF('ORDER Form'!$V$6:$V201,"OK"),"")</f>
        <v/>
      </c>
      <c r="AD200" s="51" t="str">
        <f>IF($AB200="","",(LEN(TRIM(INDEX('ORDER Form'!$O$1:$O$355,$AB200)))+LEN(TRIM(INDEX('ORDER Form'!$P$1:$P$355,$AB200)))+LEN(TRIM(INDEX('ORDER Form'!$Q$1:$Q$355,$AB200)))+LEN(TRIM(INDEX('ORDER Form'!$R$1:$R$355,$AB200)))+LEN(TRIM(INDEX('ORDER Form'!$S$1:$S$355,$AB200)))+LEN(TRIM(INDEX('ORDER Form'!$T$1:$T$355,$AB200)))+LEN(TRIM(INDEX('ORDER Form'!$U$1:$U$355,$AB200))))=0)</f>
        <v/>
      </c>
    </row>
    <row r="201" spans="1:30" ht="15" customHeight="1" x14ac:dyDescent="0.25">
      <c r="A201" s="50" t="str">
        <f>IF($AB201="","",IFERROR(IF(AND(INDEX('ORDER Form'!$N$1:$N$355,$AB201)="GB",LEFT(UPPER(TRIM(INDEX('ORDER Form'!$L$1:$L$355,$AB201))),2)="BT"),INDEX('ORDER Form'!$AC$1:$AC$355,$AB201),IFERROR(VLOOKUP(INDEX('ORDER Form'!$AC$1:$AC$355,$AB201)&amp;"|"&amp;INDEX('PRODUCT DATA'!$A$2:$A$58,MATCH(INDEX('ORDER Form'!$N$1:$N$355,$AB201),'PRODUCT DATA'!$B$2:$B$58,0)),'PRODUCT DATA'!$NO$2:$NP$25,2,FALSE()),INDEX('ORDER Form'!$AC$1:$AC$355,$AB201)))&amp;"",""))</f>
        <v/>
      </c>
      <c r="B201" s="49"/>
      <c r="C201" s="51" t="str">
        <f>IF($AB201="","",INDEX('ORDER Form'!$C$1:$C$355,$AB201))</f>
        <v/>
      </c>
      <c r="D201" s="49"/>
      <c r="E201" s="49"/>
      <c r="F201" s="49"/>
      <c r="G201" s="49"/>
      <c r="H201" s="49"/>
      <c r="I201" s="49"/>
      <c r="J201" s="50" t="str">
        <f>IF($AB201="","",INDEX('ORDER Form'!$D$1:$D$355,$AB201)&amp;"")</f>
        <v/>
      </c>
      <c r="K201" s="50" t="str">
        <f>IF($AB201="","",INDEX('ORDER Form'!$E$1:$E$355,$AB201)&amp;"")</f>
        <v/>
      </c>
      <c r="L201" s="50" t="str">
        <f>IF($AB201="","",INDEX('ORDER Form'!$F$1:$F$355,$AB201)&amp;"")</f>
        <v/>
      </c>
      <c r="M201" s="50" t="str">
        <f>IF($AB201="","",INDEX('ORDER Form'!$G$1:$G$355,$AB201)&amp;"")</f>
        <v/>
      </c>
      <c r="N201" s="50" t="str">
        <f>IF($AB201="","",INDEX('ORDER Form'!$H$1:$H$355,$AB201)&amp;"")</f>
        <v/>
      </c>
      <c r="O201" s="50" t="str">
        <f>IF($AB201="","",INDEX('ORDER Form'!$I$1:$I$355,$AB201)&amp;"")</f>
        <v/>
      </c>
      <c r="P201" s="50" t="str">
        <f>IF($AB201="","",INDEX('ORDER Form'!$J$1:$J$355,$AB201)&amp;"")</f>
        <v/>
      </c>
      <c r="Q201" s="50" t="str">
        <f>IF($AB201="","",INDEX('ORDER Form'!$AB$1:$AB$355,$AB201)&amp;"")</f>
        <v/>
      </c>
      <c r="R201" s="50" t="str">
        <f>IF($AB201="","",INDEX('ORDER Form'!$L$1:$L$355,$AB201)&amp;"")</f>
        <v/>
      </c>
      <c r="S201" s="50" t="str">
        <f>IF($AB201="","",INDEX('ORDER Form'!$N$1:$N$355,$AB201)&amp;"")</f>
        <v/>
      </c>
      <c r="T201" s="50" t="str">
        <f>IF($AB201="","",IF($AD201,T$3,INDEX('ORDER Form'!$O$1:$O$355,$AB201))&amp;"")</f>
        <v/>
      </c>
      <c r="U201" s="50" t="str">
        <f>IF($AB201="","",IF($AD201,U$3,INDEX('ORDER Form'!$P$1:$P$355,$AB201))&amp;"")</f>
        <v/>
      </c>
      <c r="V201" s="50" t="str">
        <f>IF($AB201="","",IF($AD201,V$3,INDEX('ORDER Form'!$Q$1:$Q$355,$AB201))&amp;"")</f>
        <v/>
      </c>
      <c r="W201" s="50" t="str">
        <f>IF($AB201="","",IF($AD201,W$3,INDEX('ORDER Form'!$R$1:$R$355,$AB201))&amp;"")</f>
        <v/>
      </c>
      <c r="X201" s="50" t="str">
        <f>IF($AB201="","",IF($AD201,X$3,INDEX('ORDER Form'!$S$1:$S$355,$AB201))&amp;"")</f>
        <v/>
      </c>
      <c r="Y201" s="50" t="str">
        <f>IF($AB201="","",IF($AD201,Y$3,INDEX('ORDER Form'!$T$1:$T$355,$AB201))&amp;"")</f>
        <v/>
      </c>
      <c r="Z201" s="50" t="str">
        <f>IF($AB201="","",IF($AD201,Z$3,INDEX('ORDER Form'!$U$1:$U$355,$AB201))&amp;"")</f>
        <v/>
      </c>
      <c r="AB201" s="51" t="str">
        <f>IFERROR(MATCH(197,$AC$5:$AC$354,0)+5,"")</f>
        <v/>
      </c>
      <c r="AC201" s="51" t="str">
        <f>IF('ORDER Form'!$V202="OK",COUNTIF('ORDER Form'!$V$6:$V202,"OK"),"")</f>
        <v/>
      </c>
      <c r="AD201" s="51" t="str">
        <f>IF($AB201="","",(LEN(TRIM(INDEX('ORDER Form'!$O$1:$O$355,$AB201)))+LEN(TRIM(INDEX('ORDER Form'!$P$1:$P$355,$AB201)))+LEN(TRIM(INDEX('ORDER Form'!$Q$1:$Q$355,$AB201)))+LEN(TRIM(INDEX('ORDER Form'!$R$1:$R$355,$AB201)))+LEN(TRIM(INDEX('ORDER Form'!$S$1:$S$355,$AB201)))+LEN(TRIM(INDEX('ORDER Form'!$T$1:$T$355,$AB201)))+LEN(TRIM(INDEX('ORDER Form'!$U$1:$U$355,$AB201))))=0)</f>
        <v/>
      </c>
    </row>
    <row r="202" spans="1:30" ht="15" customHeight="1" x14ac:dyDescent="0.25">
      <c r="A202" s="50" t="str">
        <f>IF($AB202="","",IFERROR(IF(AND(INDEX('ORDER Form'!$N$1:$N$355,$AB202)="GB",LEFT(UPPER(TRIM(INDEX('ORDER Form'!$L$1:$L$355,$AB202))),2)="BT"),INDEX('ORDER Form'!$AC$1:$AC$355,$AB202),IFERROR(VLOOKUP(INDEX('ORDER Form'!$AC$1:$AC$355,$AB202)&amp;"|"&amp;INDEX('PRODUCT DATA'!$A$2:$A$58,MATCH(INDEX('ORDER Form'!$N$1:$N$355,$AB202),'PRODUCT DATA'!$B$2:$B$58,0)),'PRODUCT DATA'!$NO$2:$NP$25,2,FALSE()),INDEX('ORDER Form'!$AC$1:$AC$355,$AB202)))&amp;"",""))</f>
        <v/>
      </c>
      <c r="B202" s="49"/>
      <c r="C202" s="51" t="str">
        <f>IF($AB202="","",INDEX('ORDER Form'!$C$1:$C$355,$AB202))</f>
        <v/>
      </c>
      <c r="D202" s="49"/>
      <c r="E202" s="49"/>
      <c r="F202" s="49"/>
      <c r="G202" s="49"/>
      <c r="H202" s="49"/>
      <c r="I202" s="49"/>
      <c r="J202" s="50" t="str">
        <f>IF($AB202="","",INDEX('ORDER Form'!$D$1:$D$355,$AB202)&amp;"")</f>
        <v/>
      </c>
      <c r="K202" s="50" t="str">
        <f>IF($AB202="","",INDEX('ORDER Form'!$E$1:$E$355,$AB202)&amp;"")</f>
        <v/>
      </c>
      <c r="L202" s="50" t="str">
        <f>IF($AB202="","",INDEX('ORDER Form'!$F$1:$F$355,$AB202)&amp;"")</f>
        <v/>
      </c>
      <c r="M202" s="50" t="str">
        <f>IF($AB202="","",INDEX('ORDER Form'!$G$1:$G$355,$AB202)&amp;"")</f>
        <v/>
      </c>
      <c r="N202" s="50" t="str">
        <f>IF($AB202="","",INDEX('ORDER Form'!$H$1:$H$355,$AB202)&amp;"")</f>
        <v/>
      </c>
      <c r="O202" s="50" t="str">
        <f>IF($AB202="","",INDEX('ORDER Form'!$I$1:$I$355,$AB202)&amp;"")</f>
        <v/>
      </c>
      <c r="P202" s="50" t="str">
        <f>IF($AB202="","",INDEX('ORDER Form'!$J$1:$J$355,$AB202)&amp;"")</f>
        <v/>
      </c>
      <c r="Q202" s="50" t="str">
        <f>IF($AB202="","",INDEX('ORDER Form'!$AB$1:$AB$355,$AB202)&amp;"")</f>
        <v/>
      </c>
      <c r="R202" s="50" t="str">
        <f>IF($AB202="","",INDEX('ORDER Form'!$L$1:$L$355,$AB202)&amp;"")</f>
        <v/>
      </c>
      <c r="S202" s="50" t="str">
        <f>IF($AB202="","",INDEX('ORDER Form'!$N$1:$N$355,$AB202)&amp;"")</f>
        <v/>
      </c>
      <c r="T202" s="50" t="str">
        <f>IF($AB202="","",IF($AD202,T$3,INDEX('ORDER Form'!$O$1:$O$355,$AB202))&amp;"")</f>
        <v/>
      </c>
      <c r="U202" s="50" t="str">
        <f>IF($AB202="","",IF($AD202,U$3,INDEX('ORDER Form'!$P$1:$P$355,$AB202))&amp;"")</f>
        <v/>
      </c>
      <c r="V202" s="50" t="str">
        <f>IF($AB202="","",IF($AD202,V$3,INDEX('ORDER Form'!$Q$1:$Q$355,$AB202))&amp;"")</f>
        <v/>
      </c>
      <c r="W202" s="50" t="str">
        <f>IF($AB202="","",IF($AD202,W$3,INDEX('ORDER Form'!$R$1:$R$355,$AB202))&amp;"")</f>
        <v/>
      </c>
      <c r="X202" s="50" t="str">
        <f>IF($AB202="","",IF($AD202,X$3,INDEX('ORDER Form'!$S$1:$S$355,$AB202))&amp;"")</f>
        <v/>
      </c>
      <c r="Y202" s="50" t="str">
        <f>IF($AB202="","",IF($AD202,Y$3,INDEX('ORDER Form'!$T$1:$T$355,$AB202))&amp;"")</f>
        <v/>
      </c>
      <c r="Z202" s="50" t="str">
        <f>IF($AB202="","",IF($AD202,Z$3,INDEX('ORDER Form'!$U$1:$U$355,$AB202))&amp;"")</f>
        <v/>
      </c>
      <c r="AB202" s="51" t="str">
        <f>IFERROR(MATCH(198,$AC$5:$AC$354,0)+5,"")</f>
        <v/>
      </c>
      <c r="AC202" s="51" t="str">
        <f>IF('ORDER Form'!$V203="OK",COUNTIF('ORDER Form'!$V$6:$V203,"OK"),"")</f>
        <v/>
      </c>
      <c r="AD202" s="51" t="str">
        <f>IF($AB202="","",(LEN(TRIM(INDEX('ORDER Form'!$O$1:$O$355,$AB202)))+LEN(TRIM(INDEX('ORDER Form'!$P$1:$P$355,$AB202)))+LEN(TRIM(INDEX('ORDER Form'!$Q$1:$Q$355,$AB202)))+LEN(TRIM(INDEX('ORDER Form'!$R$1:$R$355,$AB202)))+LEN(TRIM(INDEX('ORDER Form'!$S$1:$S$355,$AB202)))+LEN(TRIM(INDEX('ORDER Form'!$T$1:$T$355,$AB202)))+LEN(TRIM(INDEX('ORDER Form'!$U$1:$U$355,$AB202))))=0)</f>
        <v/>
      </c>
    </row>
    <row r="203" spans="1:30" ht="15" customHeight="1" x14ac:dyDescent="0.25">
      <c r="A203" s="50" t="str">
        <f>IF($AB203="","",IFERROR(IF(AND(INDEX('ORDER Form'!$N$1:$N$355,$AB203)="GB",LEFT(UPPER(TRIM(INDEX('ORDER Form'!$L$1:$L$355,$AB203))),2)="BT"),INDEX('ORDER Form'!$AC$1:$AC$355,$AB203),IFERROR(VLOOKUP(INDEX('ORDER Form'!$AC$1:$AC$355,$AB203)&amp;"|"&amp;INDEX('PRODUCT DATA'!$A$2:$A$58,MATCH(INDEX('ORDER Form'!$N$1:$N$355,$AB203),'PRODUCT DATA'!$B$2:$B$58,0)),'PRODUCT DATA'!$NO$2:$NP$25,2,FALSE()),INDEX('ORDER Form'!$AC$1:$AC$355,$AB203)))&amp;"",""))</f>
        <v/>
      </c>
      <c r="B203" s="49"/>
      <c r="C203" s="51" t="str">
        <f>IF($AB203="","",INDEX('ORDER Form'!$C$1:$C$355,$AB203))</f>
        <v/>
      </c>
      <c r="D203" s="49"/>
      <c r="E203" s="49"/>
      <c r="F203" s="49"/>
      <c r="G203" s="49"/>
      <c r="H203" s="49"/>
      <c r="I203" s="49"/>
      <c r="J203" s="50" t="str">
        <f>IF($AB203="","",INDEX('ORDER Form'!$D$1:$D$355,$AB203)&amp;"")</f>
        <v/>
      </c>
      <c r="K203" s="50" t="str">
        <f>IF($AB203="","",INDEX('ORDER Form'!$E$1:$E$355,$AB203)&amp;"")</f>
        <v/>
      </c>
      <c r="L203" s="50" t="str">
        <f>IF($AB203="","",INDEX('ORDER Form'!$F$1:$F$355,$AB203)&amp;"")</f>
        <v/>
      </c>
      <c r="M203" s="50" t="str">
        <f>IF($AB203="","",INDEX('ORDER Form'!$G$1:$G$355,$AB203)&amp;"")</f>
        <v/>
      </c>
      <c r="N203" s="50" t="str">
        <f>IF($AB203="","",INDEX('ORDER Form'!$H$1:$H$355,$AB203)&amp;"")</f>
        <v/>
      </c>
      <c r="O203" s="50" t="str">
        <f>IF($AB203="","",INDEX('ORDER Form'!$I$1:$I$355,$AB203)&amp;"")</f>
        <v/>
      </c>
      <c r="P203" s="50" t="str">
        <f>IF($AB203="","",INDEX('ORDER Form'!$J$1:$J$355,$AB203)&amp;"")</f>
        <v/>
      </c>
      <c r="Q203" s="50" t="str">
        <f>IF($AB203="","",INDEX('ORDER Form'!$AB$1:$AB$355,$AB203)&amp;"")</f>
        <v/>
      </c>
      <c r="R203" s="50" t="str">
        <f>IF($AB203="","",INDEX('ORDER Form'!$L$1:$L$355,$AB203)&amp;"")</f>
        <v/>
      </c>
      <c r="S203" s="50" t="str">
        <f>IF($AB203="","",INDEX('ORDER Form'!$N$1:$N$355,$AB203)&amp;"")</f>
        <v/>
      </c>
      <c r="T203" s="50" t="str">
        <f>IF($AB203="","",IF($AD203,T$3,INDEX('ORDER Form'!$O$1:$O$355,$AB203))&amp;"")</f>
        <v/>
      </c>
      <c r="U203" s="50" t="str">
        <f>IF($AB203="","",IF($AD203,U$3,INDEX('ORDER Form'!$P$1:$P$355,$AB203))&amp;"")</f>
        <v/>
      </c>
      <c r="V203" s="50" t="str">
        <f>IF($AB203="","",IF($AD203,V$3,INDEX('ORDER Form'!$Q$1:$Q$355,$AB203))&amp;"")</f>
        <v/>
      </c>
      <c r="W203" s="50" t="str">
        <f>IF($AB203="","",IF($AD203,W$3,INDEX('ORDER Form'!$R$1:$R$355,$AB203))&amp;"")</f>
        <v/>
      </c>
      <c r="X203" s="50" t="str">
        <f>IF($AB203="","",IF($AD203,X$3,INDEX('ORDER Form'!$S$1:$S$355,$AB203))&amp;"")</f>
        <v/>
      </c>
      <c r="Y203" s="50" t="str">
        <f>IF($AB203="","",IF($AD203,Y$3,INDEX('ORDER Form'!$T$1:$T$355,$AB203))&amp;"")</f>
        <v/>
      </c>
      <c r="Z203" s="50" t="str">
        <f>IF($AB203="","",IF($AD203,Z$3,INDEX('ORDER Form'!$U$1:$U$355,$AB203))&amp;"")</f>
        <v/>
      </c>
      <c r="AB203" s="51" t="str">
        <f>IFERROR(MATCH(199,$AC$5:$AC$354,0)+5,"")</f>
        <v/>
      </c>
      <c r="AC203" s="51" t="str">
        <f>IF('ORDER Form'!$V204="OK",COUNTIF('ORDER Form'!$V$6:$V204,"OK"),"")</f>
        <v/>
      </c>
      <c r="AD203" s="51" t="str">
        <f>IF($AB203="","",(LEN(TRIM(INDEX('ORDER Form'!$O$1:$O$355,$AB203)))+LEN(TRIM(INDEX('ORDER Form'!$P$1:$P$355,$AB203)))+LEN(TRIM(INDEX('ORDER Form'!$Q$1:$Q$355,$AB203)))+LEN(TRIM(INDEX('ORDER Form'!$R$1:$R$355,$AB203)))+LEN(TRIM(INDEX('ORDER Form'!$S$1:$S$355,$AB203)))+LEN(TRIM(INDEX('ORDER Form'!$T$1:$T$355,$AB203)))+LEN(TRIM(INDEX('ORDER Form'!$U$1:$U$355,$AB203))))=0)</f>
        <v/>
      </c>
    </row>
    <row r="204" spans="1:30" ht="15" customHeight="1" x14ac:dyDescent="0.25">
      <c r="A204" s="50" t="str">
        <f>IF($AB204="","",IFERROR(IF(AND(INDEX('ORDER Form'!$N$1:$N$355,$AB204)="GB",LEFT(UPPER(TRIM(INDEX('ORDER Form'!$L$1:$L$355,$AB204))),2)="BT"),INDEX('ORDER Form'!$AC$1:$AC$355,$AB204),IFERROR(VLOOKUP(INDEX('ORDER Form'!$AC$1:$AC$355,$AB204)&amp;"|"&amp;INDEX('PRODUCT DATA'!$A$2:$A$58,MATCH(INDEX('ORDER Form'!$N$1:$N$355,$AB204),'PRODUCT DATA'!$B$2:$B$58,0)),'PRODUCT DATA'!$NO$2:$NP$25,2,FALSE()),INDEX('ORDER Form'!$AC$1:$AC$355,$AB204)))&amp;"",""))</f>
        <v/>
      </c>
      <c r="B204" s="49"/>
      <c r="C204" s="51" t="str">
        <f>IF($AB204="","",INDEX('ORDER Form'!$C$1:$C$355,$AB204))</f>
        <v/>
      </c>
      <c r="D204" s="49"/>
      <c r="E204" s="49"/>
      <c r="F204" s="49"/>
      <c r="G204" s="49"/>
      <c r="H204" s="49"/>
      <c r="I204" s="49"/>
      <c r="J204" s="50" t="str">
        <f>IF($AB204="","",INDEX('ORDER Form'!$D$1:$D$355,$AB204)&amp;"")</f>
        <v/>
      </c>
      <c r="K204" s="50" t="str">
        <f>IF($AB204="","",INDEX('ORDER Form'!$E$1:$E$355,$AB204)&amp;"")</f>
        <v/>
      </c>
      <c r="L204" s="50" t="str">
        <f>IF($AB204="","",INDEX('ORDER Form'!$F$1:$F$355,$AB204)&amp;"")</f>
        <v/>
      </c>
      <c r="M204" s="50" t="str">
        <f>IF($AB204="","",INDEX('ORDER Form'!$G$1:$G$355,$AB204)&amp;"")</f>
        <v/>
      </c>
      <c r="N204" s="50" t="str">
        <f>IF($AB204="","",INDEX('ORDER Form'!$H$1:$H$355,$AB204)&amp;"")</f>
        <v/>
      </c>
      <c r="O204" s="50" t="str">
        <f>IF($AB204="","",INDEX('ORDER Form'!$I$1:$I$355,$AB204)&amp;"")</f>
        <v/>
      </c>
      <c r="P204" s="50" t="str">
        <f>IF($AB204="","",INDEX('ORDER Form'!$J$1:$J$355,$AB204)&amp;"")</f>
        <v/>
      </c>
      <c r="Q204" s="50" t="str">
        <f>IF($AB204="","",INDEX('ORDER Form'!$AB$1:$AB$355,$AB204)&amp;"")</f>
        <v/>
      </c>
      <c r="R204" s="50" t="str">
        <f>IF($AB204="","",INDEX('ORDER Form'!$L$1:$L$355,$AB204)&amp;"")</f>
        <v/>
      </c>
      <c r="S204" s="50" t="str">
        <f>IF($AB204="","",INDEX('ORDER Form'!$N$1:$N$355,$AB204)&amp;"")</f>
        <v/>
      </c>
      <c r="T204" s="50" t="str">
        <f>IF($AB204="","",IF($AD204,T$3,INDEX('ORDER Form'!$O$1:$O$355,$AB204))&amp;"")</f>
        <v/>
      </c>
      <c r="U204" s="50" t="str">
        <f>IF($AB204="","",IF($AD204,U$3,INDEX('ORDER Form'!$P$1:$P$355,$AB204))&amp;"")</f>
        <v/>
      </c>
      <c r="V204" s="50" t="str">
        <f>IF($AB204="","",IF($AD204,V$3,INDEX('ORDER Form'!$Q$1:$Q$355,$AB204))&amp;"")</f>
        <v/>
      </c>
      <c r="W204" s="50" t="str">
        <f>IF($AB204="","",IF($AD204,W$3,INDEX('ORDER Form'!$R$1:$R$355,$AB204))&amp;"")</f>
        <v/>
      </c>
      <c r="X204" s="50" t="str">
        <f>IF($AB204="","",IF($AD204,X$3,INDEX('ORDER Form'!$S$1:$S$355,$AB204))&amp;"")</f>
        <v/>
      </c>
      <c r="Y204" s="50" t="str">
        <f>IF($AB204="","",IF($AD204,Y$3,INDEX('ORDER Form'!$T$1:$T$355,$AB204))&amp;"")</f>
        <v/>
      </c>
      <c r="Z204" s="50" t="str">
        <f>IF($AB204="","",IF($AD204,Z$3,INDEX('ORDER Form'!$U$1:$U$355,$AB204))&amp;"")</f>
        <v/>
      </c>
      <c r="AB204" s="51" t="str">
        <f>IFERROR(MATCH(200,$AC$5:$AC$354,0)+5,"")</f>
        <v/>
      </c>
      <c r="AC204" s="51" t="str">
        <f>IF('ORDER Form'!$V205="OK",COUNTIF('ORDER Form'!$V$6:$V205,"OK"),"")</f>
        <v/>
      </c>
      <c r="AD204" s="51" t="str">
        <f>IF($AB204="","",(LEN(TRIM(INDEX('ORDER Form'!$O$1:$O$355,$AB204)))+LEN(TRIM(INDEX('ORDER Form'!$P$1:$P$355,$AB204)))+LEN(TRIM(INDEX('ORDER Form'!$Q$1:$Q$355,$AB204)))+LEN(TRIM(INDEX('ORDER Form'!$R$1:$R$355,$AB204)))+LEN(TRIM(INDEX('ORDER Form'!$S$1:$S$355,$AB204)))+LEN(TRIM(INDEX('ORDER Form'!$T$1:$T$355,$AB204)))+LEN(TRIM(INDEX('ORDER Form'!$U$1:$U$355,$AB204))))=0)</f>
        <v/>
      </c>
    </row>
    <row r="205" spans="1:30" ht="15" customHeight="1" x14ac:dyDescent="0.25">
      <c r="A205" s="50" t="str">
        <f>IF($AB205="","",IFERROR(IF(AND(INDEX('ORDER Form'!$N$1:$N$355,$AB205)="GB",LEFT(UPPER(TRIM(INDEX('ORDER Form'!$L$1:$L$355,$AB205))),2)="BT"),INDEX('ORDER Form'!$AC$1:$AC$355,$AB205),IFERROR(VLOOKUP(INDEX('ORDER Form'!$AC$1:$AC$355,$AB205)&amp;"|"&amp;INDEX('PRODUCT DATA'!$A$2:$A$58,MATCH(INDEX('ORDER Form'!$N$1:$N$355,$AB205),'PRODUCT DATA'!$B$2:$B$58,0)),'PRODUCT DATA'!$NO$2:$NP$25,2,FALSE()),INDEX('ORDER Form'!$AC$1:$AC$355,$AB205)))&amp;"",""))</f>
        <v/>
      </c>
      <c r="B205" s="49"/>
      <c r="C205" s="51" t="str">
        <f>IF($AB205="","",INDEX('ORDER Form'!$C$1:$C$355,$AB205))</f>
        <v/>
      </c>
      <c r="D205" s="49"/>
      <c r="E205" s="49"/>
      <c r="F205" s="49"/>
      <c r="G205" s="49"/>
      <c r="H205" s="49"/>
      <c r="I205" s="49"/>
      <c r="J205" s="50" t="str">
        <f>IF($AB205="","",INDEX('ORDER Form'!$D$1:$D$355,$AB205)&amp;"")</f>
        <v/>
      </c>
      <c r="K205" s="50" t="str">
        <f>IF($AB205="","",INDEX('ORDER Form'!$E$1:$E$355,$AB205)&amp;"")</f>
        <v/>
      </c>
      <c r="L205" s="50" t="str">
        <f>IF($AB205="","",INDEX('ORDER Form'!$F$1:$F$355,$AB205)&amp;"")</f>
        <v/>
      </c>
      <c r="M205" s="50" t="str">
        <f>IF($AB205="","",INDEX('ORDER Form'!$G$1:$G$355,$AB205)&amp;"")</f>
        <v/>
      </c>
      <c r="N205" s="50" t="str">
        <f>IF($AB205="","",INDEX('ORDER Form'!$H$1:$H$355,$AB205)&amp;"")</f>
        <v/>
      </c>
      <c r="O205" s="50" t="str">
        <f>IF($AB205="","",INDEX('ORDER Form'!$I$1:$I$355,$AB205)&amp;"")</f>
        <v/>
      </c>
      <c r="P205" s="50" t="str">
        <f>IF($AB205="","",INDEX('ORDER Form'!$J$1:$J$355,$AB205)&amp;"")</f>
        <v/>
      </c>
      <c r="Q205" s="50" t="str">
        <f>IF($AB205="","",INDEX('ORDER Form'!$AB$1:$AB$355,$AB205)&amp;"")</f>
        <v/>
      </c>
      <c r="R205" s="50" t="str">
        <f>IF($AB205="","",INDEX('ORDER Form'!$L$1:$L$355,$AB205)&amp;"")</f>
        <v/>
      </c>
      <c r="S205" s="50" t="str">
        <f>IF($AB205="","",INDEX('ORDER Form'!$N$1:$N$355,$AB205)&amp;"")</f>
        <v/>
      </c>
      <c r="T205" s="50" t="str">
        <f>IF($AB205="","",IF($AD205,T$3,INDEX('ORDER Form'!$O$1:$O$355,$AB205))&amp;"")</f>
        <v/>
      </c>
      <c r="U205" s="50" t="str">
        <f>IF($AB205="","",IF($AD205,U$3,INDEX('ORDER Form'!$P$1:$P$355,$AB205))&amp;"")</f>
        <v/>
      </c>
      <c r="V205" s="50" t="str">
        <f>IF($AB205="","",IF($AD205,V$3,INDEX('ORDER Form'!$Q$1:$Q$355,$AB205))&amp;"")</f>
        <v/>
      </c>
      <c r="W205" s="50" t="str">
        <f>IF($AB205="","",IF($AD205,W$3,INDEX('ORDER Form'!$R$1:$R$355,$AB205))&amp;"")</f>
        <v/>
      </c>
      <c r="X205" s="50" t="str">
        <f>IF($AB205="","",IF($AD205,X$3,INDEX('ORDER Form'!$S$1:$S$355,$AB205))&amp;"")</f>
        <v/>
      </c>
      <c r="Y205" s="50" t="str">
        <f>IF($AB205="","",IF($AD205,Y$3,INDEX('ORDER Form'!$T$1:$T$355,$AB205))&amp;"")</f>
        <v/>
      </c>
      <c r="Z205" s="50" t="str">
        <f>IF($AB205="","",IF($AD205,Z$3,INDEX('ORDER Form'!$U$1:$U$355,$AB205))&amp;"")</f>
        <v/>
      </c>
      <c r="AB205" s="51" t="str">
        <f>IFERROR(MATCH(201,$AC$5:$AC$354,0)+5,"")</f>
        <v/>
      </c>
      <c r="AC205" s="51" t="str">
        <f>IF('ORDER Form'!$V206="OK",COUNTIF('ORDER Form'!$V$6:$V206,"OK"),"")</f>
        <v/>
      </c>
      <c r="AD205" s="51" t="str">
        <f>IF($AB205="","",(LEN(TRIM(INDEX('ORDER Form'!$O$1:$O$355,$AB205)))+LEN(TRIM(INDEX('ORDER Form'!$P$1:$P$355,$AB205)))+LEN(TRIM(INDEX('ORDER Form'!$Q$1:$Q$355,$AB205)))+LEN(TRIM(INDEX('ORDER Form'!$R$1:$R$355,$AB205)))+LEN(TRIM(INDEX('ORDER Form'!$S$1:$S$355,$AB205)))+LEN(TRIM(INDEX('ORDER Form'!$T$1:$T$355,$AB205)))+LEN(TRIM(INDEX('ORDER Form'!$U$1:$U$355,$AB205))))=0)</f>
        <v/>
      </c>
    </row>
    <row r="206" spans="1:30" ht="15" customHeight="1" x14ac:dyDescent="0.25">
      <c r="A206" s="50" t="str">
        <f>IF($AB206="","",IFERROR(IF(AND(INDEX('ORDER Form'!$N$1:$N$355,$AB206)="GB",LEFT(UPPER(TRIM(INDEX('ORDER Form'!$L$1:$L$355,$AB206))),2)="BT"),INDEX('ORDER Form'!$AC$1:$AC$355,$AB206),IFERROR(VLOOKUP(INDEX('ORDER Form'!$AC$1:$AC$355,$AB206)&amp;"|"&amp;INDEX('PRODUCT DATA'!$A$2:$A$58,MATCH(INDEX('ORDER Form'!$N$1:$N$355,$AB206),'PRODUCT DATA'!$B$2:$B$58,0)),'PRODUCT DATA'!$NO$2:$NP$25,2,FALSE()),INDEX('ORDER Form'!$AC$1:$AC$355,$AB206)))&amp;"",""))</f>
        <v/>
      </c>
      <c r="B206" s="49"/>
      <c r="C206" s="51" t="str">
        <f>IF($AB206="","",INDEX('ORDER Form'!$C$1:$C$355,$AB206))</f>
        <v/>
      </c>
      <c r="D206" s="49"/>
      <c r="E206" s="49"/>
      <c r="F206" s="49"/>
      <c r="G206" s="49"/>
      <c r="H206" s="49"/>
      <c r="I206" s="49"/>
      <c r="J206" s="50" t="str">
        <f>IF($AB206="","",INDEX('ORDER Form'!$D$1:$D$355,$AB206)&amp;"")</f>
        <v/>
      </c>
      <c r="K206" s="50" t="str">
        <f>IF($AB206="","",INDEX('ORDER Form'!$E$1:$E$355,$AB206)&amp;"")</f>
        <v/>
      </c>
      <c r="L206" s="50" t="str">
        <f>IF($AB206="","",INDEX('ORDER Form'!$F$1:$F$355,$AB206)&amp;"")</f>
        <v/>
      </c>
      <c r="M206" s="50" t="str">
        <f>IF($AB206="","",INDEX('ORDER Form'!$G$1:$G$355,$AB206)&amp;"")</f>
        <v/>
      </c>
      <c r="N206" s="50" t="str">
        <f>IF($AB206="","",INDEX('ORDER Form'!$H$1:$H$355,$AB206)&amp;"")</f>
        <v/>
      </c>
      <c r="O206" s="50" t="str">
        <f>IF($AB206="","",INDEX('ORDER Form'!$I$1:$I$355,$AB206)&amp;"")</f>
        <v/>
      </c>
      <c r="P206" s="50" t="str">
        <f>IF($AB206="","",INDEX('ORDER Form'!$J$1:$J$355,$AB206)&amp;"")</f>
        <v/>
      </c>
      <c r="Q206" s="50" t="str">
        <f>IF($AB206="","",INDEX('ORDER Form'!$AB$1:$AB$355,$AB206)&amp;"")</f>
        <v/>
      </c>
      <c r="R206" s="50" t="str">
        <f>IF($AB206="","",INDEX('ORDER Form'!$L$1:$L$355,$AB206)&amp;"")</f>
        <v/>
      </c>
      <c r="S206" s="50" t="str">
        <f>IF($AB206="","",INDEX('ORDER Form'!$N$1:$N$355,$AB206)&amp;"")</f>
        <v/>
      </c>
      <c r="T206" s="50" t="str">
        <f>IF($AB206="","",IF($AD206,T$3,INDEX('ORDER Form'!$O$1:$O$355,$AB206))&amp;"")</f>
        <v/>
      </c>
      <c r="U206" s="50" t="str">
        <f>IF($AB206="","",IF($AD206,U$3,INDEX('ORDER Form'!$P$1:$P$355,$AB206))&amp;"")</f>
        <v/>
      </c>
      <c r="V206" s="50" t="str">
        <f>IF($AB206="","",IF($AD206,V$3,INDEX('ORDER Form'!$Q$1:$Q$355,$AB206))&amp;"")</f>
        <v/>
      </c>
      <c r="W206" s="50" t="str">
        <f>IF($AB206="","",IF($AD206,W$3,INDEX('ORDER Form'!$R$1:$R$355,$AB206))&amp;"")</f>
        <v/>
      </c>
      <c r="X206" s="50" t="str">
        <f>IF($AB206="","",IF($AD206,X$3,INDEX('ORDER Form'!$S$1:$S$355,$AB206))&amp;"")</f>
        <v/>
      </c>
      <c r="Y206" s="50" t="str">
        <f>IF($AB206="","",IF($AD206,Y$3,INDEX('ORDER Form'!$T$1:$T$355,$AB206))&amp;"")</f>
        <v/>
      </c>
      <c r="Z206" s="50" t="str">
        <f>IF($AB206="","",IF($AD206,Z$3,INDEX('ORDER Form'!$U$1:$U$355,$AB206))&amp;"")</f>
        <v/>
      </c>
      <c r="AB206" s="51" t="str">
        <f>IFERROR(MATCH(202,$AC$5:$AC$354,0)+5,"")</f>
        <v/>
      </c>
      <c r="AC206" s="51" t="str">
        <f>IF('ORDER Form'!$V207="OK",COUNTIF('ORDER Form'!$V$6:$V207,"OK"),"")</f>
        <v/>
      </c>
      <c r="AD206" s="51" t="str">
        <f>IF($AB206="","",(LEN(TRIM(INDEX('ORDER Form'!$O$1:$O$355,$AB206)))+LEN(TRIM(INDEX('ORDER Form'!$P$1:$P$355,$AB206)))+LEN(TRIM(INDEX('ORDER Form'!$Q$1:$Q$355,$AB206)))+LEN(TRIM(INDEX('ORDER Form'!$R$1:$R$355,$AB206)))+LEN(TRIM(INDEX('ORDER Form'!$S$1:$S$355,$AB206)))+LEN(TRIM(INDEX('ORDER Form'!$T$1:$T$355,$AB206)))+LEN(TRIM(INDEX('ORDER Form'!$U$1:$U$355,$AB206))))=0)</f>
        <v/>
      </c>
    </row>
    <row r="207" spans="1:30" ht="15" customHeight="1" x14ac:dyDescent="0.25">
      <c r="A207" s="50" t="str">
        <f>IF($AB207="","",IFERROR(IF(AND(INDEX('ORDER Form'!$N$1:$N$355,$AB207)="GB",LEFT(UPPER(TRIM(INDEX('ORDER Form'!$L$1:$L$355,$AB207))),2)="BT"),INDEX('ORDER Form'!$AC$1:$AC$355,$AB207),IFERROR(VLOOKUP(INDEX('ORDER Form'!$AC$1:$AC$355,$AB207)&amp;"|"&amp;INDEX('PRODUCT DATA'!$A$2:$A$58,MATCH(INDEX('ORDER Form'!$N$1:$N$355,$AB207),'PRODUCT DATA'!$B$2:$B$58,0)),'PRODUCT DATA'!$NO$2:$NP$25,2,FALSE()),INDEX('ORDER Form'!$AC$1:$AC$355,$AB207)))&amp;"",""))</f>
        <v/>
      </c>
      <c r="B207" s="49"/>
      <c r="C207" s="51" t="str">
        <f>IF($AB207="","",INDEX('ORDER Form'!$C$1:$C$355,$AB207))</f>
        <v/>
      </c>
      <c r="D207" s="49"/>
      <c r="E207" s="49"/>
      <c r="F207" s="49"/>
      <c r="G207" s="49"/>
      <c r="H207" s="49"/>
      <c r="I207" s="49"/>
      <c r="J207" s="50" t="str">
        <f>IF($AB207="","",INDEX('ORDER Form'!$D$1:$D$355,$AB207)&amp;"")</f>
        <v/>
      </c>
      <c r="K207" s="50" t="str">
        <f>IF($AB207="","",INDEX('ORDER Form'!$E$1:$E$355,$AB207)&amp;"")</f>
        <v/>
      </c>
      <c r="L207" s="50" t="str">
        <f>IF($AB207="","",INDEX('ORDER Form'!$F$1:$F$355,$AB207)&amp;"")</f>
        <v/>
      </c>
      <c r="M207" s="50" t="str">
        <f>IF($AB207="","",INDEX('ORDER Form'!$G$1:$G$355,$AB207)&amp;"")</f>
        <v/>
      </c>
      <c r="N207" s="50" t="str">
        <f>IF($AB207="","",INDEX('ORDER Form'!$H$1:$H$355,$AB207)&amp;"")</f>
        <v/>
      </c>
      <c r="O207" s="50" t="str">
        <f>IF($AB207="","",INDEX('ORDER Form'!$I$1:$I$355,$AB207)&amp;"")</f>
        <v/>
      </c>
      <c r="P207" s="50" t="str">
        <f>IF($AB207="","",INDEX('ORDER Form'!$J$1:$J$355,$AB207)&amp;"")</f>
        <v/>
      </c>
      <c r="Q207" s="50" t="str">
        <f>IF($AB207="","",INDEX('ORDER Form'!$AB$1:$AB$355,$AB207)&amp;"")</f>
        <v/>
      </c>
      <c r="R207" s="50" t="str">
        <f>IF($AB207="","",INDEX('ORDER Form'!$L$1:$L$355,$AB207)&amp;"")</f>
        <v/>
      </c>
      <c r="S207" s="50" t="str">
        <f>IF($AB207="","",INDEX('ORDER Form'!$N$1:$N$355,$AB207)&amp;"")</f>
        <v/>
      </c>
      <c r="T207" s="50" t="str">
        <f>IF($AB207="","",IF($AD207,T$3,INDEX('ORDER Form'!$O$1:$O$355,$AB207))&amp;"")</f>
        <v/>
      </c>
      <c r="U207" s="50" t="str">
        <f>IF($AB207="","",IF($AD207,U$3,INDEX('ORDER Form'!$P$1:$P$355,$AB207))&amp;"")</f>
        <v/>
      </c>
      <c r="V207" s="50" t="str">
        <f>IF($AB207="","",IF($AD207,V$3,INDEX('ORDER Form'!$Q$1:$Q$355,$AB207))&amp;"")</f>
        <v/>
      </c>
      <c r="W207" s="50" t="str">
        <f>IF($AB207="","",IF($AD207,W$3,INDEX('ORDER Form'!$R$1:$R$355,$AB207))&amp;"")</f>
        <v/>
      </c>
      <c r="X207" s="50" t="str">
        <f>IF($AB207="","",IF($AD207,X$3,INDEX('ORDER Form'!$S$1:$S$355,$AB207))&amp;"")</f>
        <v/>
      </c>
      <c r="Y207" s="50" t="str">
        <f>IF($AB207="","",IF($AD207,Y$3,INDEX('ORDER Form'!$T$1:$T$355,$AB207))&amp;"")</f>
        <v/>
      </c>
      <c r="Z207" s="50" t="str">
        <f>IF($AB207="","",IF($AD207,Z$3,INDEX('ORDER Form'!$U$1:$U$355,$AB207))&amp;"")</f>
        <v/>
      </c>
      <c r="AB207" s="51" t="str">
        <f>IFERROR(MATCH(203,$AC$5:$AC$354,0)+5,"")</f>
        <v/>
      </c>
      <c r="AC207" s="51" t="str">
        <f>IF('ORDER Form'!$V208="OK",COUNTIF('ORDER Form'!$V$6:$V208,"OK"),"")</f>
        <v/>
      </c>
      <c r="AD207" s="51" t="str">
        <f>IF($AB207="","",(LEN(TRIM(INDEX('ORDER Form'!$O$1:$O$355,$AB207)))+LEN(TRIM(INDEX('ORDER Form'!$P$1:$P$355,$AB207)))+LEN(TRIM(INDEX('ORDER Form'!$Q$1:$Q$355,$AB207)))+LEN(TRIM(INDEX('ORDER Form'!$R$1:$R$355,$AB207)))+LEN(TRIM(INDEX('ORDER Form'!$S$1:$S$355,$AB207)))+LEN(TRIM(INDEX('ORDER Form'!$T$1:$T$355,$AB207)))+LEN(TRIM(INDEX('ORDER Form'!$U$1:$U$355,$AB207))))=0)</f>
        <v/>
      </c>
    </row>
    <row r="208" spans="1:30" ht="15" customHeight="1" x14ac:dyDescent="0.25">
      <c r="A208" s="50" t="str">
        <f>IF($AB208="","",IFERROR(IF(AND(INDEX('ORDER Form'!$N$1:$N$355,$AB208)="GB",LEFT(UPPER(TRIM(INDEX('ORDER Form'!$L$1:$L$355,$AB208))),2)="BT"),INDEX('ORDER Form'!$AC$1:$AC$355,$AB208),IFERROR(VLOOKUP(INDEX('ORDER Form'!$AC$1:$AC$355,$AB208)&amp;"|"&amp;INDEX('PRODUCT DATA'!$A$2:$A$58,MATCH(INDEX('ORDER Form'!$N$1:$N$355,$AB208),'PRODUCT DATA'!$B$2:$B$58,0)),'PRODUCT DATA'!$NO$2:$NP$25,2,FALSE()),INDEX('ORDER Form'!$AC$1:$AC$355,$AB208)))&amp;"",""))</f>
        <v/>
      </c>
      <c r="B208" s="49"/>
      <c r="C208" s="51" t="str">
        <f>IF($AB208="","",INDEX('ORDER Form'!$C$1:$C$355,$AB208))</f>
        <v/>
      </c>
      <c r="D208" s="49"/>
      <c r="E208" s="49"/>
      <c r="F208" s="49"/>
      <c r="G208" s="49"/>
      <c r="H208" s="49"/>
      <c r="I208" s="49"/>
      <c r="J208" s="50" t="str">
        <f>IF($AB208="","",INDEX('ORDER Form'!$D$1:$D$355,$AB208)&amp;"")</f>
        <v/>
      </c>
      <c r="K208" s="50" t="str">
        <f>IF($AB208="","",INDEX('ORDER Form'!$E$1:$E$355,$AB208)&amp;"")</f>
        <v/>
      </c>
      <c r="L208" s="50" t="str">
        <f>IF($AB208="","",INDEX('ORDER Form'!$F$1:$F$355,$AB208)&amp;"")</f>
        <v/>
      </c>
      <c r="M208" s="50" t="str">
        <f>IF($AB208="","",INDEX('ORDER Form'!$G$1:$G$355,$AB208)&amp;"")</f>
        <v/>
      </c>
      <c r="N208" s="50" t="str">
        <f>IF($AB208="","",INDEX('ORDER Form'!$H$1:$H$355,$AB208)&amp;"")</f>
        <v/>
      </c>
      <c r="O208" s="50" t="str">
        <f>IF($AB208="","",INDEX('ORDER Form'!$I$1:$I$355,$AB208)&amp;"")</f>
        <v/>
      </c>
      <c r="P208" s="50" t="str">
        <f>IF($AB208="","",INDEX('ORDER Form'!$J$1:$J$355,$AB208)&amp;"")</f>
        <v/>
      </c>
      <c r="Q208" s="50" t="str">
        <f>IF($AB208="","",INDEX('ORDER Form'!$AB$1:$AB$355,$AB208)&amp;"")</f>
        <v/>
      </c>
      <c r="R208" s="50" t="str">
        <f>IF($AB208="","",INDEX('ORDER Form'!$L$1:$L$355,$AB208)&amp;"")</f>
        <v/>
      </c>
      <c r="S208" s="50" t="str">
        <f>IF($AB208="","",INDEX('ORDER Form'!$N$1:$N$355,$AB208)&amp;"")</f>
        <v/>
      </c>
      <c r="T208" s="50" t="str">
        <f>IF($AB208="","",IF($AD208,T$3,INDEX('ORDER Form'!$O$1:$O$355,$AB208))&amp;"")</f>
        <v/>
      </c>
      <c r="U208" s="50" t="str">
        <f>IF($AB208="","",IF($AD208,U$3,INDEX('ORDER Form'!$P$1:$P$355,$AB208))&amp;"")</f>
        <v/>
      </c>
      <c r="V208" s="50" t="str">
        <f>IF($AB208="","",IF($AD208,V$3,INDEX('ORDER Form'!$Q$1:$Q$355,$AB208))&amp;"")</f>
        <v/>
      </c>
      <c r="W208" s="50" t="str">
        <f>IF($AB208="","",IF($AD208,W$3,INDEX('ORDER Form'!$R$1:$R$355,$AB208))&amp;"")</f>
        <v/>
      </c>
      <c r="X208" s="50" t="str">
        <f>IF($AB208="","",IF($AD208,X$3,INDEX('ORDER Form'!$S$1:$S$355,$AB208))&amp;"")</f>
        <v/>
      </c>
      <c r="Y208" s="50" t="str">
        <f>IF($AB208="","",IF($AD208,Y$3,INDEX('ORDER Form'!$T$1:$T$355,$AB208))&amp;"")</f>
        <v/>
      </c>
      <c r="Z208" s="50" t="str">
        <f>IF($AB208="","",IF($AD208,Z$3,INDEX('ORDER Form'!$U$1:$U$355,$AB208))&amp;"")</f>
        <v/>
      </c>
      <c r="AB208" s="51" t="str">
        <f>IFERROR(MATCH(204,$AC$5:$AC$354,0)+5,"")</f>
        <v/>
      </c>
      <c r="AC208" s="51" t="str">
        <f>IF('ORDER Form'!$V209="OK",COUNTIF('ORDER Form'!$V$6:$V209,"OK"),"")</f>
        <v/>
      </c>
      <c r="AD208" s="51" t="str">
        <f>IF($AB208="","",(LEN(TRIM(INDEX('ORDER Form'!$O$1:$O$355,$AB208)))+LEN(TRIM(INDEX('ORDER Form'!$P$1:$P$355,$AB208)))+LEN(TRIM(INDEX('ORDER Form'!$Q$1:$Q$355,$AB208)))+LEN(TRIM(INDEX('ORDER Form'!$R$1:$R$355,$AB208)))+LEN(TRIM(INDEX('ORDER Form'!$S$1:$S$355,$AB208)))+LEN(TRIM(INDEX('ORDER Form'!$T$1:$T$355,$AB208)))+LEN(TRIM(INDEX('ORDER Form'!$U$1:$U$355,$AB208))))=0)</f>
        <v/>
      </c>
    </row>
    <row r="209" spans="1:30" ht="15" customHeight="1" x14ac:dyDescent="0.25">
      <c r="A209" s="50" t="str">
        <f>IF($AB209="","",IFERROR(IF(AND(INDEX('ORDER Form'!$N$1:$N$355,$AB209)="GB",LEFT(UPPER(TRIM(INDEX('ORDER Form'!$L$1:$L$355,$AB209))),2)="BT"),INDEX('ORDER Form'!$AC$1:$AC$355,$AB209),IFERROR(VLOOKUP(INDEX('ORDER Form'!$AC$1:$AC$355,$AB209)&amp;"|"&amp;INDEX('PRODUCT DATA'!$A$2:$A$58,MATCH(INDEX('ORDER Form'!$N$1:$N$355,$AB209),'PRODUCT DATA'!$B$2:$B$58,0)),'PRODUCT DATA'!$NO$2:$NP$25,2,FALSE()),INDEX('ORDER Form'!$AC$1:$AC$355,$AB209)))&amp;"",""))</f>
        <v/>
      </c>
      <c r="B209" s="49"/>
      <c r="C209" s="51" t="str">
        <f>IF($AB209="","",INDEX('ORDER Form'!$C$1:$C$355,$AB209))</f>
        <v/>
      </c>
      <c r="D209" s="49"/>
      <c r="E209" s="49"/>
      <c r="F209" s="49"/>
      <c r="G209" s="49"/>
      <c r="H209" s="49"/>
      <c r="I209" s="49"/>
      <c r="J209" s="50" t="str">
        <f>IF($AB209="","",INDEX('ORDER Form'!$D$1:$D$355,$AB209)&amp;"")</f>
        <v/>
      </c>
      <c r="K209" s="50" t="str">
        <f>IF($AB209="","",INDEX('ORDER Form'!$E$1:$E$355,$AB209)&amp;"")</f>
        <v/>
      </c>
      <c r="L209" s="50" t="str">
        <f>IF($AB209="","",INDEX('ORDER Form'!$F$1:$F$355,$AB209)&amp;"")</f>
        <v/>
      </c>
      <c r="M209" s="50" t="str">
        <f>IF($AB209="","",INDEX('ORDER Form'!$G$1:$G$355,$AB209)&amp;"")</f>
        <v/>
      </c>
      <c r="N209" s="50" t="str">
        <f>IF($AB209="","",INDEX('ORDER Form'!$H$1:$H$355,$AB209)&amp;"")</f>
        <v/>
      </c>
      <c r="O209" s="50" t="str">
        <f>IF($AB209="","",INDEX('ORDER Form'!$I$1:$I$355,$AB209)&amp;"")</f>
        <v/>
      </c>
      <c r="P209" s="50" t="str">
        <f>IF($AB209="","",INDEX('ORDER Form'!$J$1:$J$355,$AB209)&amp;"")</f>
        <v/>
      </c>
      <c r="Q209" s="50" t="str">
        <f>IF($AB209="","",INDEX('ORDER Form'!$AB$1:$AB$355,$AB209)&amp;"")</f>
        <v/>
      </c>
      <c r="R209" s="50" t="str">
        <f>IF($AB209="","",INDEX('ORDER Form'!$L$1:$L$355,$AB209)&amp;"")</f>
        <v/>
      </c>
      <c r="S209" s="50" t="str">
        <f>IF($AB209="","",INDEX('ORDER Form'!$N$1:$N$355,$AB209)&amp;"")</f>
        <v/>
      </c>
      <c r="T209" s="50" t="str">
        <f>IF($AB209="","",IF($AD209,T$3,INDEX('ORDER Form'!$O$1:$O$355,$AB209))&amp;"")</f>
        <v/>
      </c>
      <c r="U209" s="50" t="str">
        <f>IF($AB209="","",IF($AD209,U$3,INDEX('ORDER Form'!$P$1:$P$355,$AB209))&amp;"")</f>
        <v/>
      </c>
      <c r="V209" s="50" t="str">
        <f>IF($AB209="","",IF($AD209,V$3,INDEX('ORDER Form'!$Q$1:$Q$355,$AB209))&amp;"")</f>
        <v/>
      </c>
      <c r="W209" s="50" t="str">
        <f>IF($AB209="","",IF($AD209,W$3,INDEX('ORDER Form'!$R$1:$R$355,$AB209))&amp;"")</f>
        <v/>
      </c>
      <c r="X209" s="50" t="str">
        <f>IF($AB209="","",IF($AD209,X$3,INDEX('ORDER Form'!$S$1:$S$355,$AB209))&amp;"")</f>
        <v/>
      </c>
      <c r="Y209" s="50" t="str">
        <f>IF($AB209="","",IF($AD209,Y$3,INDEX('ORDER Form'!$T$1:$T$355,$AB209))&amp;"")</f>
        <v/>
      </c>
      <c r="Z209" s="50" t="str">
        <f>IF($AB209="","",IF($AD209,Z$3,INDEX('ORDER Form'!$U$1:$U$355,$AB209))&amp;"")</f>
        <v/>
      </c>
      <c r="AB209" s="51" t="str">
        <f>IFERROR(MATCH(205,$AC$5:$AC$354,0)+5,"")</f>
        <v/>
      </c>
      <c r="AC209" s="51" t="str">
        <f>IF('ORDER Form'!$V210="OK",COUNTIF('ORDER Form'!$V$6:$V210,"OK"),"")</f>
        <v/>
      </c>
      <c r="AD209" s="51" t="str">
        <f>IF($AB209="","",(LEN(TRIM(INDEX('ORDER Form'!$O$1:$O$355,$AB209)))+LEN(TRIM(INDEX('ORDER Form'!$P$1:$P$355,$AB209)))+LEN(TRIM(INDEX('ORDER Form'!$Q$1:$Q$355,$AB209)))+LEN(TRIM(INDEX('ORDER Form'!$R$1:$R$355,$AB209)))+LEN(TRIM(INDEX('ORDER Form'!$S$1:$S$355,$AB209)))+LEN(TRIM(INDEX('ORDER Form'!$T$1:$T$355,$AB209)))+LEN(TRIM(INDEX('ORDER Form'!$U$1:$U$355,$AB209))))=0)</f>
        <v/>
      </c>
    </row>
    <row r="210" spans="1:30" ht="15" customHeight="1" x14ac:dyDescent="0.25">
      <c r="A210" s="50" t="str">
        <f>IF($AB210="","",IFERROR(IF(AND(INDEX('ORDER Form'!$N$1:$N$355,$AB210)="GB",LEFT(UPPER(TRIM(INDEX('ORDER Form'!$L$1:$L$355,$AB210))),2)="BT"),INDEX('ORDER Form'!$AC$1:$AC$355,$AB210),IFERROR(VLOOKUP(INDEX('ORDER Form'!$AC$1:$AC$355,$AB210)&amp;"|"&amp;INDEX('PRODUCT DATA'!$A$2:$A$58,MATCH(INDEX('ORDER Form'!$N$1:$N$355,$AB210),'PRODUCT DATA'!$B$2:$B$58,0)),'PRODUCT DATA'!$NO$2:$NP$25,2,FALSE()),INDEX('ORDER Form'!$AC$1:$AC$355,$AB210)))&amp;"",""))</f>
        <v/>
      </c>
      <c r="B210" s="49"/>
      <c r="C210" s="51" t="str">
        <f>IF($AB210="","",INDEX('ORDER Form'!$C$1:$C$355,$AB210))</f>
        <v/>
      </c>
      <c r="D210" s="49"/>
      <c r="E210" s="49"/>
      <c r="F210" s="49"/>
      <c r="G210" s="49"/>
      <c r="H210" s="49"/>
      <c r="I210" s="49"/>
      <c r="J210" s="50" t="str">
        <f>IF($AB210="","",INDEX('ORDER Form'!$D$1:$D$355,$AB210)&amp;"")</f>
        <v/>
      </c>
      <c r="K210" s="50" t="str">
        <f>IF($AB210="","",INDEX('ORDER Form'!$E$1:$E$355,$AB210)&amp;"")</f>
        <v/>
      </c>
      <c r="L210" s="50" t="str">
        <f>IF($AB210="","",INDEX('ORDER Form'!$F$1:$F$355,$AB210)&amp;"")</f>
        <v/>
      </c>
      <c r="M210" s="50" t="str">
        <f>IF($AB210="","",INDEX('ORDER Form'!$G$1:$G$355,$AB210)&amp;"")</f>
        <v/>
      </c>
      <c r="N210" s="50" t="str">
        <f>IF($AB210="","",INDEX('ORDER Form'!$H$1:$H$355,$AB210)&amp;"")</f>
        <v/>
      </c>
      <c r="O210" s="50" t="str">
        <f>IF($AB210="","",INDEX('ORDER Form'!$I$1:$I$355,$AB210)&amp;"")</f>
        <v/>
      </c>
      <c r="P210" s="50" t="str">
        <f>IF($AB210="","",INDEX('ORDER Form'!$J$1:$J$355,$AB210)&amp;"")</f>
        <v/>
      </c>
      <c r="Q210" s="50" t="str">
        <f>IF($AB210="","",INDEX('ORDER Form'!$AB$1:$AB$355,$AB210)&amp;"")</f>
        <v/>
      </c>
      <c r="R210" s="50" t="str">
        <f>IF($AB210="","",INDEX('ORDER Form'!$L$1:$L$355,$AB210)&amp;"")</f>
        <v/>
      </c>
      <c r="S210" s="50" t="str">
        <f>IF($AB210="","",INDEX('ORDER Form'!$N$1:$N$355,$AB210)&amp;"")</f>
        <v/>
      </c>
      <c r="T210" s="50" t="str">
        <f>IF($AB210="","",IF($AD210,T$3,INDEX('ORDER Form'!$O$1:$O$355,$AB210))&amp;"")</f>
        <v/>
      </c>
      <c r="U210" s="50" t="str">
        <f>IF($AB210="","",IF($AD210,U$3,INDEX('ORDER Form'!$P$1:$P$355,$AB210))&amp;"")</f>
        <v/>
      </c>
      <c r="V210" s="50" t="str">
        <f>IF($AB210="","",IF($AD210,V$3,INDEX('ORDER Form'!$Q$1:$Q$355,$AB210))&amp;"")</f>
        <v/>
      </c>
      <c r="W210" s="50" t="str">
        <f>IF($AB210="","",IF($AD210,W$3,INDEX('ORDER Form'!$R$1:$R$355,$AB210))&amp;"")</f>
        <v/>
      </c>
      <c r="X210" s="50" t="str">
        <f>IF($AB210="","",IF($AD210,X$3,INDEX('ORDER Form'!$S$1:$S$355,$AB210))&amp;"")</f>
        <v/>
      </c>
      <c r="Y210" s="50" t="str">
        <f>IF($AB210="","",IF($AD210,Y$3,INDEX('ORDER Form'!$T$1:$T$355,$AB210))&amp;"")</f>
        <v/>
      </c>
      <c r="Z210" s="50" t="str">
        <f>IF($AB210="","",IF($AD210,Z$3,INDEX('ORDER Form'!$U$1:$U$355,$AB210))&amp;"")</f>
        <v/>
      </c>
      <c r="AB210" s="51" t="str">
        <f>IFERROR(MATCH(206,$AC$5:$AC$354,0)+5,"")</f>
        <v/>
      </c>
      <c r="AC210" s="51" t="str">
        <f>IF('ORDER Form'!$V211="OK",COUNTIF('ORDER Form'!$V$6:$V211,"OK"),"")</f>
        <v/>
      </c>
      <c r="AD210" s="51" t="str">
        <f>IF($AB210="","",(LEN(TRIM(INDEX('ORDER Form'!$O$1:$O$355,$AB210)))+LEN(TRIM(INDEX('ORDER Form'!$P$1:$P$355,$AB210)))+LEN(TRIM(INDEX('ORDER Form'!$Q$1:$Q$355,$AB210)))+LEN(TRIM(INDEX('ORDER Form'!$R$1:$R$355,$AB210)))+LEN(TRIM(INDEX('ORDER Form'!$S$1:$S$355,$AB210)))+LEN(TRIM(INDEX('ORDER Form'!$T$1:$T$355,$AB210)))+LEN(TRIM(INDEX('ORDER Form'!$U$1:$U$355,$AB210))))=0)</f>
        <v/>
      </c>
    </row>
    <row r="211" spans="1:30" ht="15" customHeight="1" x14ac:dyDescent="0.25">
      <c r="A211" s="50" t="str">
        <f>IF($AB211="","",IFERROR(IF(AND(INDEX('ORDER Form'!$N$1:$N$355,$AB211)="GB",LEFT(UPPER(TRIM(INDEX('ORDER Form'!$L$1:$L$355,$AB211))),2)="BT"),INDEX('ORDER Form'!$AC$1:$AC$355,$AB211),IFERROR(VLOOKUP(INDEX('ORDER Form'!$AC$1:$AC$355,$AB211)&amp;"|"&amp;INDEX('PRODUCT DATA'!$A$2:$A$58,MATCH(INDEX('ORDER Form'!$N$1:$N$355,$AB211),'PRODUCT DATA'!$B$2:$B$58,0)),'PRODUCT DATA'!$NO$2:$NP$25,2,FALSE()),INDEX('ORDER Form'!$AC$1:$AC$355,$AB211)))&amp;"",""))</f>
        <v/>
      </c>
      <c r="B211" s="49"/>
      <c r="C211" s="51" t="str">
        <f>IF($AB211="","",INDEX('ORDER Form'!$C$1:$C$355,$AB211))</f>
        <v/>
      </c>
      <c r="D211" s="49"/>
      <c r="E211" s="49"/>
      <c r="F211" s="49"/>
      <c r="G211" s="49"/>
      <c r="H211" s="49"/>
      <c r="I211" s="49"/>
      <c r="J211" s="50" t="str">
        <f>IF($AB211="","",INDEX('ORDER Form'!$D$1:$D$355,$AB211)&amp;"")</f>
        <v/>
      </c>
      <c r="K211" s="50" t="str">
        <f>IF($AB211="","",INDEX('ORDER Form'!$E$1:$E$355,$AB211)&amp;"")</f>
        <v/>
      </c>
      <c r="L211" s="50" t="str">
        <f>IF($AB211="","",INDEX('ORDER Form'!$F$1:$F$355,$AB211)&amp;"")</f>
        <v/>
      </c>
      <c r="M211" s="50" t="str">
        <f>IF($AB211="","",INDEX('ORDER Form'!$G$1:$G$355,$AB211)&amp;"")</f>
        <v/>
      </c>
      <c r="N211" s="50" t="str">
        <f>IF($AB211="","",INDEX('ORDER Form'!$H$1:$H$355,$AB211)&amp;"")</f>
        <v/>
      </c>
      <c r="O211" s="50" t="str">
        <f>IF($AB211="","",INDEX('ORDER Form'!$I$1:$I$355,$AB211)&amp;"")</f>
        <v/>
      </c>
      <c r="P211" s="50" t="str">
        <f>IF($AB211="","",INDEX('ORDER Form'!$J$1:$J$355,$AB211)&amp;"")</f>
        <v/>
      </c>
      <c r="Q211" s="50" t="str">
        <f>IF($AB211="","",INDEX('ORDER Form'!$AB$1:$AB$355,$AB211)&amp;"")</f>
        <v/>
      </c>
      <c r="R211" s="50" t="str">
        <f>IF($AB211="","",INDEX('ORDER Form'!$L$1:$L$355,$AB211)&amp;"")</f>
        <v/>
      </c>
      <c r="S211" s="50" t="str">
        <f>IF($AB211="","",INDEX('ORDER Form'!$N$1:$N$355,$AB211)&amp;"")</f>
        <v/>
      </c>
      <c r="T211" s="50" t="str">
        <f>IF($AB211="","",IF($AD211,T$3,INDEX('ORDER Form'!$O$1:$O$355,$AB211))&amp;"")</f>
        <v/>
      </c>
      <c r="U211" s="50" t="str">
        <f>IF($AB211="","",IF($AD211,U$3,INDEX('ORDER Form'!$P$1:$P$355,$AB211))&amp;"")</f>
        <v/>
      </c>
      <c r="V211" s="50" t="str">
        <f>IF($AB211="","",IF($AD211,V$3,INDEX('ORDER Form'!$Q$1:$Q$355,$AB211))&amp;"")</f>
        <v/>
      </c>
      <c r="W211" s="50" t="str">
        <f>IF($AB211="","",IF($AD211,W$3,INDEX('ORDER Form'!$R$1:$R$355,$AB211))&amp;"")</f>
        <v/>
      </c>
      <c r="X211" s="50" t="str">
        <f>IF($AB211="","",IF($AD211,X$3,INDEX('ORDER Form'!$S$1:$S$355,$AB211))&amp;"")</f>
        <v/>
      </c>
      <c r="Y211" s="50" t="str">
        <f>IF($AB211="","",IF($AD211,Y$3,INDEX('ORDER Form'!$T$1:$T$355,$AB211))&amp;"")</f>
        <v/>
      </c>
      <c r="Z211" s="50" t="str">
        <f>IF($AB211="","",IF($AD211,Z$3,INDEX('ORDER Form'!$U$1:$U$355,$AB211))&amp;"")</f>
        <v/>
      </c>
      <c r="AB211" s="51" t="str">
        <f>IFERROR(MATCH(207,$AC$5:$AC$354,0)+5,"")</f>
        <v/>
      </c>
      <c r="AC211" s="51" t="str">
        <f>IF('ORDER Form'!$V212="OK",COUNTIF('ORDER Form'!$V$6:$V212,"OK"),"")</f>
        <v/>
      </c>
      <c r="AD211" s="51" t="str">
        <f>IF($AB211="","",(LEN(TRIM(INDEX('ORDER Form'!$O$1:$O$355,$AB211)))+LEN(TRIM(INDEX('ORDER Form'!$P$1:$P$355,$AB211)))+LEN(TRIM(INDEX('ORDER Form'!$Q$1:$Q$355,$AB211)))+LEN(TRIM(INDEX('ORDER Form'!$R$1:$R$355,$AB211)))+LEN(TRIM(INDEX('ORDER Form'!$S$1:$S$355,$AB211)))+LEN(TRIM(INDEX('ORDER Form'!$T$1:$T$355,$AB211)))+LEN(TRIM(INDEX('ORDER Form'!$U$1:$U$355,$AB211))))=0)</f>
        <v/>
      </c>
    </row>
    <row r="212" spans="1:30" ht="15" customHeight="1" x14ac:dyDescent="0.25">
      <c r="A212" s="50" t="str">
        <f>IF($AB212="","",IFERROR(IF(AND(INDEX('ORDER Form'!$N$1:$N$355,$AB212)="GB",LEFT(UPPER(TRIM(INDEX('ORDER Form'!$L$1:$L$355,$AB212))),2)="BT"),INDEX('ORDER Form'!$AC$1:$AC$355,$AB212),IFERROR(VLOOKUP(INDEX('ORDER Form'!$AC$1:$AC$355,$AB212)&amp;"|"&amp;INDEX('PRODUCT DATA'!$A$2:$A$58,MATCH(INDEX('ORDER Form'!$N$1:$N$355,$AB212),'PRODUCT DATA'!$B$2:$B$58,0)),'PRODUCT DATA'!$NO$2:$NP$25,2,FALSE()),INDEX('ORDER Form'!$AC$1:$AC$355,$AB212)))&amp;"",""))</f>
        <v/>
      </c>
      <c r="B212" s="49"/>
      <c r="C212" s="51" t="str">
        <f>IF($AB212="","",INDEX('ORDER Form'!$C$1:$C$355,$AB212))</f>
        <v/>
      </c>
      <c r="D212" s="49"/>
      <c r="E212" s="49"/>
      <c r="F212" s="49"/>
      <c r="G212" s="49"/>
      <c r="H212" s="49"/>
      <c r="I212" s="49"/>
      <c r="J212" s="50" t="str">
        <f>IF($AB212="","",INDEX('ORDER Form'!$D$1:$D$355,$AB212)&amp;"")</f>
        <v/>
      </c>
      <c r="K212" s="50" t="str">
        <f>IF($AB212="","",INDEX('ORDER Form'!$E$1:$E$355,$AB212)&amp;"")</f>
        <v/>
      </c>
      <c r="L212" s="50" t="str">
        <f>IF($AB212="","",INDEX('ORDER Form'!$F$1:$F$355,$AB212)&amp;"")</f>
        <v/>
      </c>
      <c r="M212" s="50" t="str">
        <f>IF($AB212="","",INDEX('ORDER Form'!$G$1:$G$355,$AB212)&amp;"")</f>
        <v/>
      </c>
      <c r="N212" s="50" t="str">
        <f>IF($AB212="","",INDEX('ORDER Form'!$H$1:$H$355,$AB212)&amp;"")</f>
        <v/>
      </c>
      <c r="O212" s="50" t="str">
        <f>IF($AB212="","",INDEX('ORDER Form'!$I$1:$I$355,$AB212)&amp;"")</f>
        <v/>
      </c>
      <c r="P212" s="50" t="str">
        <f>IF($AB212="","",INDEX('ORDER Form'!$J$1:$J$355,$AB212)&amp;"")</f>
        <v/>
      </c>
      <c r="Q212" s="50" t="str">
        <f>IF($AB212="","",INDEX('ORDER Form'!$AB$1:$AB$355,$AB212)&amp;"")</f>
        <v/>
      </c>
      <c r="R212" s="50" t="str">
        <f>IF($AB212="","",INDEX('ORDER Form'!$L$1:$L$355,$AB212)&amp;"")</f>
        <v/>
      </c>
      <c r="S212" s="50" t="str">
        <f>IF($AB212="","",INDEX('ORDER Form'!$N$1:$N$355,$AB212)&amp;"")</f>
        <v/>
      </c>
      <c r="T212" s="50" t="str">
        <f>IF($AB212="","",IF($AD212,T$3,INDEX('ORDER Form'!$O$1:$O$355,$AB212))&amp;"")</f>
        <v/>
      </c>
      <c r="U212" s="50" t="str">
        <f>IF($AB212="","",IF($AD212,U$3,INDEX('ORDER Form'!$P$1:$P$355,$AB212))&amp;"")</f>
        <v/>
      </c>
      <c r="V212" s="50" t="str">
        <f>IF($AB212="","",IF($AD212,V$3,INDEX('ORDER Form'!$Q$1:$Q$355,$AB212))&amp;"")</f>
        <v/>
      </c>
      <c r="W212" s="50" t="str">
        <f>IF($AB212="","",IF($AD212,W$3,INDEX('ORDER Form'!$R$1:$R$355,$AB212))&amp;"")</f>
        <v/>
      </c>
      <c r="X212" s="50" t="str">
        <f>IF($AB212="","",IF($AD212,X$3,INDEX('ORDER Form'!$S$1:$S$355,$AB212))&amp;"")</f>
        <v/>
      </c>
      <c r="Y212" s="50" t="str">
        <f>IF($AB212="","",IF($AD212,Y$3,INDEX('ORDER Form'!$T$1:$T$355,$AB212))&amp;"")</f>
        <v/>
      </c>
      <c r="Z212" s="50" t="str">
        <f>IF($AB212="","",IF($AD212,Z$3,INDEX('ORDER Form'!$U$1:$U$355,$AB212))&amp;"")</f>
        <v/>
      </c>
      <c r="AB212" s="51" t="str">
        <f>IFERROR(MATCH(208,$AC$5:$AC$354,0)+5,"")</f>
        <v/>
      </c>
      <c r="AC212" s="51" t="str">
        <f>IF('ORDER Form'!$V213="OK",COUNTIF('ORDER Form'!$V$6:$V213,"OK"),"")</f>
        <v/>
      </c>
      <c r="AD212" s="51" t="str">
        <f>IF($AB212="","",(LEN(TRIM(INDEX('ORDER Form'!$O$1:$O$355,$AB212)))+LEN(TRIM(INDEX('ORDER Form'!$P$1:$P$355,$AB212)))+LEN(TRIM(INDEX('ORDER Form'!$Q$1:$Q$355,$AB212)))+LEN(TRIM(INDEX('ORDER Form'!$R$1:$R$355,$AB212)))+LEN(TRIM(INDEX('ORDER Form'!$S$1:$S$355,$AB212)))+LEN(TRIM(INDEX('ORDER Form'!$T$1:$T$355,$AB212)))+LEN(TRIM(INDEX('ORDER Form'!$U$1:$U$355,$AB212))))=0)</f>
        <v/>
      </c>
    </row>
    <row r="213" spans="1:30" ht="15" customHeight="1" x14ac:dyDescent="0.25">
      <c r="A213" s="50" t="str">
        <f>IF($AB213="","",IFERROR(IF(AND(INDEX('ORDER Form'!$N$1:$N$355,$AB213)="GB",LEFT(UPPER(TRIM(INDEX('ORDER Form'!$L$1:$L$355,$AB213))),2)="BT"),INDEX('ORDER Form'!$AC$1:$AC$355,$AB213),IFERROR(VLOOKUP(INDEX('ORDER Form'!$AC$1:$AC$355,$AB213)&amp;"|"&amp;INDEX('PRODUCT DATA'!$A$2:$A$58,MATCH(INDEX('ORDER Form'!$N$1:$N$355,$AB213),'PRODUCT DATA'!$B$2:$B$58,0)),'PRODUCT DATA'!$NO$2:$NP$25,2,FALSE()),INDEX('ORDER Form'!$AC$1:$AC$355,$AB213)))&amp;"",""))</f>
        <v/>
      </c>
      <c r="B213" s="49"/>
      <c r="C213" s="51" t="str">
        <f>IF($AB213="","",INDEX('ORDER Form'!$C$1:$C$355,$AB213))</f>
        <v/>
      </c>
      <c r="D213" s="49"/>
      <c r="E213" s="49"/>
      <c r="F213" s="49"/>
      <c r="G213" s="49"/>
      <c r="H213" s="49"/>
      <c r="I213" s="49"/>
      <c r="J213" s="50" t="str">
        <f>IF($AB213="","",INDEX('ORDER Form'!$D$1:$D$355,$AB213)&amp;"")</f>
        <v/>
      </c>
      <c r="K213" s="50" t="str">
        <f>IF($AB213="","",INDEX('ORDER Form'!$E$1:$E$355,$AB213)&amp;"")</f>
        <v/>
      </c>
      <c r="L213" s="50" t="str">
        <f>IF($AB213="","",INDEX('ORDER Form'!$F$1:$F$355,$AB213)&amp;"")</f>
        <v/>
      </c>
      <c r="M213" s="50" t="str">
        <f>IF($AB213="","",INDEX('ORDER Form'!$G$1:$G$355,$AB213)&amp;"")</f>
        <v/>
      </c>
      <c r="N213" s="50" t="str">
        <f>IF($AB213="","",INDEX('ORDER Form'!$H$1:$H$355,$AB213)&amp;"")</f>
        <v/>
      </c>
      <c r="O213" s="50" t="str">
        <f>IF($AB213="","",INDEX('ORDER Form'!$I$1:$I$355,$AB213)&amp;"")</f>
        <v/>
      </c>
      <c r="P213" s="50" t="str">
        <f>IF($AB213="","",INDEX('ORDER Form'!$J$1:$J$355,$AB213)&amp;"")</f>
        <v/>
      </c>
      <c r="Q213" s="50" t="str">
        <f>IF($AB213="","",INDEX('ORDER Form'!$AB$1:$AB$355,$AB213)&amp;"")</f>
        <v/>
      </c>
      <c r="R213" s="50" t="str">
        <f>IF($AB213="","",INDEX('ORDER Form'!$L$1:$L$355,$AB213)&amp;"")</f>
        <v/>
      </c>
      <c r="S213" s="50" t="str">
        <f>IF($AB213="","",INDEX('ORDER Form'!$N$1:$N$355,$AB213)&amp;"")</f>
        <v/>
      </c>
      <c r="T213" s="50" t="str">
        <f>IF($AB213="","",IF($AD213,T$3,INDEX('ORDER Form'!$O$1:$O$355,$AB213))&amp;"")</f>
        <v/>
      </c>
      <c r="U213" s="50" t="str">
        <f>IF($AB213="","",IF($AD213,U$3,INDEX('ORDER Form'!$P$1:$P$355,$AB213))&amp;"")</f>
        <v/>
      </c>
      <c r="V213" s="50" t="str">
        <f>IF($AB213="","",IF($AD213,V$3,INDEX('ORDER Form'!$Q$1:$Q$355,$AB213))&amp;"")</f>
        <v/>
      </c>
      <c r="W213" s="50" t="str">
        <f>IF($AB213="","",IF($AD213,W$3,INDEX('ORDER Form'!$R$1:$R$355,$AB213))&amp;"")</f>
        <v/>
      </c>
      <c r="X213" s="50" t="str">
        <f>IF($AB213="","",IF($AD213,X$3,INDEX('ORDER Form'!$S$1:$S$355,$AB213))&amp;"")</f>
        <v/>
      </c>
      <c r="Y213" s="50" t="str">
        <f>IF($AB213="","",IF($AD213,Y$3,INDEX('ORDER Form'!$T$1:$T$355,$AB213))&amp;"")</f>
        <v/>
      </c>
      <c r="Z213" s="50" t="str">
        <f>IF($AB213="","",IF($AD213,Z$3,INDEX('ORDER Form'!$U$1:$U$355,$AB213))&amp;"")</f>
        <v/>
      </c>
      <c r="AB213" s="51" t="str">
        <f>IFERROR(MATCH(209,$AC$5:$AC$354,0)+5,"")</f>
        <v/>
      </c>
      <c r="AC213" s="51" t="str">
        <f>IF('ORDER Form'!$V214="OK",COUNTIF('ORDER Form'!$V$6:$V214,"OK"),"")</f>
        <v/>
      </c>
      <c r="AD213" s="51" t="str">
        <f>IF($AB213="","",(LEN(TRIM(INDEX('ORDER Form'!$O$1:$O$355,$AB213)))+LEN(TRIM(INDEX('ORDER Form'!$P$1:$P$355,$AB213)))+LEN(TRIM(INDEX('ORDER Form'!$Q$1:$Q$355,$AB213)))+LEN(TRIM(INDEX('ORDER Form'!$R$1:$R$355,$AB213)))+LEN(TRIM(INDEX('ORDER Form'!$S$1:$S$355,$AB213)))+LEN(TRIM(INDEX('ORDER Form'!$T$1:$T$355,$AB213)))+LEN(TRIM(INDEX('ORDER Form'!$U$1:$U$355,$AB213))))=0)</f>
        <v/>
      </c>
    </row>
    <row r="214" spans="1:30" ht="15" customHeight="1" x14ac:dyDescent="0.25">
      <c r="A214" s="50" t="str">
        <f>IF($AB214="","",IFERROR(IF(AND(INDEX('ORDER Form'!$N$1:$N$355,$AB214)="GB",LEFT(UPPER(TRIM(INDEX('ORDER Form'!$L$1:$L$355,$AB214))),2)="BT"),INDEX('ORDER Form'!$AC$1:$AC$355,$AB214),IFERROR(VLOOKUP(INDEX('ORDER Form'!$AC$1:$AC$355,$AB214)&amp;"|"&amp;INDEX('PRODUCT DATA'!$A$2:$A$58,MATCH(INDEX('ORDER Form'!$N$1:$N$355,$AB214),'PRODUCT DATA'!$B$2:$B$58,0)),'PRODUCT DATA'!$NO$2:$NP$25,2,FALSE()),INDEX('ORDER Form'!$AC$1:$AC$355,$AB214)))&amp;"",""))</f>
        <v/>
      </c>
      <c r="B214" s="49"/>
      <c r="C214" s="51" t="str">
        <f>IF($AB214="","",INDEX('ORDER Form'!$C$1:$C$355,$AB214))</f>
        <v/>
      </c>
      <c r="D214" s="49"/>
      <c r="E214" s="49"/>
      <c r="F214" s="49"/>
      <c r="G214" s="49"/>
      <c r="H214" s="49"/>
      <c r="I214" s="49"/>
      <c r="J214" s="50" t="str">
        <f>IF($AB214="","",INDEX('ORDER Form'!$D$1:$D$355,$AB214)&amp;"")</f>
        <v/>
      </c>
      <c r="K214" s="50" t="str">
        <f>IF($AB214="","",INDEX('ORDER Form'!$E$1:$E$355,$AB214)&amp;"")</f>
        <v/>
      </c>
      <c r="L214" s="50" t="str">
        <f>IF($AB214="","",INDEX('ORDER Form'!$F$1:$F$355,$AB214)&amp;"")</f>
        <v/>
      </c>
      <c r="M214" s="50" t="str">
        <f>IF($AB214="","",INDEX('ORDER Form'!$G$1:$G$355,$AB214)&amp;"")</f>
        <v/>
      </c>
      <c r="N214" s="50" t="str">
        <f>IF($AB214="","",INDEX('ORDER Form'!$H$1:$H$355,$AB214)&amp;"")</f>
        <v/>
      </c>
      <c r="O214" s="50" t="str">
        <f>IF($AB214="","",INDEX('ORDER Form'!$I$1:$I$355,$AB214)&amp;"")</f>
        <v/>
      </c>
      <c r="P214" s="50" t="str">
        <f>IF($AB214="","",INDEX('ORDER Form'!$J$1:$J$355,$AB214)&amp;"")</f>
        <v/>
      </c>
      <c r="Q214" s="50" t="str">
        <f>IF($AB214="","",INDEX('ORDER Form'!$AB$1:$AB$355,$AB214)&amp;"")</f>
        <v/>
      </c>
      <c r="R214" s="50" t="str">
        <f>IF($AB214="","",INDEX('ORDER Form'!$L$1:$L$355,$AB214)&amp;"")</f>
        <v/>
      </c>
      <c r="S214" s="50" t="str">
        <f>IF($AB214="","",INDEX('ORDER Form'!$N$1:$N$355,$AB214)&amp;"")</f>
        <v/>
      </c>
      <c r="T214" s="50" t="str">
        <f>IF($AB214="","",IF($AD214,T$3,INDEX('ORDER Form'!$O$1:$O$355,$AB214))&amp;"")</f>
        <v/>
      </c>
      <c r="U214" s="50" t="str">
        <f>IF($AB214="","",IF($AD214,U$3,INDEX('ORDER Form'!$P$1:$P$355,$AB214))&amp;"")</f>
        <v/>
      </c>
      <c r="V214" s="50" t="str">
        <f>IF($AB214="","",IF($AD214,V$3,INDEX('ORDER Form'!$Q$1:$Q$355,$AB214))&amp;"")</f>
        <v/>
      </c>
      <c r="W214" s="50" t="str">
        <f>IF($AB214="","",IF($AD214,W$3,INDEX('ORDER Form'!$R$1:$R$355,$AB214))&amp;"")</f>
        <v/>
      </c>
      <c r="X214" s="50" t="str">
        <f>IF($AB214="","",IF($AD214,X$3,INDEX('ORDER Form'!$S$1:$S$355,$AB214))&amp;"")</f>
        <v/>
      </c>
      <c r="Y214" s="50" t="str">
        <f>IF($AB214="","",IF($AD214,Y$3,INDEX('ORDER Form'!$T$1:$T$355,$AB214))&amp;"")</f>
        <v/>
      </c>
      <c r="Z214" s="50" t="str">
        <f>IF($AB214="","",IF($AD214,Z$3,INDEX('ORDER Form'!$U$1:$U$355,$AB214))&amp;"")</f>
        <v/>
      </c>
      <c r="AB214" s="51" t="str">
        <f>IFERROR(MATCH(210,$AC$5:$AC$354,0)+5,"")</f>
        <v/>
      </c>
      <c r="AC214" s="51" t="str">
        <f>IF('ORDER Form'!$V215="OK",COUNTIF('ORDER Form'!$V$6:$V215,"OK"),"")</f>
        <v/>
      </c>
      <c r="AD214" s="51" t="str">
        <f>IF($AB214="","",(LEN(TRIM(INDEX('ORDER Form'!$O$1:$O$355,$AB214)))+LEN(TRIM(INDEX('ORDER Form'!$P$1:$P$355,$AB214)))+LEN(TRIM(INDEX('ORDER Form'!$Q$1:$Q$355,$AB214)))+LEN(TRIM(INDEX('ORDER Form'!$R$1:$R$355,$AB214)))+LEN(TRIM(INDEX('ORDER Form'!$S$1:$S$355,$AB214)))+LEN(TRIM(INDEX('ORDER Form'!$T$1:$T$355,$AB214)))+LEN(TRIM(INDEX('ORDER Form'!$U$1:$U$355,$AB214))))=0)</f>
        <v/>
      </c>
    </row>
    <row r="215" spans="1:30" ht="15" customHeight="1" x14ac:dyDescent="0.25">
      <c r="A215" s="50" t="str">
        <f>IF($AB215="","",IFERROR(IF(AND(INDEX('ORDER Form'!$N$1:$N$355,$AB215)="GB",LEFT(UPPER(TRIM(INDEX('ORDER Form'!$L$1:$L$355,$AB215))),2)="BT"),INDEX('ORDER Form'!$AC$1:$AC$355,$AB215),IFERROR(VLOOKUP(INDEX('ORDER Form'!$AC$1:$AC$355,$AB215)&amp;"|"&amp;INDEX('PRODUCT DATA'!$A$2:$A$58,MATCH(INDEX('ORDER Form'!$N$1:$N$355,$AB215),'PRODUCT DATA'!$B$2:$B$58,0)),'PRODUCT DATA'!$NO$2:$NP$25,2,FALSE()),INDEX('ORDER Form'!$AC$1:$AC$355,$AB215)))&amp;"",""))</f>
        <v/>
      </c>
      <c r="B215" s="49"/>
      <c r="C215" s="51" t="str">
        <f>IF($AB215="","",INDEX('ORDER Form'!$C$1:$C$355,$AB215))</f>
        <v/>
      </c>
      <c r="D215" s="49"/>
      <c r="E215" s="49"/>
      <c r="F215" s="49"/>
      <c r="G215" s="49"/>
      <c r="H215" s="49"/>
      <c r="I215" s="49"/>
      <c r="J215" s="50" t="str">
        <f>IF($AB215="","",INDEX('ORDER Form'!$D$1:$D$355,$AB215)&amp;"")</f>
        <v/>
      </c>
      <c r="K215" s="50" t="str">
        <f>IF($AB215="","",INDEX('ORDER Form'!$E$1:$E$355,$AB215)&amp;"")</f>
        <v/>
      </c>
      <c r="L215" s="50" t="str">
        <f>IF($AB215="","",INDEX('ORDER Form'!$F$1:$F$355,$AB215)&amp;"")</f>
        <v/>
      </c>
      <c r="M215" s="50" t="str">
        <f>IF($AB215="","",INDEX('ORDER Form'!$G$1:$G$355,$AB215)&amp;"")</f>
        <v/>
      </c>
      <c r="N215" s="50" t="str">
        <f>IF($AB215="","",INDEX('ORDER Form'!$H$1:$H$355,$AB215)&amp;"")</f>
        <v/>
      </c>
      <c r="O215" s="50" t="str">
        <f>IF($AB215="","",INDEX('ORDER Form'!$I$1:$I$355,$AB215)&amp;"")</f>
        <v/>
      </c>
      <c r="P215" s="50" t="str">
        <f>IF($AB215="","",INDEX('ORDER Form'!$J$1:$J$355,$AB215)&amp;"")</f>
        <v/>
      </c>
      <c r="Q215" s="50" t="str">
        <f>IF($AB215="","",INDEX('ORDER Form'!$AB$1:$AB$355,$AB215)&amp;"")</f>
        <v/>
      </c>
      <c r="R215" s="50" t="str">
        <f>IF($AB215="","",INDEX('ORDER Form'!$L$1:$L$355,$AB215)&amp;"")</f>
        <v/>
      </c>
      <c r="S215" s="50" t="str">
        <f>IF($AB215="","",INDEX('ORDER Form'!$N$1:$N$355,$AB215)&amp;"")</f>
        <v/>
      </c>
      <c r="T215" s="50" t="str">
        <f>IF($AB215="","",IF($AD215,T$3,INDEX('ORDER Form'!$O$1:$O$355,$AB215))&amp;"")</f>
        <v/>
      </c>
      <c r="U215" s="50" t="str">
        <f>IF($AB215="","",IF($AD215,U$3,INDEX('ORDER Form'!$P$1:$P$355,$AB215))&amp;"")</f>
        <v/>
      </c>
      <c r="V215" s="50" t="str">
        <f>IF($AB215="","",IF($AD215,V$3,INDEX('ORDER Form'!$Q$1:$Q$355,$AB215))&amp;"")</f>
        <v/>
      </c>
      <c r="W215" s="50" t="str">
        <f>IF($AB215="","",IF($AD215,W$3,INDEX('ORDER Form'!$R$1:$R$355,$AB215))&amp;"")</f>
        <v/>
      </c>
      <c r="X215" s="50" t="str">
        <f>IF($AB215="","",IF($AD215,X$3,INDEX('ORDER Form'!$S$1:$S$355,$AB215))&amp;"")</f>
        <v/>
      </c>
      <c r="Y215" s="50" t="str">
        <f>IF($AB215="","",IF($AD215,Y$3,INDEX('ORDER Form'!$T$1:$T$355,$AB215))&amp;"")</f>
        <v/>
      </c>
      <c r="Z215" s="50" t="str">
        <f>IF($AB215="","",IF($AD215,Z$3,INDEX('ORDER Form'!$U$1:$U$355,$AB215))&amp;"")</f>
        <v/>
      </c>
      <c r="AB215" s="51" t="str">
        <f>IFERROR(MATCH(211,$AC$5:$AC$354,0)+5,"")</f>
        <v/>
      </c>
      <c r="AC215" s="51" t="str">
        <f>IF('ORDER Form'!$V216="OK",COUNTIF('ORDER Form'!$V$6:$V216,"OK"),"")</f>
        <v/>
      </c>
      <c r="AD215" s="51" t="str">
        <f>IF($AB215="","",(LEN(TRIM(INDEX('ORDER Form'!$O$1:$O$355,$AB215)))+LEN(TRIM(INDEX('ORDER Form'!$P$1:$P$355,$AB215)))+LEN(TRIM(INDEX('ORDER Form'!$Q$1:$Q$355,$AB215)))+LEN(TRIM(INDEX('ORDER Form'!$R$1:$R$355,$AB215)))+LEN(TRIM(INDEX('ORDER Form'!$S$1:$S$355,$AB215)))+LEN(TRIM(INDEX('ORDER Form'!$T$1:$T$355,$AB215)))+LEN(TRIM(INDEX('ORDER Form'!$U$1:$U$355,$AB215))))=0)</f>
        <v/>
      </c>
    </row>
    <row r="216" spans="1:30" ht="15" customHeight="1" x14ac:dyDescent="0.25">
      <c r="A216" s="50" t="str">
        <f>IF($AB216="","",IFERROR(IF(AND(INDEX('ORDER Form'!$N$1:$N$355,$AB216)="GB",LEFT(UPPER(TRIM(INDEX('ORDER Form'!$L$1:$L$355,$AB216))),2)="BT"),INDEX('ORDER Form'!$AC$1:$AC$355,$AB216),IFERROR(VLOOKUP(INDEX('ORDER Form'!$AC$1:$AC$355,$AB216)&amp;"|"&amp;INDEX('PRODUCT DATA'!$A$2:$A$58,MATCH(INDEX('ORDER Form'!$N$1:$N$355,$AB216),'PRODUCT DATA'!$B$2:$B$58,0)),'PRODUCT DATA'!$NO$2:$NP$25,2,FALSE()),INDEX('ORDER Form'!$AC$1:$AC$355,$AB216)))&amp;"",""))</f>
        <v/>
      </c>
      <c r="B216" s="49"/>
      <c r="C216" s="51" t="str">
        <f>IF($AB216="","",INDEX('ORDER Form'!$C$1:$C$355,$AB216))</f>
        <v/>
      </c>
      <c r="D216" s="49"/>
      <c r="E216" s="49"/>
      <c r="F216" s="49"/>
      <c r="G216" s="49"/>
      <c r="H216" s="49"/>
      <c r="I216" s="49"/>
      <c r="J216" s="50" t="str">
        <f>IF($AB216="","",INDEX('ORDER Form'!$D$1:$D$355,$AB216)&amp;"")</f>
        <v/>
      </c>
      <c r="K216" s="50" t="str">
        <f>IF($AB216="","",INDEX('ORDER Form'!$E$1:$E$355,$AB216)&amp;"")</f>
        <v/>
      </c>
      <c r="L216" s="50" t="str">
        <f>IF($AB216="","",INDEX('ORDER Form'!$F$1:$F$355,$AB216)&amp;"")</f>
        <v/>
      </c>
      <c r="M216" s="50" t="str">
        <f>IF($AB216="","",INDEX('ORDER Form'!$G$1:$G$355,$AB216)&amp;"")</f>
        <v/>
      </c>
      <c r="N216" s="50" t="str">
        <f>IF($AB216="","",INDEX('ORDER Form'!$H$1:$H$355,$AB216)&amp;"")</f>
        <v/>
      </c>
      <c r="O216" s="50" t="str">
        <f>IF($AB216="","",INDEX('ORDER Form'!$I$1:$I$355,$AB216)&amp;"")</f>
        <v/>
      </c>
      <c r="P216" s="50" t="str">
        <f>IF($AB216="","",INDEX('ORDER Form'!$J$1:$J$355,$AB216)&amp;"")</f>
        <v/>
      </c>
      <c r="Q216" s="50" t="str">
        <f>IF($AB216="","",INDEX('ORDER Form'!$AB$1:$AB$355,$AB216)&amp;"")</f>
        <v/>
      </c>
      <c r="R216" s="50" t="str">
        <f>IF($AB216="","",INDEX('ORDER Form'!$L$1:$L$355,$AB216)&amp;"")</f>
        <v/>
      </c>
      <c r="S216" s="50" t="str">
        <f>IF($AB216="","",INDEX('ORDER Form'!$N$1:$N$355,$AB216)&amp;"")</f>
        <v/>
      </c>
      <c r="T216" s="50" t="str">
        <f>IF($AB216="","",IF($AD216,T$3,INDEX('ORDER Form'!$O$1:$O$355,$AB216))&amp;"")</f>
        <v/>
      </c>
      <c r="U216" s="50" t="str">
        <f>IF($AB216="","",IF($AD216,U$3,INDEX('ORDER Form'!$P$1:$P$355,$AB216))&amp;"")</f>
        <v/>
      </c>
      <c r="V216" s="50" t="str">
        <f>IF($AB216="","",IF($AD216,V$3,INDEX('ORDER Form'!$Q$1:$Q$355,$AB216))&amp;"")</f>
        <v/>
      </c>
      <c r="W216" s="50" t="str">
        <f>IF($AB216="","",IF($AD216,W$3,INDEX('ORDER Form'!$R$1:$R$355,$AB216))&amp;"")</f>
        <v/>
      </c>
      <c r="X216" s="50" t="str">
        <f>IF($AB216="","",IF($AD216,X$3,INDEX('ORDER Form'!$S$1:$S$355,$AB216))&amp;"")</f>
        <v/>
      </c>
      <c r="Y216" s="50" t="str">
        <f>IF($AB216="","",IF($AD216,Y$3,INDEX('ORDER Form'!$T$1:$T$355,$AB216))&amp;"")</f>
        <v/>
      </c>
      <c r="Z216" s="50" t="str">
        <f>IF($AB216="","",IF($AD216,Z$3,INDEX('ORDER Form'!$U$1:$U$355,$AB216))&amp;"")</f>
        <v/>
      </c>
      <c r="AB216" s="51" t="str">
        <f>IFERROR(MATCH(212,$AC$5:$AC$354,0)+5,"")</f>
        <v/>
      </c>
      <c r="AC216" s="51" t="str">
        <f>IF('ORDER Form'!$V217="OK",COUNTIF('ORDER Form'!$V$6:$V217,"OK"),"")</f>
        <v/>
      </c>
      <c r="AD216" s="51" t="str">
        <f>IF($AB216="","",(LEN(TRIM(INDEX('ORDER Form'!$O$1:$O$355,$AB216)))+LEN(TRIM(INDEX('ORDER Form'!$P$1:$P$355,$AB216)))+LEN(TRIM(INDEX('ORDER Form'!$Q$1:$Q$355,$AB216)))+LEN(TRIM(INDEX('ORDER Form'!$R$1:$R$355,$AB216)))+LEN(TRIM(INDEX('ORDER Form'!$S$1:$S$355,$AB216)))+LEN(TRIM(INDEX('ORDER Form'!$T$1:$T$355,$AB216)))+LEN(TRIM(INDEX('ORDER Form'!$U$1:$U$355,$AB216))))=0)</f>
        <v/>
      </c>
    </row>
    <row r="217" spans="1:30" ht="15" customHeight="1" x14ac:dyDescent="0.25">
      <c r="A217" s="50" t="str">
        <f>IF($AB217="","",IFERROR(IF(AND(INDEX('ORDER Form'!$N$1:$N$355,$AB217)="GB",LEFT(UPPER(TRIM(INDEX('ORDER Form'!$L$1:$L$355,$AB217))),2)="BT"),INDEX('ORDER Form'!$AC$1:$AC$355,$AB217),IFERROR(VLOOKUP(INDEX('ORDER Form'!$AC$1:$AC$355,$AB217)&amp;"|"&amp;INDEX('PRODUCT DATA'!$A$2:$A$58,MATCH(INDEX('ORDER Form'!$N$1:$N$355,$AB217),'PRODUCT DATA'!$B$2:$B$58,0)),'PRODUCT DATA'!$NO$2:$NP$25,2,FALSE()),INDEX('ORDER Form'!$AC$1:$AC$355,$AB217)))&amp;"",""))</f>
        <v/>
      </c>
      <c r="B217" s="49"/>
      <c r="C217" s="51" t="str">
        <f>IF($AB217="","",INDEX('ORDER Form'!$C$1:$C$355,$AB217))</f>
        <v/>
      </c>
      <c r="D217" s="49"/>
      <c r="E217" s="49"/>
      <c r="F217" s="49"/>
      <c r="G217" s="49"/>
      <c r="H217" s="49"/>
      <c r="I217" s="49"/>
      <c r="J217" s="50" t="str">
        <f>IF($AB217="","",INDEX('ORDER Form'!$D$1:$D$355,$AB217)&amp;"")</f>
        <v/>
      </c>
      <c r="K217" s="50" t="str">
        <f>IF($AB217="","",INDEX('ORDER Form'!$E$1:$E$355,$AB217)&amp;"")</f>
        <v/>
      </c>
      <c r="L217" s="50" t="str">
        <f>IF($AB217="","",INDEX('ORDER Form'!$F$1:$F$355,$AB217)&amp;"")</f>
        <v/>
      </c>
      <c r="M217" s="50" t="str">
        <f>IF($AB217="","",INDEX('ORDER Form'!$G$1:$G$355,$AB217)&amp;"")</f>
        <v/>
      </c>
      <c r="N217" s="50" t="str">
        <f>IF($AB217="","",INDEX('ORDER Form'!$H$1:$H$355,$AB217)&amp;"")</f>
        <v/>
      </c>
      <c r="O217" s="50" t="str">
        <f>IF($AB217="","",INDEX('ORDER Form'!$I$1:$I$355,$AB217)&amp;"")</f>
        <v/>
      </c>
      <c r="P217" s="50" t="str">
        <f>IF($AB217="","",INDEX('ORDER Form'!$J$1:$J$355,$AB217)&amp;"")</f>
        <v/>
      </c>
      <c r="Q217" s="50" t="str">
        <f>IF($AB217="","",INDEX('ORDER Form'!$AB$1:$AB$355,$AB217)&amp;"")</f>
        <v/>
      </c>
      <c r="R217" s="50" t="str">
        <f>IF($AB217="","",INDEX('ORDER Form'!$L$1:$L$355,$AB217)&amp;"")</f>
        <v/>
      </c>
      <c r="S217" s="50" t="str">
        <f>IF($AB217="","",INDEX('ORDER Form'!$N$1:$N$355,$AB217)&amp;"")</f>
        <v/>
      </c>
      <c r="T217" s="50" t="str">
        <f>IF($AB217="","",IF($AD217,T$3,INDEX('ORDER Form'!$O$1:$O$355,$AB217))&amp;"")</f>
        <v/>
      </c>
      <c r="U217" s="50" t="str">
        <f>IF($AB217="","",IF($AD217,U$3,INDEX('ORDER Form'!$P$1:$P$355,$AB217))&amp;"")</f>
        <v/>
      </c>
      <c r="V217" s="50" t="str">
        <f>IF($AB217="","",IF($AD217,V$3,INDEX('ORDER Form'!$Q$1:$Q$355,$AB217))&amp;"")</f>
        <v/>
      </c>
      <c r="W217" s="50" t="str">
        <f>IF($AB217="","",IF($AD217,W$3,INDEX('ORDER Form'!$R$1:$R$355,$AB217))&amp;"")</f>
        <v/>
      </c>
      <c r="X217" s="50" t="str">
        <f>IF($AB217="","",IF($AD217,X$3,INDEX('ORDER Form'!$S$1:$S$355,$AB217))&amp;"")</f>
        <v/>
      </c>
      <c r="Y217" s="50" t="str">
        <f>IF($AB217="","",IF($AD217,Y$3,INDEX('ORDER Form'!$T$1:$T$355,$AB217))&amp;"")</f>
        <v/>
      </c>
      <c r="Z217" s="50" t="str">
        <f>IF($AB217="","",IF($AD217,Z$3,INDEX('ORDER Form'!$U$1:$U$355,$AB217))&amp;"")</f>
        <v/>
      </c>
      <c r="AB217" s="51" t="str">
        <f>IFERROR(MATCH(213,$AC$5:$AC$354,0)+5,"")</f>
        <v/>
      </c>
      <c r="AC217" s="51" t="str">
        <f>IF('ORDER Form'!$V218="OK",COUNTIF('ORDER Form'!$V$6:$V218,"OK"),"")</f>
        <v/>
      </c>
      <c r="AD217" s="51" t="str">
        <f>IF($AB217="","",(LEN(TRIM(INDEX('ORDER Form'!$O$1:$O$355,$AB217)))+LEN(TRIM(INDEX('ORDER Form'!$P$1:$P$355,$AB217)))+LEN(TRIM(INDEX('ORDER Form'!$Q$1:$Q$355,$AB217)))+LEN(TRIM(INDEX('ORDER Form'!$R$1:$R$355,$AB217)))+LEN(TRIM(INDEX('ORDER Form'!$S$1:$S$355,$AB217)))+LEN(TRIM(INDEX('ORDER Form'!$T$1:$T$355,$AB217)))+LEN(TRIM(INDEX('ORDER Form'!$U$1:$U$355,$AB217))))=0)</f>
        <v/>
      </c>
    </row>
    <row r="218" spans="1:30" ht="15" customHeight="1" x14ac:dyDescent="0.25">
      <c r="A218" s="50" t="str">
        <f>IF($AB218="","",IFERROR(IF(AND(INDEX('ORDER Form'!$N$1:$N$355,$AB218)="GB",LEFT(UPPER(TRIM(INDEX('ORDER Form'!$L$1:$L$355,$AB218))),2)="BT"),INDEX('ORDER Form'!$AC$1:$AC$355,$AB218),IFERROR(VLOOKUP(INDEX('ORDER Form'!$AC$1:$AC$355,$AB218)&amp;"|"&amp;INDEX('PRODUCT DATA'!$A$2:$A$58,MATCH(INDEX('ORDER Form'!$N$1:$N$355,$AB218),'PRODUCT DATA'!$B$2:$B$58,0)),'PRODUCT DATA'!$NO$2:$NP$25,2,FALSE()),INDEX('ORDER Form'!$AC$1:$AC$355,$AB218)))&amp;"",""))</f>
        <v/>
      </c>
      <c r="B218" s="49"/>
      <c r="C218" s="51" t="str">
        <f>IF($AB218="","",INDEX('ORDER Form'!$C$1:$C$355,$AB218))</f>
        <v/>
      </c>
      <c r="D218" s="49"/>
      <c r="E218" s="49"/>
      <c r="F218" s="49"/>
      <c r="G218" s="49"/>
      <c r="H218" s="49"/>
      <c r="I218" s="49"/>
      <c r="J218" s="50" t="str">
        <f>IF($AB218="","",INDEX('ORDER Form'!$D$1:$D$355,$AB218)&amp;"")</f>
        <v/>
      </c>
      <c r="K218" s="50" t="str">
        <f>IF($AB218="","",INDEX('ORDER Form'!$E$1:$E$355,$AB218)&amp;"")</f>
        <v/>
      </c>
      <c r="L218" s="50" t="str">
        <f>IF($AB218="","",INDEX('ORDER Form'!$F$1:$F$355,$AB218)&amp;"")</f>
        <v/>
      </c>
      <c r="M218" s="50" t="str">
        <f>IF($AB218="","",INDEX('ORDER Form'!$G$1:$G$355,$AB218)&amp;"")</f>
        <v/>
      </c>
      <c r="N218" s="50" t="str">
        <f>IF($AB218="","",INDEX('ORDER Form'!$H$1:$H$355,$AB218)&amp;"")</f>
        <v/>
      </c>
      <c r="O218" s="50" t="str">
        <f>IF($AB218="","",INDEX('ORDER Form'!$I$1:$I$355,$AB218)&amp;"")</f>
        <v/>
      </c>
      <c r="P218" s="50" t="str">
        <f>IF($AB218="","",INDEX('ORDER Form'!$J$1:$J$355,$AB218)&amp;"")</f>
        <v/>
      </c>
      <c r="Q218" s="50" t="str">
        <f>IF($AB218="","",INDEX('ORDER Form'!$AB$1:$AB$355,$AB218)&amp;"")</f>
        <v/>
      </c>
      <c r="R218" s="50" t="str">
        <f>IF($AB218="","",INDEX('ORDER Form'!$L$1:$L$355,$AB218)&amp;"")</f>
        <v/>
      </c>
      <c r="S218" s="50" t="str">
        <f>IF($AB218="","",INDEX('ORDER Form'!$N$1:$N$355,$AB218)&amp;"")</f>
        <v/>
      </c>
      <c r="T218" s="50" t="str">
        <f>IF($AB218="","",IF($AD218,T$3,INDEX('ORDER Form'!$O$1:$O$355,$AB218))&amp;"")</f>
        <v/>
      </c>
      <c r="U218" s="50" t="str">
        <f>IF($AB218="","",IF($AD218,U$3,INDEX('ORDER Form'!$P$1:$P$355,$AB218))&amp;"")</f>
        <v/>
      </c>
      <c r="V218" s="50" t="str">
        <f>IF($AB218="","",IF($AD218,V$3,INDEX('ORDER Form'!$Q$1:$Q$355,$AB218))&amp;"")</f>
        <v/>
      </c>
      <c r="W218" s="50" t="str">
        <f>IF($AB218="","",IF($AD218,W$3,INDEX('ORDER Form'!$R$1:$R$355,$AB218))&amp;"")</f>
        <v/>
      </c>
      <c r="X218" s="50" t="str">
        <f>IF($AB218="","",IF($AD218,X$3,INDEX('ORDER Form'!$S$1:$S$355,$AB218))&amp;"")</f>
        <v/>
      </c>
      <c r="Y218" s="50" t="str">
        <f>IF($AB218="","",IF($AD218,Y$3,INDEX('ORDER Form'!$T$1:$T$355,$AB218))&amp;"")</f>
        <v/>
      </c>
      <c r="Z218" s="50" t="str">
        <f>IF($AB218="","",IF($AD218,Z$3,INDEX('ORDER Form'!$U$1:$U$355,$AB218))&amp;"")</f>
        <v/>
      </c>
      <c r="AB218" s="51" t="str">
        <f>IFERROR(MATCH(214,$AC$5:$AC$354,0)+5,"")</f>
        <v/>
      </c>
      <c r="AC218" s="51" t="str">
        <f>IF('ORDER Form'!$V219="OK",COUNTIF('ORDER Form'!$V$6:$V219,"OK"),"")</f>
        <v/>
      </c>
      <c r="AD218" s="51" t="str">
        <f>IF($AB218="","",(LEN(TRIM(INDEX('ORDER Form'!$O$1:$O$355,$AB218)))+LEN(TRIM(INDEX('ORDER Form'!$P$1:$P$355,$AB218)))+LEN(TRIM(INDEX('ORDER Form'!$Q$1:$Q$355,$AB218)))+LEN(TRIM(INDEX('ORDER Form'!$R$1:$R$355,$AB218)))+LEN(TRIM(INDEX('ORDER Form'!$S$1:$S$355,$AB218)))+LEN(TRIM(INDEX('ORDER Form'!$T$1:$T$355,$AB218)))+LEN(TRIM(INDEX('ORDER Form'!$U$1:$U$355,$AB218))))=0)</f>
        <v/>
      </c>
    </row>
    <row r="219" spans="1:30" ht="15" customHeight="1" x14ac:dyDescent="0.25">
      <c r="A219" s="50" t="str">
        <f>IF($AB219="","",IFERROR(IF(AND(INDEX('ORDER Form'!$N$1:$N$355,$AB219)="GB",LEFT(UPPER(TRIM(INDEX('ORDER Form'!$L$1:$L$355,$AB219))),2)="BT"),INDEX('ORDER Form'!$AC$1:$AC$355,$AB219),IFERROR(VLOOKUP(INDEX('ORDER Form'!$AC$1:$AC$355,$AB219)&amp;"|"&amp;INDEX('PRODUCT DATA'!$A$2:$A$58,MATCH(INDEX('ORDER Form'!$N$1:$N$355,$AB219),'PRODUCT DATA'!$B$2:$B$58,0)),'PRODUCT DATA'!$NO$2:$NP$25,2,FALSE()),INDEX('ORDER Form'!$AC$1:$AC$355,$AB219)))&amp;"",""))</f>
        <v/>
      </c>
      <c r="B219" s="49"/>
      <c r="C219" s="51" t="str">
        <f>IF($AB219="","",INDEX('ORDER Form'!$C$1:$C$355,$AB219))</f>
        <v/>
      </c>
      <c r="D219" s="49"/>
      <c r="E219" s="49"/>
      <c r="F219" s="49"/>
      <c r="G219" s="49"/>
      <c r="H219" s="49"/>
      <c r="I219" s="49"/>
      <c r="J219" s="50" t="str">
        <f>IF($AB219="","",INDEX('ORDER Form'!$D$1:$D$355,$AB219)&amp;"")</f>
        <v/>
      </c>
      <c r="K219" s="50" t="str">
        <f>IF($AB219="","",INDEX('ORDER Form'!$E$1:$E$355,$AB219)&amp;"")</f>
        <v/>
      </c>
      <c r="L219" s="50" t="str">
        <f>IF($AB219="","",INDEX('ORDER Form'!$F$1:$F$355,$AB219)&amp;"")</f>
        <v/>
      </c>
      <c r="M219" s="50" t="str">
        <f>IF($AB219="","",INDEX('ORDER Form'!$G$1:$G$355,$AB219)&amp;"")</f>
        <v/>
      </c>
      <c r="N219" s="50" t="str">
        <f>IF($AB219="","",INDEX('ORDER Form'!$H$1:$H$355,$AB219)&amp;"")</f>
        <v/>
      </c>
      <c r="O219" s="50" t="str">
        <f>IF($AB219="","",INDEX('ORDER Form'!$I$1:$I$355,$AB219)&amp;"")</f>
        <v/>
      </c>
      <c r="P219" s="50" t="str">
        <f>IF($AB219="","",INDEX('ORDER Form'!$J$1:$J$355,$AB219)&amp;"")</f>
        <v/>
      </c>
      <c r="Q219" s="50" t="str">
        <f>IF($AB219="","",INDEX('ORDER Form'!$AB$1:$AB$355,$AB219)&amp;"")</f>
        <v/>
      </c>
      <c r="R219" s="50" t="str">
        <f>IF($AB219="","",INDEX('ORDER Form'!$L$1:$L$355,$AB219)&amp;"")</f>
        <v/>
      </c>
      <c r="S219" s="50" t="str">
        <f>IF($AB219="","",INDEX('ORDER Form'!$N$1:$N$355,$AB219)&amp;"")</f>
        <v/>
      </c>
      <c r="T219" s="50" t="str">
        <f>IF($AB219="","",IF($AD219,T$3,INDEX('ORDER Form'!$O$1:$O$355,$AB219))&amp;"")</f>
        <v/>
      </c>
      <c r="U219" s="50" t="str">
        <f>IF($AB219="","",IF($AD219,U$3,INDEX('ORDER Form'!$P$1:$P$355,$AB219))&amp;"")</f>
        <v/>
      </c>
      <c r="V219" s="50" t="str">
        <f>IF($AB219="","",IF($AD219,V$3,INDEX('ORDER Form'!$Q$1:$Q$355,$AB219))&amp;"")</f>
        <v/>
      </c>
      <c r="W219" s="50" t="str">
        <f>IF($AB219="","",IF($AD219,W$3,INDEX('ORDER Form'!$R$1:$R$355,$AB219))&amp;"")</f>
        <v/>
      </c>
      <c r="X219" s="50" t="str">
        <f>IF($AB219="","",IF($AD219,X$3,INDEX('ORDER Form'!$S$1:$S$355,$AB219))&amp;"")</f>
        <v/>
      </c>
      <c r="Y219" s="50" t="str">
        <f>IF($AB219="","",IF($AD219,Y$3,INDEX('ORDER Form'!$T$1:$T$355,$AB219))&amp;"")</f>
        <v/>
      </c>
      <c r="Z219" s="50" t="str">
        <f>IF($AB219="","",IF($AD219,Z$3,INDEX('ORDER Form'!$U$1:$U$355,$AB219))&amp;"")</f>
        <v/>
      </c>
      <c r="AB219" s="51" t="str">
        <f>IFERROR(MATCH(215,$AC$5:$AC$354,0)+5,"")</f>
        <v/>
      </c>
      <c r="AC219" s="51" t="str">
        <f>IF('ORDER Form'!$V220="OK",COUNTIF('ORDER Form'!$V$6:$V220,"OK"),"")</f>
        <v/>
      </c>
      <c r="AD219" s="51" t="str">
        <f>IF($AB219="","",(LEN(TRIM(INDEX('ORDER Form'!$O$1:$O$355,$AB219)))+LEN(TRIM(INDEX('ORDER Form'!$P$1:$P$355,$AB219)))+LEN(TRIM(INDEX('ORDER Form'!$Q$1:$Q$355,$AB219)))+LEN(TRIM(INDEX('ORDER Form'!$R$1:$R$355,$AB219)))+LEN(TRIM(INDEX('ORDER Form'!$S$1:$S$355,$AB219)))+LEN(TRIM(INDEX('ORDER Form'!$T$1:$T$355,$AB219)))+LEN(TRIM(INDEX('ORDER Form'!$U$1:$U$355,$AB219))))=0)</f>
        <v/>
      </c>
    </row>
    <row r="220" spans="1:30" ht="15" customHeight="1" x14ac:dyDescent="0.25">
      <c r="A220" s="50" t="str">
        <f>IF($AB220="","",IFERROR(IF(AND(INDEX('ORDER Form'!$N$1:$N$355,$AB220)="GB",LEFT(UPPER(TRIM(INDEX('ORDER Form'!$L$1:$L$355,$AB220))),2)="BT"),INDEX('ORDER Form'!$AC$1:$AC$355,$AB220),IFERROR(VLOOKUP(INDEX('ORDER Form'!$AC$1:$AC$355,$AB220)&amp;"|"&amp;INDEX('PRODUCT DATA'!$A$2:$A$58,MATCH(INDEX('ORDER Form'!$N$1:$N$355,$AB220),'PRODUCT DATA'!$B$2:$B$58,0)),'PRODUCT DATA'!$NO$2:$NP$25,2,FALSE()),INDEX('ORDER Form'!$AC$1:$AC$355,$AB220)))&amp;"",""))</f>
        <v/>
      </c>
      <c r="B220" s="49"/>
      <c r="C220" s="51" t="str">
        <f>IF($AB220="","",INDEX('ORDER Form'!$C$1:$C$355,$AB220))</f>
        <v/>
      </c>
      <c r="D220" s="49"/>
      <c r="E220" s="49"/>
      <c r="F220" s="49"/>
      <c r="G220" s="49"/>
      <c r="H220" s="49"/>
      <c r="I220" s="49"/>
      <c r="J220" s="50" t="str">
        <f>IF($AB220="","",INDEX('ORDER Form'!$D$1:$D$355,$AB220)&amp;"")</f>
        <v/>
      </c>
      <c r="K220" s="50" t="str">
        <f>IF($AB220="","",INDEX('ORDER Form'!$E$1:$E$355,$AB220)&amp;"")</f>
        <v/>
      </c>
      <c r="L220" s="50" t="str">
        <f>IF($AB220="","",INDEX('ORDER Form'!$F$1:$F$355,$AB220)&amp;"")</f>
        <v/>
      </c>
      <c r="M220" s="50" t="str">
        <f>IF($AB220="","",INDEX('ORDER Form'!$G$1:$G$355,$AB220)&amp;"")</f>
        <v/>
      </c>
      <c r="N220" s="50" t="str">
        <f>IF($AB220="","",INDEX('ORDER Form'!$H$1:$H$355,$AB220)&amp;"")</f>
        <v/>
      </c>
      <c r="O220" s="50" t="str">
        <f>IF($AB220="","",INDEX('ORDER Form'!$I$1:$I$355,$AB220)&amp;"")</f>
        <v/>
      </c>
      <c r="P220" s="50" t="str">
        <f>IF($AB220="","",INDEX('ORDER Form'!$J$1:$J$355,$AB220)&amp;"")</f>
        <v/>
      </c>
      <c r="Q220" s="50" t="str">
        <f>IF($AB220="","",INDEX('ORDER Form'!$AB$1:$AB$355,$AB220)&amp;"")</f>
        <v/>
      </c>
      <c r="R220" s="50" t="str">
        <f>IF($AB220="","",INDEX('ORDER Form'!$L$1:$L$355,$AB220)&amp;"")</f>
        <v/>
      </c>
      <c r="S220" s="50" t="str">
        <f>IF($AB220="","",INDEX('ORDER Form'!$N$1:$N$355,$AB220)&amp;"")</f>
        <v/>
      </c>
      <c r="T220" s="50" t="str">
        <f>IF($AB220="","",IF($AD220,T$3,INDEX('ORDER Form'!$O$1:$O$355,$AB220))&amp;"")</f>
        <v/>
      </c>
      <c r="U220" s="50" t="str">
        <f>IF($AB220="","",IF($AD220,U$3,INDEX('ORDER Form'!$P$1:$P$355,$AB220))&amp;"")</f>
        <v/>
      </c>
      <c r="V220" s="50" t="str">
        <f>IF($AB220="","",IF($AD220,V$3,INDEX('ORDER Form'!$Q$1:$Q$355,$AB220))&amp;"")</f>
        <v/>
      </c>
      <c r="W220" s="50" t="str">
        <f>IF($AB220="","",IF($AD220,W$3,INDEX('ORDER Form'!$R$1:$R$355,$AB220))&amp;"")</f>
        <v/>
      </c>
      <c r="X220" s="50" t="str">
        <f>IF($AB220="","",IF($AD220,X$3,INDEX('ORDER Form'!$S$1:$S$355,$AB220))&amp;"")</f>
        <v/>
      </c>
      <c r="Y220" s="50" t="str">
        <f>IF($AB220="","",IF($AD220,Y$3,INDEX('ORDER Form'!$T$1:$T$355,$AB220))&amp;"")</f>
        <v/>
      </c>
      <c r="Z220" s="50" t="str">
        <f>IF($AB220="","",IF($AD220,Z$3,INDEX('ORDER Form'!$U$1:$U$355,$AB220))&amp;"")</f>
        <v/>
      </c>
      <c r="AB220" s="51" t="str">
        <f>IFERROR(MATCH(216,$AC$5:$AC$354,0)+5,"")</f>
        <v/>
      </c>
      <c r="AC220" s="51" t="str">
        <f>IF('ORDER Form'!$V221="OK",COUNTIF('ORDER Form'!$V$6:$V221,"OK"),"")</f>
        <v/>
      </c>
      <c r="AD220" s="51" t="str">
        <f>IF($AB220="","",(LEN(TRIM(INDEX('ORDER Form'!$O$1:$O$355,$AB220)))+LEN(TRIM(INDEX('ORDER Form'!$P$1:$P$355,$AB220)))+LEN(TRIM(INDEX('ORDER Form'!$Q$1:$Q$355,$AB220)))+LEN(TRIM(INDEX('ORDER Form'!$R$1:$R$355,$AB220)))+LEN(TRIM(INDEX('ORDER Form'!$S$1:$S$355,$AB220)))+LEN(TRIM(INDEX('ORDER Form'!$T$1:$T$355,$AB220)))+LEN(TRIM(INDEX('ORDER Form'!$U$1:$U$355,$AB220))))=0)</f>
        <v/>
      </c>
    </row>
    <row r="221" spans="1:30" ht="15" customHeight="1" x14ac:dyDescent="0.25">
      <c r="A221" s="50" t="str">
        <f>IF($AB221="","",IFERROR(IF(AND(INDEX('ORDER Form'!$N$1:$N$355,$AB221)="GB",LEFT(UPPER(TRIM(INDEX('ORDER Form'!$L$1:$L$355,$AB221))),2)="BT"),INDEX('ORDER Form'!$AC$1:$AC$355,$AB221),IFERROR(VLOOKUP(INDEX('ORDER Form'!$AC$1:$AC$355,$AB221)&amp;"|"&amp;INDEX('PRODUCT DATA'!$A$2:$A$58,MATCH(INDEX('ORDER Form'!$N$1:$N$355,$AB221),'PRODUCT DATA'!$B$2:$B$58,0)),'PRODUCT DATA'!$NO$2:$NP$25,2,FALSE()),INDEX('ORDER Form'!$AC$1:$AC$355,$AB221)))&amp;"",""))</f>
        <v/>
      </c>
      <c r="B221" s="49"/>
      <c r="C221" s="51" t="str">
        <f>IF($AB221="","",INDEX('ORDER Form'!$C$1:$C$355,$AB221))</f>
        <v/>
      </c>
      <c r="D221" s="49"/>
      <c r="E221" s="49"/>
      <c r="F221" s="49"/>
      <c r="G221" s="49"/>
      <c r="H221" s="49"/>
      <c r="I221" s="49"/>
      <c r="J221" s="50" t="str">
        <f>IF($AB221="","",INDEX('ORDER Form'!$D$1:$D$355,$AB221)&amp;"")</f>
        <v/>
      </c>
      <c r="K221" s="50" t="str">
        <f>IF($AB221="","",INDEX('ORDER Form'!$E$1:$E$355,$AB221)&amp;"")</f>
        <v/>
      </c>
      <c r="L221" s="50" t="str">
        <f>IF($AB221="","",INDEX('ORDER Form'!$F$1:$F$355,$AB221)&amp;"")</f>
        <v/>
      </c>
      <c r="M221" s="50" t="str">
        <f>IF($AB221="","",INDEX('ORDER Form'!$G$1:$G$355,$AB221)&amp;"")</f>
        <v/>
      </c>
      <c r="N221" s="50" t="str">
        <f>IF($AB221="","",INDEX('ORDER Form'!$H$1:$H$355,$AB221)&amp;"")</f>
        <v/>
      </c>
      <c r="O221" s="50" t="str">
        <f>IF($AB221="","",INDEX('ORDER Form'!$I$1:$I$355,$AB221)&amp;"")</f>
        <v/>
      </c>
      <c r="P221" s="50" t="str">
        <f>IF($AB221="","",INDEX('ORDER Form'!$J$1:$J$355,$AB221)&amp;"")</f>
        <v/>
      </c>
      <c r="Q221" s="50" t="str">
        <f>IF($AB221="","",INDEX('ORDER Form'!$AB$1:$AB$355,$AB221)&amp;"")</f>
        <v/>
      </c>
      <c r="R221" s="50" t="str">
        <f>IF($AB221="","",INDEX('ORDER Form'!$L$1:$L$355,$AB221)&amp;"")</f>
        <v/>
      </c>
      <c r="S221" s="50" t="str">
        <f>IF($AB221="","",INDEX('ORDER Form'!$N$1:$N$355,$AB221)&amp;"")</f>
        <v/>
      </c>
      <c r="T221" s="50" t="str">
        <f>IF($AB221="","",IF($AD221,T$3,INDEX('ORDER Form'!$O$1:$O$355,$AB221))&amp;"")</f>
        <v/>
      </c>
      <c r="U221" s="50" t="str">
        <f>IF($AB221="","",IF($AD221,U$3,INDEX('ORDER Form'!$P$1:$P$355,$AB221))&amp;"")</f>
        <v/>
      </c>
      <c r="V221" s="50" t="str">
        <f>IF($AB221="","",IF($AD221,V$3,INDEX('ORDER Form'!$Q$1:$Q$355,$AB221))&amp;"")</f>
        <v/>
      </c>
      <c r="W221" s="50" t="str">
        <f>IF($AB221="","",IF($AD221,W$3,INDEX('ORDER Form'!$R$1:$R$355,$AB221))&amp;"")</f>
        <v/>
      </c>
      <c r="X221" s="50" t="str">
        <f>IF($AB221="","",IF($AD221,X$3,INDEX('ORDER Form'!$S$1:$S$355,$AB221))&amp;"")</f>
        <v/>
      </c>
      <c r="Y221" s="50" t="str">
        <f>IF($AB221="","",IF($AD221,Y$3,INDEX('ORDER Form'!$T$1:$T$355,$AB221))&amp;"")</f>
        <v/>
      </c>
      <c r="Z221" s="50" t="str">
        <f>IF($AB221="","",IF($AD221,Z$3,INDEX('ORDER Form'!$U$1:$U$355,$AB221))&amp;"")</f>
        <v/>
      </c>
      <c r="AB221" s="51" t="str">
        <f>IFERROR(MATCH(217,$AC$5:$AC$354,0)+5,"")</f>
        <v/>
      </c>
      <c r="AC221" s="51" t="str">
        <f>IF('ORDER Form'!$V222="OK",COUNTIF('ORDER Form'!$V$6:$V222,"OK"),"")</f>
        <v/>
      </c>
      <c r="AD221" s="51" t="str">
        <f>IF($AB221="","",(LEN(TRIM(INDEX('ORDER Form'!$O$1:$O$355,$AB221)))+LEN(TRIM(INDEX('ORDER Form'!$P$1:$P$355,$AB221)))+LEN(TRIM(INDEX('ORDER Form'!$Q$1:$Q$355,$AB221)))+LEN(TRIM(INDEX('ORDER Form'!$R$1:$R$355,$AB221)))+LEN(TRIM(INDEX('ORDER Form'!$S$1:$S$355,$AB221)))+LEN(TRIM(INDEX('ORDER Form'!$T$1:$T$355,$AB221)))+LEN(TRIM(INDEX('ORDER Form'!$U$1:$U$355,$AB221))))=0)</f>
        <v/>
      </c>
    </row>
    <row r="222" spans="1:30" ht="15" customHeight="1" x14ac:dyDescent="0.25">
      <c r="A222" s="50" t="str">
        <f>IF($AB222="","",IFERROR(IF(AND(INDEX('ORDER Form'!$N$1:$N$355,$AB222)="GB",LEFT(UPPER(TRIM(INDEX('ORDER Form'!$L$1:$L$355,$AB222))),2)="BT"),INDEX('ORDER Form'!$AC$1:$AC$355,$AB222),IFERROR(VLOOKUP(INDEX('ORDER Form'!$AC$1:$AC$355,$AB222)&amp;"|"&amp;INDEX('PRODUCT DATA'!$A$2:$A$58,MATCH(INDEX('ORDER Form'!$N$1:$N$355,$AB222),'PRODUCT DATA'!$B$2:$B$58,0)),'PRODUCT DATA'!$NO$2:$NP$25,2,FALSE()),INDEX('ORDER Form'!$AC$1:$AC$355,$AB222)))&amp;"",""))</f>
        <v/>
      </c>
      <c r="B222" s="49"/>
      <c r="C222" s="51" t="str">
        <f>IF($AB222="","",INDEX('ORDER Form'!$C$1:$C$355,$AB222))</f>
        <v/>
      </c>
      <c r="D222" s="49"/>
      <c r="E222" s="49"/>
      <c r="F222" s="49"/>
      <c r="G222" s="49"/>
      <c r="H222" s="49"/>
      <c r="I222" s="49"/>
      <c r="J222" s="50" t="str">
        <f>IF($AB222="","",INDEX('ORDER Form'!$D$1:$D$355,$AB222)&amp;"")</f>
        <v/>
      </c>
      <c r="K222" s="50" t="str">
        <f>IF($AB222="","",INDEX('ORDER Form'!$E$1:$E$355,$AB222)&amp;"")</f>
        <v/>
      </c>
      <c r="L222" s="50" t="str">
        <f>IF($AB222="","",INDEX('ORDER Form'!$F$1:$F$355,$AB222)&amp;"")</f>
        <v/>
      </c>
      <c r="M222" s="50" t="str">
        <f>IF($AB222="","",INDEX('ORDER Form'!$G$1:$G$355,$AB222)&amp;"")</f>
        <v/>
      </c>
      <c r="N222" s="50" t="str">
        <f>IF($AB222="","",INDEX('ORDER Form'!$H$1:$H$355,$AB222)&amp;"")</f>
        <v/>
      </c>
      <c r="O222" s="50" t="str">
        <f>IF($AB222="","",INDEX('ORDER Form'!$I$1:$I$355,$AB222)&amp;"")</f>
        <v/>
      </c>
      <c r="P222" s="50" t="str">
        <f>IF($AB222="","",INDEX('ORDER Form'!$J$1:$J$355,$AB222)&amp;"")</f>
        <v/>
      </c>
      <c r="Q222" s="50" t="str">
        <f>IF($AB222="","",INDEX('ORDER Form'!$AB$1:$AB$355,$AB222)&amp;"")</f>
        <v/>
      </c>
      <c r="R222" s="50" t="str">
        <f>IF($AB222="","",INDEX('ORDER Form'!$L$1:$L$355,$AB222)&amp;"")</f>
        <v/>
      </c>
      <c r="S222" s="50" t="str">
        <f>IF($AB222="","",INDEX('ORDER Form'!$N$1:$N$355,$AB222)&amp;"")</f>
        <v/>
      </c>
      <c r="T222" s="50" t="str">
        <f>IF($AB222="","",IF($AD222,T$3,INDEX('ORDER Form'!$O$1:$O$355,$AB222))&amp;"")</f>
        <v/>
      </c>
      <c r="U222" s="50" t="str">
        <f>IF($AB222="","",IF($AD222,U$3,INDEX('ORDER Form'!$P$1:$P$355,$AB222))&amp;"")</f>
        <v/>
      </c>
      <c r="V222" s="50" t="str">
        <f>IF($AB222="","",IF($AD222,V$3,INDEX('ORDER Form'!$Q$1:$Q$355,$AB222))&amp;"")</f>
        <v/>
      </c>
      <c r="W222" s="50" t="str">
        <f>IF($AB222="","",IF($AD222,W$3,INDEX('ORDER Form'!$R$1:$R$355,$AB222))&amp;"")</f>
        <v/>
      </c>
      <c r="X222" s="50" t="str">
        <f>IF($AB222="","",IF($AD222,X$3,INDEX('ORDER Form'!$S$1:$S$355,$AB222))&amp;"")</f>
        <v/>
      </c>
      <c r="Y222" s="50" t="str">
        <f>IF($AB222="","",IF($AD222,Y$3,INDEX('ORDER Form'!$T$1:$T$355,$AB222))&amp;"")</f>
        <v/>
      </c>
      <c r="Z222" s="50" t="str">
        <f>IF($AB222="","",IF($AD222,Z$3,INDEX('ORDER Form'!$U$1:$U$355,$AB222))&amp;"")</f>
        <v/>
      </c>
      <c r="AB222" s="51" t="str">
        <f>IFERROR(MATCH(218,$AC$5:$AC$354,0)+5,"")</f>
        <v/>
      </c>
      <c r="AC222" s="51" t="str">
        <f>IF('ORDER Form'!$V223="OK",COUNTIF('ORDER Form'!$V$6:$V223,"OK"),"")</f>
        <v/>
      </c>
      <c r="AD222" s="51" t="str">
        <f>IF($AB222="","",(LEN(TRIM(INDEX('ORDER Form'!$O$1:$O$355,$AB222)))+LEN(TRIM(INDEX('ORDER Form'!$P$1:$P$355,$AB222)))+LEN(TRIM(INDEX('ORDER Form'!$Q$1:$Q$355,$AB222)))+LEN(TRIM(INDEX('ORDER Form'!$R$1:$R$355,$AB222)))+LEN(TRIM(INDEX('ORDER Form'!$S$1:$S$355,$AB222)))+LEN(TRIM(INDEX('ORDER Form'!$T$1:$T$355,$AB222)))+LEN(TRIM(INDEX('ORDER Form'!$U$1:$U$355,$AB222))))=0)</f>
        <v/>
      </c>
    </row>
    <row r="223" spans="1:30" ht="15" customHeight="1" x14ac:dyDescent="0.25">
      <c r="A223" s="50" t="str">
        <f>IF($AB223="","",IFERROR(IF(AND(INDEX('ORDER Form'!$N$1:$N$355,$AB223)="GB",LEFT(UPPER(TRIM(INDEX('ORDER Form'!$L$1:$L$355,$AB223))),2)="BT"),INDEX('ORDER Form'!$AC$1:$AC$355,$AB223),IFERROR(VLOOKUP(INDEX('ORDER Form'!$AC$1:$AC$355,$AB223)&amp;"|"&amp;INDEX('PRODUCT DATA'!$A$2:$A$58,MATCH(INDEX('ORDER Form'!$N$1:$N$355,$AB223),'PRODUCT DATA'!$B$2:$B$58,0)),'PRODUCT DATA'!$NO$2:$NP$25,2,FALSE()),INDEX('ORDER Form'!$AC$1:$AC$355,$AB223)))&amp;"",""))</f>
        <v/>
      </c>
      <c r="B223" s="49"/>
      <c r="C223" s="51" t="str">
        <f>IF($AB223="","",INDEX('ORDER Form'!$C$1:$C$355,$AB223))</f>
        <v/>
      </c>
      <c r="D223" s="49"/>
      <c r="E223" s="49"/>
      <c r="F223" s="49"/>
      <c r="G223" s="49"/>
      <c r="H223" s="49"/>
      <c r="I223" s="49"/>
      <c r="J223" s="50" t="str">
        <f>IF($AB223="","",INDEX('ORDER Form'!$D$1:$D$355,$AB223)&amp;"")</f>
        <v/>
      </c>
      <c r="K223" s="50" t="str">
        <f>IF($AB223="","",INDEX('ORDER Form'!$E$1:$E$355,$AB223)&amp;"")</f>
        <v/>
      </c>
      <c r="L223" s="50" t="str">
        <f>IF($AB223="","",INDEX('ORDER Form'!$F$1:$F$355,$AB223)&amp;"")</f>
        <v/>
      </c>
      <c r="M223" s="50" t="str">
        <f>IF($AB223="","",INDEX('ORDER Form'!$G$1:$G$355,$AB223)&amp;"")</f>
        <v/>
      </c>
      <c r="N223" s="50" t="str">
        <f>IF($AB223="","",INDEX('ORDER Form'!$H$1:$H$355,$AB223)&amp;"")</f>
        <v/>
      </c>
      <c r="O223" s="50" t="str">
        <f>IF($AB223="","",INDEX('ORDER Form'!$I$1:$I$355,$AB223)&amp;"")</f>
        <v/>
      </c>
      <c r="P223" s="50" t="str">
        <f>IF($AB223="","",INDEX('ORDER Form'!$J$1:$J$355,$AB223)&amp;"")</f>
        <v/>
      </c>
      <c r="Q223" s="50" t="str">
        <f>IF($AB223="","",INDEX('ORDER Form'!$AB$1:$AB$355,$AB223)&amp;"")</f>
        <v/>
      </c>
      <c r="R223" s="50" t="str">
        <f>IF($AB223="","",INDEX('ORDER Form'!$L$1:$L$355,$AB223)&amp;"")</f>
        <v/>
      </c>
      <c r="S223" s="50" t="str">
        <f>IF($AB223="","",INDEX('ORDER Form'!$N$1:$N$355,$AB223)&amp;"")</f>
        <v/>
      </c>
      <c r="T223" s="50" t="str">
        <f>IF($AB223="","",IF($AD223,T$3,INDEX('ORDER Form'!$O$1:$O$355,$AB223))&amp;"")</f>
        <v/>
      </c>
      <c r="U223" s="50" t="str">
        <f>IF($AB223="","",IF($AD223,U$3,INDEX('ORDER Form'!$P$1:$P$355,$AB223))&amp;"")</f>
        <v/>
      </c>
      <c r="V223" s="50" t="str">
        <f>IF($AB223="","",IF($AD223,V$3,INDEX('ORDER Form'!$Q$1:$Q$355,$AB223))&amp;"")</f>
        <v/>
      </c>
      <c r="W223" s="50" t="str">
        <f>IF($AB223="","",IF($AD223,W$3,INDEX('ORDER Form'!$R$1:$R$355,$AB223))&amp;"")</f>
        <v/>
      </c>
      <c r="X223" s="50" t="str">
        <f>IF($AB223="","",IF($AD223,X$3,INDEX('ORDER Form'!$S$1:$S$355,$AB223))&amp;"")</f>
        <v/>
      </c>
      <c r="Y223" s="50" t="str">
        <f>IF($AB223="","",IF($AD223,Y$3,INDEX('ORDER Form'!$T$1:$T$355,$AB223))&amp;"")</f>
        <v/>
      </c>
      <c r="Z223" s="50" t="str">
        <f>IF($AB223="","",IF($AD223,Z$3,INDEX('ORDER Form'!$U$1:$U$355,$AB223))&amp;"")</f>
        <v/>
      </c>
      <c r="AB223" s="51" t="str">
        <f>IFERROR(MATCH(219,$AC$5:$AC$354,0)+5,"")</f>
        <v/>
      </c>
      <c r="AC223" s="51" t="str">
        <f>IF('ORDER Form'!$V224="OK",COUNTIF('ORDER Form'!$V$6:$V224,"OK"),"")</f>
        <v/>
      </c>
      <c r="AD223" s="51" t="str">
        <f>IF($AB223="","",(LEN(TRIM(INDEX('ORDER Form'!$O$1:$O$355,$AB223)))+LEN(TRIM(INDEX('ORDER Form'!$P$1:$P$355,$AB223)))+LEN(TRIM(INDEX('ORDER Form'!$Q$1:$Q$355,$AB223)))+LEN(TRIM(INDEX('ORDER Form'!$R$1:$R$355,$AB223)))+LEN(TRIM(INDEX('ORDER Form'!$S$1:$S$355,$AB223)))+LEN(TRIM(INDEX('ORDER Form'!$T$1:$T$355,$AB223)))+LEN(TRIM(INDEX('ORDER Form'!$U$1:$U$355,$AB223))))=0)</f>
        <v/>
      </c>
    </row>
    <row r="224" spans="1:30" ht="15" customHeight="1" x14ac:dyDescent="0.25">
      <c r="A224" s="50" t="str">
        <f>IF($AB224="","",IFERROR(IF(AND(INDEX('ORDER Form'!$N$1:$N$355,$AB224)="GB",LEFT(UPPER(TRIM(INDEX('ORDER Form'!$L$1:$L$355,$AB224))),2)="BT"),INDEX('ORDER Form'!$AC$1:$AC$355,$AB224),IFERROR(VLOOKUP(INDEX('ORDER Form'!$AC$1:$AC$355,$AB224)&amp;"|"&amp;INDEX('PRODUCT DATA'!$A$2:$A$58,MATCH(INDEX('ORDER Form'!$N$1:$N$355,$AB224),'PRODUCT DATA'!$B$2:$B$58,0)),'PRODUCT DATA'!$NO$2:$NP$25,2,FALSE()),INDEX('ORDER Form'!$AC$1:$AC$355,$AB224)))&amp;"",""))</f>
        <v/>
      </c>
      <c r="B224" s="49"/>
      <c r="C224" s="51" t="str">
        <f>IF($AB224="","",INDEX('ORDER Form'!$C$1:$C$355,$AB224))</f>
        <v/>
      </c>
      <c r="D224" s="49"/>
      <c r="E224" s="49"/>
      <c r="F224" s="49"/>
      <c r="G224" s="49"/>
      <c r="H224" s="49"/>
      <c r="I224" s="49"/>
      <c r="J224" s="50" t="str">
        <f>IF($AB224="","",INDEX('ORDER Form'!$D$1:$D$355,$AB224)&amp;"")</f>
        <v/>
      </c>
      <c r="K224" s="50" t="str">
        <f>IF($AB224="","",INDEX('ORDER Form'!$E$1:$E$355,$AB224)&amp;"")</f>
        <v/>
      </c>
      <c r="L224" s="50" t="str">
        <f>IF($AB224="","",INDEX('ORDER Form'!$F$1:$F$355,$AB224)&amp;"")</f>
        <v/>
      </c>
      <c r="M224" s="50" t="str">
        <f>IF($AB224="","",INDEX('ORDER Form'!$G$1:$G$355,$AB224)&amp;"")</f>
        <v/>
      </c>
      <c r="N224" s="50" t="str">
        <f>IF($AB224="","",INDEX('ORDER Form'!$H$1:$H$355,$AB224)&amp;"")</f>
        <v/>
      </c>
      <c r="O224" s="50" t="str">
        <f>IF($AB224="","",INDEX('ORDER Form'!$I$1:$I$355,$AB224)&amp;"")</f>
        <v/>
      </c>
      <c r="P224" s="50" t="str">
        <f>IF($AB224="","",INDEX('ORDER Form'!$J$1:$J$355,$AB224)&amp;"")</f>
        <v/>
      </c>
      <c r="Q224" s="50" t="str">
        <f>IF($AB224="","",INDEX('ORDER Form'!$AB$1:$AB$355,$AB224)&amp;"")</f>
        <v/>
      </c>
      <c r="R224" s="50" t="str">
        <f>IF($AB224="","",INDEX('ORDER Form'!$L$1:$L$355,$AB224)&amp;"")</f>
        <v/>
      </c>
      <c r="S224" s="50" t="str">
        <f>IF($AB224="","",INDEX('ORDER Form'!$N$1:$N$355,$AB224)&amp;"")</f>
        <v/>
      </c>
      <c r="T224" s="50" t="str">
        <f>IF($AB224="","",IF($AD224,T$3,INDEX('ORDER Form'!$O$1:$O$355,$AB224))&amp;"")</f>
        <v/>
      </c>
      <c r="U224" s="50" t="str">
        <f>IF($AB224="","",IF($AD224,U$3,INDEX('ORDER Form'!$P$1:$P$355,$AB224))&amp;"")</f>
        <v/>
      </c>
      <c r="V224" s="50" t="str">
        <f>IF($AB224="","",IF($AD224,V$3,INDEX('ORDER Form'!$Q$1:$Q$355,$AB224))&amp;"")</f>
        <v/>
      </c>
      <c r="W224" s="50" t="str">
        <f>IF($AB224="","",IF($AD224,W$3,INDEX('ORDER Form'!$R$1:$R$355,$AB224))&amp;"")</f>
        <v/>
      </c>
      <c r="X224" s="50" t="str">
        <f>IF($AB224="","",IF($AD224,X$3,INDEX('ORDER Form'!$S$1:$S$355,$AB224))&amp;"")</f>
        <v/>
      </c>
      <c r="Y224" s="50" t="str">
        <f>IF($AB224="","",IF($AD224,Y$3,INDEX('ORDER Form'!$T$1:$T$355,$AB224))&amp;"")</f>
        <v/>
      </c>
      <c r="Z224" s="50" t="str">
        <f>IF($AB224="","",IF($AD224,Z$3,INDEX('ORDER Form'!$U$1:$U$355,$AB224))&amp;"")</f>
        <v/>
      </c>
      <c r="AB224" s="51" t="str">
        <f>IFERROR(MATCH(220,$AC$5:$AC$354,0)+5,"")</f>
        <v/>
      </c>
      <c r="AC224" s="51" t="str">
        <f>IF('ORDER Form'!$V225="OK",COUNTIF('ORDER Form'!$V$6:$V225,"OK"),"")</f>
        <v/>
      </c>
      <c r="AD224" s="51" t="str">
        <f>IF($AB224="","",(LEN(TRIM(INDEX('ORDER Form'!$O$1:$O$355,$AB224)))+LEN(TRIM(INDEX('ORDER Form'!$P$1:$P$355,$AB224)))+LEN(TRIM(INDEX('ORDER Form'!$Q$1:$Q$355,$AB224)))+LEN(TRIM(INDEX('ORDER Form'!$R$1:$R$355,$AB224)))+LEN(TRIM(INDEX('ORDER Form'!$S$1:$S$355,$AB224)))+LEN(TRIM(INDEX('ORDER Form'!$T$1:$T$355,$AB224)))+LEN(TRIM(INDEX('ORDER Form'!$U$1:$U$355,$AB224))))=0)</f>
        <v/>
      </c>
    </row>
    <row r="225" spans="1:30" ht="15" customHeight="1" x14ac:dyDescent="0.25">
      <c r="A225" s="50" t="str">
        <f>IF($AB225="","",IFERROR(IF(AND(INDEX('ORDER Form'!$N$1:$N$355,$AB225)="GB",LEFT(UPPER(TRIM(INDEX('ORDER Form'!$L$1:$L$355,$AB225))),2)="BT"),INDEX('ORDER Form'!$AC$1:$AC$355,$AB225),IFERROR(VLOOKUP(INDEX('ORDER Form'!$AC$1:$AC$355,$AB225)&amp;"|"&amp;INDEX('PRODUCT DATA'!$A$2:$A$58,MATCH(INDEX('ORDER Form'!$N$1:$N$355,$AB225),'PRODUCT DATA'!$B$2:$B$58,0)),'PRODUCT DATA'!$NO$2:$NP$25,2,FALSE()),INDEX('ORDER Form'!$AC$1:$AC$355,$AB225)))&amp;"",""))</f>
        <v/>
      </c>
      <c r="B225" s="49"/>
      <c r="C225" s="51" t="str">
        <f>IF($AB225="","",INDEX('ORDER Form'!$C$1:$C$355,$AB225))</f>
        <v/>
      </c>
      <c r="D225" s="49"/>
      <c r="E225" s="49"/>
      <c r="F225" s="49"/>
      <c r="G225" s="49"/>
      <c r="H225" s="49"/>
      <c r="I225" s="49"/>
      <c r="J225" s="50" t="str">
        <f>IF($AB225="","",INDEX('ORDER Form'!$D$1:$D$355,$AB225)&amp;"")</f>
        <v/>
      </c>
      <c r="K225" s="50" t="str">
        <f>IF($AB225="","",INDEX('ORDER Form'!$E$1:$E$355,$AB225)&amp;"")</f>
        <v/>
      </c>
      <c r="L225" s="50" t="str">
        <f>IF($AB225="","",INDEX('ORDER Form'!$F$1:$F$355,$AB225)&amp;"")</f>
        <v/>
      </c>
      <c r="M225" s="50" t="str">
        <f>IF($AB225="","",INDEX('ORDER Form'!$G$1:$G$355,$AB225)&amp;"")</f>
        <v/>
      </c>
      <c r="N225" s="50" t="str">
        <f>IF($AB225="","",INDEX('ORDER Form'!$H$1:$H$355,$AB225)&amp;"")</f>
        <v/>
      </c>
      <c r="O225" s="50" t="str">
        <f>IF($AB225="","",INDEX('ORDER Form'!$I$1:$I$355,$AB225)&amp;"")</f>
        <v/>
      </c>
      <c r="P225" s="50" t="str">
        <f>IF($AB225="","",INDEX('ORDER Form'!$J$1:$J$355,$AB225)&amp;"")</f>
        <v/>
      </c>
      <c r="Q225" s="50" t="str">
        <f>IF($AB225="","",INDEX('ORDER Form'!$AB$1:$AB$355,$AB225)&amp;"")</f>
        <v/>
      </c>
      <c r="R225" s="50" t="str">
        <f>IF($AB225="","",INDEX('ORDER Form'!$L$1:$L$355,$AB225)&amp;"")</f>
        <v/>
      </c>
      <c r="S225" s="50" t="str">
        <f>IF($AB225="","",INDEX('ORDER Form'!$N$1:$N$355,$AB225)&amp;"")</f>
        <v/>
      </c>
      <c r="T225" s="50" t="str">
        <f>IF($AB225="","",IF($AD225,T$3,INDEX('ORDER Form'!$O$1:$O$355,$AB225))&amp;"")</f>
        <v/>
      </c>
      <c r="U225" s="50" t="str">
        <f>IF($AB225="","",IF($AD225,U$3,INDEX('ORDER Form'!$P$1:$P$355,$AB225))&amp;"")</f>
        <v/>
      </c>
      <c r="V225" s="50" t="str">
        <f>IF($AB225="","",IF($AD225,V$3,INDEX('ORDER Form'!$Q$1:$Q$355,$AB225))&amp;"")</f>
        <v/>
      </c>
      <c r="W225" s="50" t="str">
        <f>IF($AB225="","",IF($AD225,W$3,INDEX('ORDER Form'!$R$1:$R$355,$AB225))&amp;"")</f>
        <v/>
      </c>
      <c r="X225" s="50" t="str">
        <f>IF($AB225="","",IF($AD225,X$3,INDEX('ORDER Form'!$S$1:$S$355,$AB225))&amp;"")</f>
        <v/>
      </c>
      <c r="Y225" s="50" t="str">
        <f>IF($AB225="","",IF($AD225,Y$3,INDEX('ORDER Form'!$T$1:$T$355,$AB225))&amp;"")</f>
        <v/>
      </c>
      <c r="Z225" s="50" t="str">
        <f>IF($AB225="","",IF($AD225,Z$3,INDEX('ORDER Form'!$U$1:$U$355,$AB225))&amp;"")</f>
        <v/>
      </c>
      <c r="AB225" s="51" t="str">
        <f>IFERROR(MATCH(221,$AC$5:$AC$354,0)+5,"")</f>
        <v/>
      </c>
      <c r="AC225" s="51" t="str">
        <f>IF('ORDER Form'!$V226="OK",COUNTIF('ORDER Form'!$V$6:$V226,"OK"),"")</f>
        <v/>
      </c>
      <c r="AD225" s="51" t="str">
        <f>IF($AB225="","",(LEN(TRIM(INDEX('ORDER Form'!$O$1:$O$355,$AB225)))+LEN(TRIM(INDEX('ORDER Form'!$P$1:$P$355,$AB225)))+LEN(TRIM(INDEX('ORDER Form'!$Q$1:$Q$355,$AB225)))+LEN(TRIM(INDEX('ORDER Form'!$R$1:$R$355,$AB225)))+LEN(TRIM(INDEX('ORDER Form'!$S$1:$S$355,$AB225)))+LEN(TRIM(INDEX('ORDER Form'!$T$1:$T$355,$AB225)))+LEN(TRIM(INDEX('ORDER Form'!$U$1:$U$355,$AB225))))=0)</f>
        <v/>
      </c>
    </row>
    <row r="226" spans="1:30" ht="15" customHeight="1" x14ac:dyDescent="0.25">
      <c r="A226" s="50" t="str">
        <f>IF($AB226="","",IFERROR(IF(AND(INDEX('ORDER Form'!$N$1:$N$355,$AB226)="GB",LEFT(UPPER(TRIM(INDEX('ORDER Form'!$L$1:$L$355,$AB226))),2)="BT"),INDEX('ORDER Form'!$AC$1:$AC$355,$AB226),IFERROR(VLOOKUP(INDEX('ORDER Form'!$AC$1:$AC$355,$AB226)&amp;"|"&amp;INDEX('PRODUCT DATA'!$A$2:$A$58,MATCH(INDEX('ORDER Form'!$N$1:$N$355,$AB226),'PRODUCT DATA'!$B$2:$B$58,0)),'PRODUCT DATA'!$NO$2:$NP$25,2,FALSE()),INDEX('ORDER Form'!$AC$1:$AC$355,$AB226)))&amp;"",""))</f>
        <v/>
      </c>
      <c r="B226" s="49"/>
      <c r="C226" s="51" t="str">
        <f>IF($AB226="","",INDEX('ORDER Form'!$C$1:$C$355,$AB226))</f>
        <v/>
      </c>
      <c r="D226" s="49"/>
      <c r="E226" s="49"/>
      <c r="F226" s="49"/>
      <c r="G226" s="49"/>
      <c r="H226" s="49"/>
      <c r="I226" s="49"/>
      <c r="J226" s="50" t="str">
        <f>IF($AB226="","",INDEX('ORDER Form'!$D$1:$D$355,$AB226)&amp;"")</f>
        <v/>
      </c>
      <c r="K226" s="50" t="str">
        <f>IF($AB226="","",INDEX('ORDER Form'!$E$1:$E$355,$AB226)&amp;"")</f>
        <v/>
      </c>
      <c r="L226" s="50" t="str">
        <f>IF($AB226="","",INDEX('ORDER Form'!$F$1:$F$355,$AB226)&amp;"")</f>
        <v/>
      </c>
      <c r="M226" s="50" t="str">
        <f>IF($AB226="","",INDEX('ORDER Form'!$G$1:$G$355,$AB226)&amp;"")</f>
        <v/>
      </c>
      <c r="N226" s="50" t="str">
        <f>IF($AB226="","",INDEX('ORDER Form'!$H$1:$H$355,$AB226)&amp;"")</f>
        <v/>
      </c>
      <c r="O226" s="50" t="str">
        <f>IF($AB226="","",INDEX('ORDER Form'!$I$1:$I$355,$AB226)&amp;"")</f>
        <v/>
      </c>
      <c r="P226" s="50" t="str">
        <f>IF($AB226="","",INDEX('ORDER Form'!$J$1:$J$355,$AB226)&amp;"")</f>
        <v/>
      </c>
      <c r="Q226" s="50" t="str">
        <f>IF($AB226="","",INDEX('ORDER Form'!$AB$1:$AB$355,$AB226)&amp;"")</f>
        <v/>
      </c>
      <c r="R226" s="50" t="str">
        <f>IF($AB226="","",INDEX('ORDER Form'!$L$1:$L$355,$AB226)&amp;"")</f>
        <v/>
      </c>
      <c r="S226" s="50" t="str">
        <f>IF($AB226="","",INDEX('ORDER Form'!$N$1:$N$355,$AB226)&amp;"")</f>
        <v/>
      </c>
      <c r="T226" s="50" t="str">
        <f>IF($AB226="","",IF($AD226,T$3,INDEX('ORDER Form'!$O$1:$O$355,$AB226))&amp;"")</f>
        <v/>
      </c>
      <c r="U226" s="50" t="str">
        <f>IF($AB226="","",IF($AD226,U$3,INDEX('ORDER Form'!$P$1:$P$355,$AB226))&amp;"")</f>
        <v/>
      </c>
      <c r="V226" s="50" t="str">
        <f>IF($AB226="","",IF($AD226,V$3,INDEX('ORDER Form'!$Q$1:$Q$355,$AB226))&amp;"")</f>
        <v/>
      </c>
      <c r="W226" s="50" t="str">
        <f>IF($AB226="","",IF($AD226,W$3,INDEX('ORDER Form'!$R$1:$R$355,$AB226))&amp;"")</f>
        <v/>
      </c>
      <c r="X226" s="50" t="str">
        <f>IF($AB226="","",IF($AD226,X$3,INDEX('ORDER Form'!$S$1:$S$355,$AB226))&amp;"")</f>
        <v/>
      </c>
      <c r="Y226" s="50" t="str">
        <f>IF($AB226="","",IF($AD226,Y$3,INDEX('ORDER Form'!$T$1:$T$355,$AB226))&amp;"")</f>
        <v/>
      </c>
      <c r="Z226" s="50" t="str">
        <f>IF($AB226="","",IF($AD226,Z$3,INDEX('ORDER Form'!$U$1:$U$355,$AB226))&amp;"")</f>
        <v/>
      </c>
      <c r="AB226" s="51" t="str">
        <f>IFERROR(MATCH(222,$AC$5:$AC$354,0)+5,"")</f>
        <v/>
      </c>
      <c r="AC226" s="51" t="str">
        <f>IF('ORDER Form'!$V227="OK",COUNTIF('ORDER Form'!$V$6:$V227,"OK"),"")</f>
        <v/>
      </c>
      <c r="AD226" s="51" t="str">
        <f>IF($AB226="","",(LEN(TRIM(INDEX('ORDER Form'!$O$1:$O$355,$AB226)))+LEN(TRIM(INDEX('ORDER Form'!$P$1:$P$355,$AB226)))+LEN(TRIM(INDEX('ORDER Form'!$Q$1:$Q$355,$AB226)))+LEN(TRIM(INDEX('ORDER Form'!$R$1:$R$355,$AB226)))+LEN(TRIM(INDEX('ORDER Form'!$S$1:$S$355,$AB226)))+LEN(TRIM(INDEX('ORDER Form'!$T$1:$T$355,$AB226)))+LEN(TRIM(INDEX('ORDER Form'!$U$1:$U$355,$AB226))))=0)</f>
        <v/>
      </c>
    </row>
    <row r="227" spans="1:30" ht="15" customHeight="1" x14ac:dyDescent="0.25">
      <c r="A227" s="50" t="str">
        <f>IF($AB227="","",IFERROR(IF(AND(INDEX('ORDER Form'!$N$1:$N$355,$AB227)="GB",LEFT(UPPER(TRIM(INDEX('ORDER Form'!$L$1:$L$355,$AB227))),2)="BT"),INDEX('ORDER Form'!$AC$1:$AC$355,$AB227),IFERROR(VLOOKUP(INDEX('ORDER Form'!$AC$1:$AC$355,$AB227)&amp;"|"&amp;INDEX('PRODUCT DATA'!$A$2:$A$58,MATCH(INDEX('ORDER Form'!$N$1:$N$355,$AB227),'PRODUCT DATA'!$B$2:$B$58,0)),'PRODUCT DATA'!$NO$2:$NP$25,2,FALSE()),INDEX('ORDER Form'!$AC$1:$AC$355,$AB227)))&amp;"",""))</f>
        <v/>
      </c>
      <c r="B227" s="49"/>
      <c r="C227" s="51" t="str">
        <f>IF($AB227="","",INDEX('ORDER Form'!$C$1:$C$355,$AB227))</f>
        <v/>
      </c>
      <c r="D227" s="49"/>
      <c r="E227" s="49"/>
      <c r="F227" s="49"/>
      <c r="G227" s="49"/>
      <c r="H227" s="49"/>
      <c r="I227" s="49"/>
      <c r="J227" s="50" t="str">
        <f>IF($AB227="","",INDEX('ORDER Form'!$D$1:$D$355,$AB227)&amp;"")</f>
        <v/>
      </c>
      <c r="K227" s="50" t="str">
        <f>IF($AB227="","",INDEX('ORDER Form'!$E$1:$E$355,$AB227)&amp;"")</f>
        <v/>
      </c>
      <c r="L227" s="50" t="str">
        <f>IF($AB227="","",INDEX('ORDER Form'!$F$1:$F$355,$AB227)&amp;"")</f>
        <v/>
      </c>
      <c r="M227" s="50" t="str">
        <f>IF($AB227="","",INDEX('ORDER Form'!$G$1:$G$355,$AB227)&amp;"")</f>
        <v/>
      </c>
      <c r="N227" s="50" t="str">
        <f>IF($AB227="","",INDEX('ORDER Form'!$H$1:$H$355,$AB227)&amp;"")</f>
        <v/>
      </c>
      <c r="O227" s="50" t="str">
        <f>IF($AB227="","",INDEX('ORDER Form'!$I$1:$I$355,$AB227)&amp;"")</f>
        <v/>
      </c>
      <c r="P227" s="50" t="str">
        <f>IF($AB227="","",INDEX('ORDER Form'!$J$1:$J$355,$AB227)&amp;"")</f>
        <v/>
      </c>
      <c r="Q227" s="50" t="str">
        <f>IF($AB227="","",INDEX('ORDER Form'!$AB$1:$AB$355,$AB227)&amp;"")</f>
        <v/>
      </c>
      <c r="R227" s="50" t="str">
        <f>IF($AB227="","",INDEX('ORDER Form'!$L$1:$L$355,$AB227)&amp;"")</f>
        <v/>
      </c>
      <c r="S227" s="50" t="str">
        <f>IF($AB227="","",INDEX('ORDER Form'!$N$1:$N$355,$AB227)&amp;"")</f>
        <v/>
      </c>
      <c r="T227" s="50" t="str">
        <f>IF($AB227="","",IF($AD227,T$3,INDEX('ORDER Form'!$O$1:$O$355,$AB227))&amp;"")</f>
        <v/>
      </c>
      <c r="U227" s="50" t="str">
        <f>IF($AB227="","",IF($AD227,U$3,INDEX('ORDER Form'!$P$1:$P$355,$AB227))&amp;"")</f>
        <v/>
      </c>
      <c r="V227" s="50" t="str">
        <f>IF($AB227="","",IF($AD227,V$3,INDEX('ORDER Form'!$Q$1:$Q$355,$AB227))&amp;"")</f>
        <v/>
      </c>
      <c r="W227" s="50" t="str">
        <f>IF($AB227="","",IF($AD227,W$3,INDEX('ORDER Form'!$R$1:$R$355,$AB227))&amp;"")</f>
        <v/>
      </c>
      <c r="X227" s="50" t="str">
        <f>IF($AB227="","",IF($AD227,X$3,INDEX('ORDER Form'!$S$1:$S$355,$AB227))&amp;"")</f>
        <v/>
      </c>
      <c r="Y227" s="50" t="str">
        <f>IF($AB227="","",IF($AD227,Y$3,INDEX('ORDER Form'!$T$1:$T$355,$AB227))&amp;"")</f>
        <v/>
      </c>
      <c r="Z227" s="50" t="str">
        <f>IF($AB227="","",IF($AD227,Z$3,INDEX('ORDER Form'!$U$1:$U$355,$AB227))&amp;"")</f>
        <v/>
      </c>
      <c r="AB227" s="51" t="str">
        <f>IFERROR(MATCH(223,$AC$5:$AC$354,0)+5,"")</f>
        <v/>
      </c>
      <c r="AC227" s="51" t="str">
        <f>IF('ORDER Form'!$V228="OK",COUNTIF('ORDER Form'!$V$6:$V228,"OK"),"")</f>
        <v/>
      </c>
      <c r="AD227" s="51" t="str">
        <f>IF($AB227="","",(LEN(TRIM(INDEX('ORDER Form'!$O$1:$O$355,$AB227)))+LEN(TRIM(INDEX('ORDER Form'!$P$1:$P$355,$AB227)))+LEN(TRIM(INDEX('ORDER Form'!$Q$1:$Q$355,$AB227)))+LEN(TRIM(INDEX('ORDER Form'!$R$1:$R$355,$AB227)))+LEN(TRIM(INDEX('ORDER Form'!$S$1:$S$355,$AB227)))+LEN(TRIM(INDEX('ORDER Form'!$T$1:$T$355,$AB227)))+LEN(TRIM(INDEX('ORDER Form'!$U$1:$U$355,$AB227))))=0)</f>
        <v/>
      </c>
    </row>
    <row r="228" spans="1:30" ht="15" customHeight="1" x14ac:dyDescent="0.25">
      <c r="A228" s="50" t="str">
        <f>IF($AB228="","",IFERROR(IF(AND(INDEX('ORDER Form'!$N$1:$N$355,$AB228)="GB",LEFT(UPPER(TRIM(INDEX('ORDER Form'!$L$1:$L$355,$AB228))),2)="BT"),INDEX('ORDER Form'!$AC$1:$AC$355,$AB228),IFERROR(VLOOKUP(INDEX('ORDER Form'!$AC$1:$AC$355,$AB228)&amp;"|"&amp;INDEX('PRODUCT DATA'!$A$2:$A$58,MATCH(INDEX('ORDER Form'!$N$1:$N$355,$AB228),'PRODUCT DATA'!$B$2:$B$58,0)),'PRODUCT DATA'!$NO$2:$NP$25,2,FALSE()),INDEX('ORDER Form'!$AC$1:$AC$355,$AB228)))&amp;"",""))</f>
        <v/>
      </c>
      <c r="B228" s="49"/>
      <c r="C228" s="51" t="str">
        <f>IF($AB228="","",INDEX('ORDER Form'!$C$1:$C$355,$AB228))</f>
        <v/>
      </c>
      <c r="D228" s="49"/>
      <c r="E228" s="49"/>
      <c r="F228" s="49"/>
      <c r="G228" s="49"/>
      <c r="H228" s="49"/>
      <c r="I228" s="49"/>
      <c r="J228" s="50" t="str">
        <f>IF($AB228="","",INDEX('ORDER Form'!$D$1:$D$355,$AB228)&amp;"")</f>
        <v/>
      </c>
      <c r="K228" s="50" t="str">
        <f>IF($AB228="","",INDEX('ORDER Form'!$E$1:$E$355,$AB228)&amp;"")</f>
        <v/>
      </c>
      <c r="L228" s="50" t="str">
        <f>IF($AB228="","",INDEX('ORDER Form'!$F$1:$F$355,$AB228)&amp;"")</f>
        <v/>
      </c>
      <c r="M228" s="50" t="str">
        <f>IF($AB228="","",INDEX('ORDER Form'!$G$1:$G$355,$AB228)&amp;"")</f>
        <v/>
      </c>
      <c r="N228" s="50" t="str">
        <f>IF($AB228="","",INDEX('ORDER Form'!$H$1:$H$355,$AB228)&amp;"")</f>
        <v/>
      </c>
      <c r="O228" s="50" t="str">
        <f>IF($AB228="","",INDEX('ORDER Form'!$I$1:$I$355,$AB228)&amp;"")</f>
        <v/>
      </c>
      <c r="P228" s="50" t="str">
        <f>IF($AB228="","",INDEX('ORDER Form'!$J$1:$J$355,$AB228)&amp;"")</f>
        <v/>
      </c>
      <c r="Q228" s="50" t="str">
        <f>IF($AB228="","",INDEX('ORDER Form'!$AB$1:$AB$355,$AB228)&amp;"")</f>
        <v/>
      </c>
      <c r="R228" s="50" t="str">
        <f>IF($AB228="","",INDEX('ORDER Form'!$L$1:$L$355,$AB228)&amp;"")</f>
        <v/>
      </c>
      <c r="S228" s="50" t="str">
        <f>IF($AB228="","",INDEX('ORDER Form'!$N$1:$N$355,$AB228)&amp;"")</f>
        <v/>
      </c>
      <c r="T228" s="50" t="str">
        <f>IF($AB228="","",IF($AD228,T$3,INDEX('ORDER Form'!$O$1:$O$355,$AB228))&amp;"")</f>
        <v/>
      </c>
      <c r="U228" s="50" t="str">
        <f>IF($AB228="","",IF($AD228,U$3,INDEX('ORDER Form'!$P$1:$P$355,$AB228))&amp;"")</f>
        <v/>
      </c>
      <c r="V228" s="50" t="str">
        <f>IF($AB228="","",IF($AD228,V$3,INDEX('ORDER Form'!$Q$1:$Q$355,$AB228))&amp;"")</f>
        <v/>
      </c>
      <c r="W228" s="50" t="str">
        <f>IF($AB228="","",IF($AD228,W$3,INDEX('ORDER Form'!$R$1:$R$355,$AB228))&amp;"")</f>
        <v/>
      </c>
      <c r="X228" s="50" t="str">
        <f>IF($AB228="","",IF($AD228,X$3,INDEX('ORDER Form'!$S$1:$S$355,$AB228))&amp;"")</f>
        <v/>
      </c>
      <c r="Y228" s="50" t="str">
        <f>IF($AB228="","",IF($AD228,Y$3,INDEX('ORDER Form'!$T$1:$T$355,$AB228))&amp;"")</f>
        <v/>
      </c>
      <c r="Z228" s="50" t="str">
        <f>IF($AB228="","",IF($AD228,Z$3,INDEX('ORDER Form'!$U$1:$U$355,$AB228))&amp;"")</f>
        <v/>
      </c>
      <c r="AB228" s="51" t="str">
        <f>IFERROR(MATCH(224,$AC$5:$AC$354,0)+5,"")</f>
        <v/>
      </c>
      <c r="AC228" s="51" t="str">
        <f>IF('ORDER Form'!$V229="OK",COUNTIF('ORDER Form'!$V$6:$V229,"OK"),"")</f>
        <v/>
      </c>
      <c r="AD228" s="51" t="str">
        <f>IF($AB228="","",(LEN(TRIM(INDEX('ORDER Form'!$O$1:$O$355,$AB228)))+LEN(TRIM(INDEX('ORDER Form'!$P$1:$P$355,$AB228)))+LEN(TRIM(INDEX('ORDER Form'!$Q$1:$Q$355,$AB228)))+LEN(TRIM(INDEX('ORDER Form'!$R$1:$R$355,$AB228)))+LEN(TRIM(INDEX('ORDER Form'!$S$1:$S$355,$AB228)))+LEN(TRIM(INDEX('ORDER Form'!$T$1:$T$355,$AB228)))+LEN(TRIM(INDEX('ORDER Form'!$U$1:$U$355,$AB228))))=0)</f>
        <v/>
      </c>
    </row>
    <row r="229" spans="1:30" ht="15" customHeight="1" x14ac:dyDescent="0.25">
      <c r="A229" s="50" t="str">
        <f>IF($AB229="","",IFERROR(IF(AND(INDEX('ORDER Form'!$N$1:$N$355,$AB229)="GB",LEFT(UPPER(TRIM(INDEX('ORDER Form'!$L$1:$L$355,$AB229))),2)="BT"),INDEX('ORDER Form'!$AC$1:$AC$355,$AB229),IFERROR(VLOOKUP(INDEX('ORDER Form'!$AC$1:$AC$355,$AB229)&amp;"|"&amp;INDEX('PRODUCT DATA'!$A$2:$A$58,MATCH(INDEX('ORDER Form'!$N$1:$N$355,$AB229),'PRODUCT DATA'!$B$2:$B$58,0)),'PRODUCT DATA'!$NO$2:$NP$25,2,FALSE()),INDEX('ORDER Form'!$AC$1:$AC$355,$AB229)))&amp;"",""))</f>
        <v/>
      </c>
      <c r="B229" s="49"/>
      <c r="C229" s="51" t="str">
        <f>IF($AB229="","",INDEX('ORDER Form'!$C$1:$C$355,$AB229))</f>
        <v/>
      </c>
      <c r="D229" s="49"/>
      <c r="E229" s="49"/>
      <c r="F229" s="49"/>
      <c r="G229" s="49"/>
      <c r="H229" s="49"/>
      <c r="I229" s="49"/>
      <c r="J229" s="50" t="str">
        <f>IF($AB229="","",INDEX('ORDER Form'!$D$1:$D$355,$AB229)&amp;"")</f>
        <v/>
      </c>
      <c r="K229" s="50" t="str">
        <f>IF($AB229="","",INDEX('ORDER Form'!$E$1:$E$355,$AB229)&amp;"")</f>
        <v/>
      </c>
      <c r="L229" s="50" t="str">
        <f>IF($AB229="","",INDEX('ORDER Form'!$F$1:$F$355,$AB229)&amp;"")</f>
        <v/>
      </c>
      <c r="M229" s="50" t="str">
        <f>IF($AB229="","",INDEX('ORDER Form'!$G$1:$G$355,$AB229)&amp;"")</f>
        <v/>
      </c>
      <c r="N229" s="50" t="str">
        <f>IF($AB229="","",INDEX('ORDER Form'!$H$1:$H$355,$AB229)&amp;"")</f>
        <v/>
      </c>
      <c r="O229" s="50" t="str">
        <f>IF($AB229="","",INDEX('ORDER Form'!$I$1:$I$355,$AB229)&amp;"")</f>
        <v/>
      </c>
      <c r="P229" s="50" t="str">
        <f>IF($AB229="","",INDEX('ORDER Form'!$J$1:$J$355,$AB229)&amp;"")</f>
        <v/>
      </c>
      <c r="Q229" s="50" t="str">
        <f>IF($AB229="","",INDEX('ORDER Form'!$AB$1:$AB$355,$AB229)&amp;"")</f>
        <v/>
      </c>
      <c r="R229" s="50" t="str">
        <f>IF($AB229="","",INDEX('ORDER Form'!$L$1:$L$355,$AB229)&amp;"")</f>
        <v/>
      </c>
      <c r="S229" s="50" t="str">
        <f>IF($AB229="","",INDEX('ORDER Form'!$N$1:$N$355,$AB229)&amp;"")</f>
        <v/>
      </c>
      <c r="T229" s="50" t="str">
        <f>IF($AB229="","",IF($AD229,T$3,INDEX('ORDER Form'!$O$1:$O$355,$AB229))&amp;"")</f>
        <v/>
      </c>
      <c r="U229" s="50" t="str">
        <f>IF($AB229="","",IF($AD229,U$3,INDEX('ORDER Form'!$P$1:$P$355,$AB229))&amp;"")</f>
        <v/>
      </c>
      <c r="V229" s="50" t="str">
        <f>IF($AB229="","",IF($AD229,V$3,INDEX('ORDER Form'!$Q$1:$Q$355,$AB229))&amp;"")</f>
        <v/>
      </c>
      <c r="W229" s="50" t="str">
        <f>IF($AB229="","",IF($AD229,W$3,INDEX('ORDER Form'!$R$1:$R$355,$AB229))&amp;"")</f>
        <v/>
      </c>
      <c r="X229" s="50" t="str">
        <f>IF($AB229="","",IF($AD229,X$3,INDEX('ORDER Form'!$S$1:$S$355,$AB229))&amp;"")</f>
        <v/>
      </c>
      <c r="Y229" s="50" t="str">
        <f>IF($AB229="","",IF($AD229,Y$3,INDEX('ORDER Form'!$T$1:$T$355,$AB229))&amp;"")</f>
        <v/>
      </c>
      <c r="Z229" s="50" t="str">
        <f>IF($AB229="","",IF($AD229,Z$3,INDEX('ORDER Form'!$U$1:$U$355,$AB229))&amp;"")</f>
        <v/>
      </c>
      <c r="AB229" s="51" t="str">
        <f>IFERROR(MATCH(225,$AC$5:$AC$354,0)+5,"")</f>
        <v/>
      </c>
      <c r="AC229" s="51" t="str">
        <f>IF('ORDER Form'!$V230="OK",COUNTIF('ORDER Form'!$V$6:$V230,"OK"),"")</f>
        <v/>
      </c>
      <c r="AD229" s="51" t="str">
        <f>IF($AB229="","",(LEN(TRIM(INDEX('ORDER Form'!$O$1:$O$355,$AB229)))+LEN(TRIM(INDEX('ORDER Form'!$P$1:$P$355,$AB229)))+LEN(TRIM(INDEX('ORDER Form'!$Q$1:$Q$355,$AB229)))+LEN(TRIM(INDEX('ORDER Form'!$R$1:$R$355,$AB229)))+LEN(TRIM(INDEX('ORDER Form'!$S$1:$S$355,$AB229)))+LEN(TRIM(INDEX('ORDER Form'!$T$1:$T$355,$AB229)))+LEN(TRIM(INDEX('ORDER Form'!$U$1:$U$355,$AB229))))=0)</f>
        <v/>
      </c>
    </row>
    <row r="230" spans="1:30" ht="15" customHeight="1" x14ac:dyDescent="0.25">
      <c r="A230" s="50" t="str">
        <f>IF($AB230="","",IFERROR(IF(AND(INDEX('ORDER Form'!$N$1:$N$355,$AB230)="GB",LEFT(UPPER(TRIM(INDEX('ORDER Form'!$L$1:$L$355,$AB230))),2)="BT"),INDEX('ORDER Form'!$AC$1:$AC$355,$AB230),IFERROR(VLOOKUP(INDEX('ORDER Form'!$AC$1:$AC$355,$AB230)&amp;"|"&amp;INDEX('PRODUCT DATA'!$A$2:$A$58,MATCH(INDEX('ORDER Form'!$N$1:$N$355,$AB230),'PRODUCT DATA'!$B$2:$B$58,0)),'PRODUCT DATA'!$NO$2:$NP$25,2,FALSE()),INDEX('ORDER Form'!$AC$1:$AC$355,$AB230)))&amp;"",""))</f>
        <v/>
      </c>
      <c r="B230" s="49"/>
      <c r="C230" s="51" t="str">
        <f>IF($AB230="","",INDEX('ORDER Form'!$C$1:$C$355,$AB230))</f>
        <v/>
      </c>
      <c r="D230" s="49"/>
      <c r="E230" s="49"/>
      <c r="F230" s="49"/>
      <c r="G230" s="49"/>
      <c r="H230" s="49"/>
      <c r="I230" s="49"/>
      <c r="J230" s="50" t="str">
        <f>IF($AB230="","",INDEX('ORDER Form'!$D$1:$D$355,$AB230)&amp;"")</f>
        <v/>
      </c>
      <c r="K230" s="50" t="str">
        <f>IF($AB230="","",INDEX('ORDER Form'!$E$1:$E$355,$AB230)&amp;"")</f>
        <v/>
      </c>
      <c r="L230" s="50" t="str">
        <f>IF($AB230="","",INDEX('ORDER Form'!$F$1:$F$355,$AB230)&amp;"")</f>
        <v/>
      </c>
      <c r="M230" s="50" t="str">
        <f>IF($AB230="","",INDEX('ORDER Form'!$G$1:$G$355,$AB230)&amp;"")</f>
        <v/>
      </c>
      <c r="N230" s="50" t="str">
        <f>IF($AB230="","",INDEX('ORDER Form'!$H$1:$H$355,$AB230)&amp;"")</f>
        <v/>
      </c>
      <c r="O230" s="50" t="str">
        <f>IF($AB230="","",INDEX('ORDER Form'!$I$1:$I$355,$AB230)&amp;"")</f>
        <v/>
      </c>
      <c r="P230" s="50" t="str">
        <f>IF($AB230="","",INDEX('ORDER Form'!$J$1:$J$355,$AB230)&amp;"")</f>
        <v/>
      </c>
      <c r="Q230" s="50" t="str">
        <f>IF($AB230="","",INDEX('ORDER Form'!$AB$1:$AB$355,$AB230)&amp;"")</f>
        <v/>
      </c>
      <c r="R230" s="50" t="str">
        <f>IF($AB230="","",INDEX('ORDER Form'!$L$1:$L$355,$AB230)&amp;"")</f>
        <v/>
      </c>
      <c r="S230" s="50" t="str">
        <f>IF($AB230="","",INDEX('ORDER Form'!$N$1:$N$355,$AB230)&amp;"")</f>
        <v/>
      </c>
      <c r="T230" s="50" t="str">
        <f>IF($AB230="","",IF($AD230,T$3,INDEX('ORDER Form'!$O$1:$O$355,$AB230))&amp;"")</f>
        <v/>
      </c>
      <c r="U230" s="50" t="str">
        <f>IF($AB230="","",IF($AD230,U$3,INDEX('ORDER Form'!$P$1:$P$355,$AB230))&amp;"")</f>
        <v/>
      </c>
      <c r="V230" s="50" t="str">
        <f>IF($AB230="","",IF($AD230,V$3,INDEX('ORDER Form'!$Q$1:$Q$355,$AB230))&amp;"")</f>
        <v/>
      </c>
      <c r="W230" s="50" t="str">
        <f>IF($AB230="","",IF($AD230,W$3,INDEX('ORDER Form'!$R$1:$R$355,$AB230))&amp;"")</f>
        <v/>
      </c>
      <c r="X230" s="50" t="str">
        <f>IF($AB230="","",IF($AD230,X$3,INDEX('ORDER Form'!$S$1:$S$355,$AB230))&amp;"")</f>
        <v/>
      </c>
      <c r="Y230" s="50" t="str">
        <f>IF($AB230="","",IF($AD230,Y$3,INDEX('ORDER Form'!$T$1:$T$355,$AB230))&amp;"")</f>
        <v/>
      </c>
      <c r="Z230" s="50" t="str">
        <f>IF($AB230="","",IF($AD230,Z$3,INDEX('ORDER Form'!$U$1:$U$355,$AB230))&amp;"")</f>
        <v/>
      </c>
      <c r="AB230" s="51" t="str">
        <f>IFERROR(MATCH(226,$AC$5:$AC$354,0)+5,"")</f>
        <v/>
      </c>
      <c r="AC230" s="51" t="str">
        <f>IF('ORDER Form'!$V231="OK",COUNTIF('ORDER Form'!$V$6:$V231,"OK"),"")</f>
        <v/>
      </c>
      <c r="AD230" s="51" t="str">
        <f>IF($AB230="","",(LEN(TRIM(INDEX('ORDER Form'!$O$1:$O$355,$AB230)))+LEN(TRIM(INDEX('ORDER Form'!$P$1:$P$355,$AB230)))+LEN(TRIM(INDEX('ORDER Form'!$Q$1:$Q$355,$AB230)))+LEN(TRIM(INDEX('ORDER Form'!$R$1:$R$355,$AB230)))+LEN(TRIM(INDEX('ORDER Form'!$S$1:$S$355,$AB230)))+LEN(TRIM(INDEX('ORDER Form'!$T$1:$T$355,$AB230)))+LEN(TRIM(INDEX('ORDER Form'!$U$1:$U$355,$AB230))))=0)</f>
        <v/>
      </c>
    </row>
    <row r="231" spans="1:30" ht="15" customHeight="1" x14ac:dyDescent="0.25">
      <c r="A231" s="50" t="str">
        <f>IF($AB231="","",IFERROR(IF(AND(INDEX('ORDER Form'!$N$1:$N$355,$AB231)="GB",LEFT(UPPER(TRIM(INDEX('ORDER Form'!$L$1:$L$355,$AB231))),2)="BT"),INDEX('ORDER Form'!$AC$1:$AC$355,$AB231),IFERROR(VLOOKUP(INDEX('ORDER Form'!$AC$1:$AC$355,$AB231)&amp;"|"&amp;INDEX('PRODUCT DATA'!$A$2:$A$58,MATCH(INDEX('ORDER Form'!$N$1:$N$355,$AB231),'PRODUCT DATA'!$B$2:$B$58,0)),'PRODUCT DATA'!$NO$2:$NP$25,2,FALSE()),INDEX('ORDER Form'!$AC$1:$AC$355,$AB231)))&amp;"",""))</f>
        <v/>
      </c>
      <c r="B231" s="49"/>
      <c r="C231" s="51" t="str">
        <f>IF($AB231="","",INDEX('ORDER Form'!$C$1:$C$355,$AB231))</f>
        <v/>
      </c>
      <c r="D231" s="49"/>
      <c r="E231" s="49"/>
      <c r="F231" s="49"/>
      <c r="G231" s="49"/>
      <c r="H231" s="49"/>
      <c r="I231" s="49"/>
      <c r="J231" s="50" t="str">
        <f>IF($AB231="","",INDEX('ORDER Form'!$D$1:$D$355,$AB231)&amp;"")</f>
        <v/>
      </c>
      <c r="K231" s="50" t="str">
        <f>IF($AB231="","",INDEX('ORDER Form'!$E$1:$E$355,$AB231)&amp;"")</f>
        <v/>
      </c>
      <c r="L231" s="50" t="str">
        <f>IF($AB231="","",INDEX('ORDER Form'!$F$1:$F$355,$AB231)&amp;"")</f>
        <v/>
      </c>
      <c r="M231" s="50" t="str">
        <f>IF($AB231="","",INDEX('ORDER Form'!$G$1:$G$355,$AB231)&amp;"")</f>
        <v/>
      </c>
      <c r="N231" s="50" t="str">
        <f>IF($AB231="","",INDEX('ORDER Form'!$H$1:$H$355,$AB231)&amp;"")</f>
        <v/>
      </c>
      <c r="O231" s="50" t="str">
        <f>IF($AB231="","",INDEX('ORDER Form'!$I$1:$I$355,$AB231)&amp;"")</f>
        <v/>
      </c>
      <c r="P231" s="50" t="str">
        <f>IF($AB231="","",INDEX('ORDER Form'!$J$1:$J$355,$AB231)&amp;"")</f>
        <v/>
      </c>
      <c r="Q231" s="50" t="str">
        <f>IF($AB231="","",INDEX('ORDER Form'!$AB$1:$AB$355,$AB231)&amp;"")</f>
        <v/>
      </c>
      <c r="R231" s="50" t="str">
        <f>IF($AB231="","",INDEX('ORDER Form'!$L$1:$L$355,$AB231)&amp;"")</f>
        <v/>
      </c>
      <c r="S231" s="50" t="str">
        <f>IF($AB231="","",INDEX('ORDER Form'!$N$1:$N$355,$AB231)&amp;"")</f>
        <v/>
      </c>
      <c r="T231" s="50" t="str">
        <f>IF($AB231="","",IF($AD231,T$3,INDEX('ORDER Form'!$O$1:$O$355,$AB231))&amp;"")</f>
        <v/>
      </c>
      <c r="U231" s="50" t="str">
        <f>IF($AB231="","",IF($AD231,U$3,INDEX('ORDER Form'!$P$1:$P$355,$AB231))&amp;"")</f>
        <v/>
      </c>
      <c r="V231" s="50" t="str">
        <f>IF($AB231="","",IF($AD231,V$3,INDEX('ORDER Form'!$Q$1:$Q$355,$AB231))&amp;"")</f>
        <v/>
      </c>
      <c r="W231" s="50" t="str">
        <f>IF($AB231="","",IF($AD231,W$3,INDEX('ORDER Form'!$R$1:$R$355,$AB231))&amp;"")</f>
        <v/>
      </c>
      <c r="X231" s="50" t="str">
        <f>IF($AB231="","",IF($AD231,X$3,INDEX('ORDER Form'!$S$1:$S$355,$AB231))&amp;"")</f>
        <v/>
      </c>
      <c r="Y231" s="50" t="str">
        <f>IF($AB231="","",IF($AD231,Y$3,INDEX('ORDER Form'!$T$1:$T$355,$AB231))&amp;"")</f>
        <v/>
      </c>
      <c r="Z231" s="50" t="str">
        <f>IF($AB231="","",IF($AD231,Z$3,INDEX('ORDER Form'!$U$1:$U$355,$AB231))&amp;"")</f>
        <v/>
      </c>
      <c r="AB231" s="51" t="str">
        <f>IFERROR(MATCH(227,$AC$5:$AC$354,0)+5,"")</f>
        <v/>
      </c>
      <c r="AC231" s="51" t="str">
        <f>IF('ORDER Form'!$V232="OK",COUNTIF('ORDER Form'!$V$6:$V232,"OK"),"")</f>
        <v/>
      </c>
      <c r="AD231" s="51" t="str">
        <f>IF($AB231="","",(LEN(TRIM(INDEX('ORDER Form'!$O$1:$O$355,$AB231)))+LEN(TRIM(INDEX('ORDER Form'!$P$1:$P$355,$AB231)))+LEN(TRIM(INDEX('ORDER Form'!$Q$1:$Q$355,$AB231)))+LEN(TRIM(INDEX('ORDER Form'!$R$1:$R$355,$AB231)))+LEN(TRIM(INDEX('ORDER Form'!$S$1:$S$355,$AB231)))+LEN(TRIM(INDEX('ORDER Form'!$T$1:$T$355,$AB231)))+LEN(TRIM(INDEX('ORDER Form'!$U$1:$U$355,$AB231))))=0)</f>
        <v/>
      </c>
    </row>
    <row r="232" spans="1:30" ht="15" customHeight="1" x14ac:dyDescent="0.25">
      <c r="A232" s="50" t="str">
        <f>IF($AB232="","",IFERROR(IF(AND(INDEX('ORDER Form'!$N$1:$N$355,$AB232)="GB",LEFT(UPPER(TRIM(INDEX('ORDER Form'!$L$1:$L$355,$AB232))),2)="BT"),INDEX('ORDER Form'!$AC$1:$AC$355,$AB232),IFERROR(VLOOKUP(INDEX('ORDER Form'!$AC$1:$AC$355,$AB232)&amp;"|"&amp;INDEX('PRODUCT DATA'!$A$2:$A$58,MATCH(INDEX('ORDER Form'!$N$1:$N$355,$AB232),'PRODUCT DATA'!$B$2:$B$58,0)),'PRODUCT DATA'!$NO$2:$NP$25,2,FALSE()),INDEX('ORDER Form'!$AC$1:$AC$355,$AB232)))&amp;"",""))</f>
        <v/>
      </c>
      <c r="B232" s="49"/>
      <c r="C232" s="51" t="str">
        <f>IF($AB232="","",INDEX('ORDER Form'!$C$1:$C$355,$AB232))</f>
        <v/>
      </c>
      <c r="D232" s="49"/>
      <c r="E232" s="49"/>
      <c r="F232" s="49"/>
      <c r="G232" s="49"/>
      <c r="H232" s="49"/>
      <c r="I232" s="49"/>
      <c r="J232" s="50" t="str">
        <f>IF($AB232="","",INDEX('ORDER Form'!$D$1:$D$355,$AB232)&amp;"")</f>
        <v/>
      </c>
      <c r="K232" s="50" t="str">
        <f>IF($AB232="","",INDEX('ORDER Form'!$E$1:$E$355,$AB232)&amp;"")</f>
        <v/>
      </c>
      <c r="L232" s="50" t="str">
        <f>IF($AB232="","",INDEX('ORDER Form'!$F$1:$F$355,$AB232)&amp;"")</f>
        <v/>
      </c>
      <c r="M232" s="50" t="str">
        <f>IF($AB232="","",INDEX('ORDER Form'!$G$1:$G$355,$AB232)&amp;"")</f>
        <v/>
      </c>
      <c r="N232" s="50" t="str">
        <f>IF($AB232="","",INDEX('ORDER Form'!$H$1:$H$355,$AB232)&amp;"")</f>
        <v/>
      </c>
      <c r="O232" s="50" t="str">
        <f>IF($AB232="","",INDEX('ORDER Form'!$I$1:$I$355,$AB232)&amp;"")</f>
        <v/>
      </c>
      <c r="P232" s="50" t="str">
        <f>IF($AB232="","",INDEX('ORDER Form'!$J$1:$J$355,$AB232)&amp;"")</f>
        <v/>
      </c>
      <c r="Q232" s="50" t="str">
        <f>IF($AB232="","",INDEX('ORDER Form'!$AB$1:$AB$355,$AB232)&amp;"")</f>
        <v/>
      </c>
      <c r="R232" s="50" t="str">
        <f>IF($AB232="","",INDEX('ORDER Form'!$L$1:$L$355,$AB232)&amp;"")</f>
        <v/>
      </c>
      <c r="S232" s="50" t="str">
        <f>IF($AB232="","",INDEX('ORDER Form'!$N$1:$N$355,$AB232)&amp;"")</f>
        <v/>
      </c>
      <c r="T232" s="50" t="str">
        <f>IF($AB232="","",IF($AD232,T$3,INDEX('ORDER Form'!$O$1:$O$355,$AB232))&amp;"")</f>
        <v/>
      </c>
      <c r="U232" s="50" t="str">
        <f>IF($AB232="","",IF($AD232,U$3,INDEX('ORDER Form'!$P$1:$P$355,$AB232))&amp;"")</f>
        <v/>
      </c>
      <c r="V232" s="50" t="str">
        <f>IF($AB232="","",IF($AD232,V$3,INDEX('ORDER Form'!$Q$1:$Q$355,$AB232))&amp;"")</f>
        <v/>
      </c>
      <c r="W232" s="50" t="str">
        <f>IF($AB232="","",IF($AD232,W$3,INDEX('ORDER Form'!$R$1:$R$355,$AB232))&amp;"")</f>
        <v/>
      </c>
      <c r="X232" s="50" t="str">
        <f>IF($AB232="","",IF($AD232,X$3,INDEX('ORDER Form'!$S$1:$S$355,$AB232))&amp;"")</f>
        <v/>
      </c>
      <c r="Y232" s="50" t="str">
        <f>IF($AB232="","",IF($AD232,Y$3,INDEX('ORDER Form'!$T$1:$T$355,$AB232))&amp;"")</f>
        <v/>
      </c>
      <c r="Z232" s="50" t="str">
        <f>IF($AB232="","",IF($AD232,Z$3,INDEX('ORDER Form'!$U$1:$U$355,$AB232))&amp;"")</f>
        <v/>
      </c>
      <c r="AB232" s="51" t="str">
        <f>IFERROR(MATCH(228,$AC$5:$AC$354,0)+5,"")</f>
        <v/>
      </c>
      <c r="AC232" s="51" t="str">
        <f>IF('ORDER Form'!$V233="OK",COUNTIF('ORDER Form'!$V$6:$V233,"OK"),"")</f>
        <v/>
      </c>
      <c r="AD232" s="51" t="str">
        <f>IF($AB232="","",(LEN(TRIM(INDEX('ORDER Form'!$O$1:$O$355,$AB232)))+LEN(TRIM(INDEX('ORDER Form'!$P$1:$P$355,$AB232)))+LEN(TRIM(INDEX('ORDER Form'!$Q$1:$Q$355,$AB232)))+LEN(TRIM(INDEX('ORDER Form'!$R$1:$R$355,$AB232)))+LEN(TRIM(INDEX('ORDER Form'!$S$1:$S$355,$AB232)))+LEN(TRIM(INDEX('ORDER Form'!$T$1:$T$355,$AB232)))+LEN(TRIM(INDEX('ORDER Form'!$U$1:$U$355,$AB232))))=0)</f>
        <v/>
      </c>
    </row>
    <row r="233" spans="1:30" ht="15" customHeight="1" x14ac:dyDescent="0.25">
      <c r="A233" s="50" t="str">
        <f>IF($AB233="","",IFERROR(IF(AND(INDEX('ORDER Form'!$N$1:$N$355,$AB233)="GB",LEFT(UPPER(TRIM(INDEX('ORDER Form'!$L$1:$L$355,$AB233))),2)="BT"),INDEX('ORDER Form'!$AC$1:$AC$355,$AB233),IFERROR(VLOOKUP(INDEX('ORDER Form'!$AC$1:$AC$355,$AB233)&amp;"|"&amp;INDEX('PRODUCT DATA'!$A$2:$A$58,MATCH(INDEX('ORDER Form'!$N$1:$N$355,$AB233),'PRODUCT DATA'!$B$2:$B$58,0)),'PRODUCT DATA'!$NO$2:$NP$25,2,FALSE()),INDEX('ORDER Form'!$AC$1:$AC$355,$AB233)))&amp;"",""))</f>
        <v/>
      </c>
      <c r="B233" s="49"/>
      <c r="C233" s="51" t="str">
        <f>IF($AB233="","",INDEX('ORDER Form'!$C$1:$C$355,$AB233))</f>
        <v/>
      </c>
      <c r="D233" s="49"/>
      <c r="E233" s="49"/>
      <c r="F233" s="49"/>
      <c r="G233" s="49"/>
      <c r="H233" s="49"/>
      <c r="I233" s="49"/>
      <c r="J233" s="50" t="str">
        <f>IF($AB233="","",INDEX('ORDER Form'!$D$1:$D$355,$AB233)&amp;"")</f>
        <v/>
      </c>
      <c r="K233" s="50" t="str">
        <f>IF($AB233="","",INDEX('ORDER Form'!$E$1:$E$355,$AB233)&amp;"")</f>
        <v/>
      </c>
      <c r="L233" s="50" t="str">
        <f>IF($AB233="","",INDEX('ORDER Form'!$F$1:$F$355,$AB233)&amp;"")</f>
        <v/>
      </c>
      <c r="M233" s="50" t="str">
        <f>IF($AB233="","",INDEX('ORDER Form'!$G$1:$G$355,$AB233)&amp;"")</f>
        <v/>
      </c>
      <c r="N233" s="50" t="str">
        <f>IF($AB233="","",INDEX('ORDER Form'!$H$1:$H$355,$AB233)&amp;"")</f>
        <v/>
      </c>
      <c r="O233" s="50" t="str">
        <f>IF($AB233="","",INDEX('ORDER Form'!$I$1:$I$355,$AB233)&amp;"")</f>
        <v/>
      </c>
      <c r="P233" s="50" t="str">
        <f>IF($AB233="","",INDEX('ORDER Form'!$J$1:$J$355,$AB233)&amp;"")</f>
        <v/>
      </c>
      <c r="Q233" s="50" t="str">
        <f>IF($AB233="","",INDEX('ORDER Form'!$AB$1:$AB$355,$AB233)&amp;"")</f>
        <v/>
      </c>
      <c r="R233" s="50" t="str">
        <f>IF($AB233="","",INDEX('ORDER Form'!$L$1:$L$355,$AB233)&amp;"")</f>
        <v/>
      </c>
      <c r="S233" s="50" t="str">
        <f>IF($AB233="","",INDEX('ORDER Form'!$N$1:$N$355,$AB233)&amp;"")</f>
        <v/>
      </c>
      <c r="T233" s="50" t="str">
        <f>IF($AB233="","",IF($AD233,T$3,INDEX('ORDER Form'!$O$1:$O$355,$AB233))&amp;"")</f>
        <v/>
      </c>
      <c r="U233" s="50" t="str">
        <f>IF($AB233="","",IF($AD233,U$3,INDEX('ORDER Form'!$P$1:$P$355,$AB233))&amp;"")</f>
        <v/>
      </c>
      <c r="V233" s="50" t="str">
        <f>IF($AB233="","",IF($AD233,V$3,INDEX('ORDER Form'!$Q$1:$Q$355,$AB233))&amp;"")</f>
        <v/>
      </c>
      <c r="W233" s="50" t="str">
        <f>IF($AB233="","",IF($AD233,W$3,INDEX('ORDER Form'!$R$1:$R$355,$AB233))&amp;"")</f>
        <v/>
      </c>
      <c r="X233" s="50" t="str">
        <f>IF($AB233="","",IF($AD233,X$3,INDEX('ORDER Form'!$S$1:$S$355,$AB233))&amp;"")</f>
        <v/>
      </c>
      <c r="Y233" s="50" t="str">
        <f>IF($AB233="","",IF($AD233,Y$3,INDEX('ORDER Form'!$T$1:$T$355,$AB233))&amp;"")</f>
        <v/>
      </c>
      <c r="Z233" s="50" t="str">
        <f>IF($AB233="","",IF($AD233,Z$3,INDEX('ORDER Form'!$U$1:$U$355,$AB233))&amp;"")</f>
        <v/>
      </c>
      <c r="AB233" s="51" t="str">
        <f>IFERROR(MATCH(229,$AC$5:$AC$354,0)+5,"")</f>
        <v/>
      </c>
      <c r="AC233" s="51" t="str">
        <f>IF('ORDER Form'!$V234="OK",COUNTIF('ORDER Form'!$V$6:$V234,"OK"),"")</f>
        <v/>
      </c>
      <c r="AD233" s="51" t="str">
        <f>IF($AB233="","",(LEN(TRIM(INDEX('ORDER Form'!$O$1:$O$355,$AB233)))+LEN(TRIM(INDEX('ORDER Form'!$P$1:$P$355,$AB233)))+LEN(TRIM(INDEX('ORDER Form'!$Q$1:$Q$355,$AB233)))+LEN(TRIM(INDEX('ORDER Form'!$R$1:$R$355,$AB233)))+LEN(TRIM(INDEX('ORDER Form'!$S$1:$S$355,$AB233)))+LEN(TRIM(INDEX('ORDER Form'!$T$1:$T$355,$AB233)))+LEN(TRIM(INDEX('ORDER Form'!$U$1:$U$355,$AB233))))=0)</f>
        <v/>
      </c>
    </row>
    <row r="234" spans="1:30" ht="15" customHeight="1" x14ac:dyDescent="0.25">
      <c r="A234" s="50" t="str">
        <f>IF($AB234="","",IFERROR(IF(AND(INDEX('ORDER Form'!$N$1:$N$355,$AB234)="GB",LEFT(UPPER(TRIM(INDEX('ORDER Form'!$L$1:$L$355,$AB234))),2)="BT"),INDEX('ORDER Form'!$AC$1:$AC$355,$AB234),IFERROR(VLOOKUP(INDEX('ORDER Form'!$AC$1:$AC$355,$AB234)&amp;"|"&amp;INDEX('PRODUCT DATA'!$A$2:$A$58,MATCH(INDEX('ORDER Form'!$N$1:$N$355,$AB234),'PRODUCT DATA'!$B$2:$B$58,0)),'PRODUCT DATA'!$NO$2:$NP$25,2,FALSE()),INDEX('ORDER Form'!$AC$1:$AC$355,$AB234)))&amp;"",""))</f>
        <v/>
      </c>
      <c r="B234" s="49"/>
      <c r="C234" s="51" t="str">
        <f>IF($AB234="","",INDEX('ORDER Form'!$C$1:$C$355,$AB234))</f>
        <v/>
      </c>
      <c r="D234" s="49"/>
      <c r="E234" s="49"/>
      <c r="F234" s="49"/>
      <c r="G234" s="49"/>
      <c r="H234" s="49"/>
      <c r="I234" s="49"/>
      <c r="J234" s="50" t="str">
        <f>IF($AB234="","",INDEX('ORDER Form'!$D$1:$D$355,$AB234)&amp;"")</f>
        <v/>
      </c>
      <c r="K234" s="50" t="str">
        <f>IF($AB234="","",INDEX('ORDER Form'!$E$1:$E$355,$AB234)&amp;"")</f>
        <v/>
      </c>
      <c r="L234" s="50" t="str">
        <f>IF($AB234="","",INDEX('ORDER Form'!$F$1:$F$355,$AB234)&amp;"")</f>
        <v/>
      </c>
      <c r="M234" s="50" t="str">
        <f>IF($AB234="","",INDEX('ORDER Form'!$G$1:$G$355,$AB234)&amp;"")</f>
        <v/>
      </c>
      <c r="N234" s="50" t="str">
        <f>IF($AB234="","",INDEX('ORDER Form'!$H$1:$H$355,$AB234)&amp;"")</f>
        <v/>
      </c>
      <c r="O234" s="50" t="str">
        <f>IF($AB234="","",INDEX('ORDER Form'!$I$1:$I$355,$AB234)&amp;"")</f>
        <v/>
      </c>
      <c r="P234" s="50" t="str">
        <f>IF($AB234="","",INDEX('ORDER Form'!$J$1:$J$355,$AB234)&amp;"")</f>
        <v/>
      </c>
      <c r="Q234" s="50" t="str">
        <f>IF($AB234="","",INDEX('ORDER Form'!$AB$1:$AB$355,$AB234)&amp;"")</f>
        <v/>
      </c>
      <c r="R234" s="50" t="str">
        <f>IF($AB234="","",INDEX('ORDER Form'!$L$1:$L$355,$AB234)&amp;"")</f>
        <v/>
      </c>
      <c r="S234" s="50" t="str">
        <f>IF($AB234="","",INDEX('ORDER Form'!$N$1:$N$355,$AB234)&amp;"")</f>
        <v/>
      </c>
      <c r="T234" s="50" t="str">
        <f>IF($AB234="","",IF($AD234,T$3,INDEX('ORDER Form'!$O$1:$O$355,$AB234))&amp;"")</f>
        <v/>
      </c>
      <c r="U234" s="50" t="str">
        <f>IF($AB234="","",IF($AD234,U$3,INDEX('ORDER Form'!$P$1:$P$355,$AB234))&amp;"")</f>
        <v/>
      </c>
      <c r="V234" s="50" t="str">
        <f>IF($AB234="","",IF($AD234,V$3,INDEX('ORDER Form'!$Q$1:$Q$355,$AB234))&amp;"")</f>
        <v/>
      </c>
      <c r="W234" s="50" t="str">
        <f>IF($AB234="","",IF($AD234,W$3,INDEX('ORDER Form'!$R$1:$R$355,$AB234))&amp;"")</f>
        <v/>
      </c>
      <c r="X234" s="50" t="str">
        <f>IF($AB234="","",IF($AD234,X$3,INDEX('ORDER Form'!$S$1:$S$355,$AB234))&amp;"")</f>
        <v/>
      </c>
      <c r="Y234" s="50" t="str">
        <f>IF($AB234="","",IF($AD234,Y$3,INDEX('ORDER Form'!$T$1:$T$355,$AB234))&amp;"")</f>
        <v/>
      </c>
      <c r="Z234" s="50" t="str">
        <f>IF($AB234="","",IF($AD234,Z$3,INDEX('ORDER Form'!$U$1:$U$355,$AB234))&amp;"")</f>
        <v/>
      </c>
      <c r="AB234" s="51" t="str">
        <f>IFERROR(MATCH(230,$AC$5:$AC$354,0)+5,"")</f>
        <v/>
      </c>
      <c r="AC234" s="51" t="str">
        <f>IF('ORDER Form'!$V235="OK",COUNTIF('ORDER Form'!$V$6:$V235,"OK"),"")</f>
        <v/>
      </c>
      <c r="AD234" s="51" t="str">
        <f>IF($AB234="","",(LEN(TRIM(INDEX('ORDER Form'!$O$1:$O$355,$AB234)))+LEN(TRIM(INDEX('ORDER Form'!$P$1:$P$355,$AB234)))+LEN(TRIM(INDEX('ORDER Form'!$Q$1:$Q$355,$AB234)))+LEN(TRIM(INDEX('ORDER Form'!$R$1:$R$355,$AB234)))+LEN(TRIM(INDEX('ORDER Form'!$S$1:$S$355,$AB234)))+LEN(TRIM(INDEX('ORDER Form'!$T$1:$T$355,$AB234)))+LEN(TRIM(INDEX('ORDER Form'!$U$1:$U$355,$AB234))))=0)</f>
        <v/>
      </c>
    </row>
    <row r="235" spans="1:30" ht="15" customHeight="1" x14ac:dyDescent="0.25">
      <c r="A235" s="50" t="str">
        <f>IF($AB235="","",IFERROR(IF(AND(INDEX('ORDER Form'!$N$1:$N$355,$AB235)="GB",LEFT(UPPER(TRIM(INDEX('ORDER Form'!$L$1:$L$355,$AB235))),2)="BT"),INDEX('ORDER Form'!$AC$1:$AC$355,$AB235),IFERROR(VLOOKUP(INDEX('ORDER Form'!$AC$1:$AC$355,$AB235)&amp;"|"&amp;INDEX('PRODUCT DATA'!$A$2:$A$58,MATCH(INDEX('ORDER Form'!$N$1:$N$355,$AB235),'PRODUCT DATA'!$B$2:$B$58,0)),'PRODUCT DATA'!$NO$2:$NP$25,2,FALSE()),INDEX('ORDER Form'!$AC$1:$AC$355,$AB235)))&amp;"",""))</f>
        <v/>
      </c>
      <c r="B235" s="49"/>
      <c r="C235" s="51" t="str">
        <f>IF($AB235="","",INDEX('ORDER Form'!$C$1:$C$355,$AB235))</f>
        <v/>
      </c>
      <c r="D235" s="49"/>
      <c r="E235" s="49"/>
      <c r="F235" s="49"/>
      <c r="G235" s="49"/>
      <c r="H235" s="49"/>
      <c r="I235" s="49"/>
      <c r="J235" s="50" t="str">
        <f>IF($AB235="","",INDEX('ORDER Form'!$D$1:$D$355,$AB235)&amp;"")</f>
        <v/>
      </c>
      <c r="K235" s="50" t="str">
        <f>IF($AB235="","",INDEX('ORDER Form'!$E$1:$E$355,$AB235)&amp;"")</f>
        <v/>
      </c>
      <c r="L235" s="50" t="str">
        <f>IF($AB235="","",INDEX('ORDER Form'!$F$1:$F$355,$AB235)&amp;"")</f>
        <v/>
      </c>
      <c r="M235" s="50" t="str">
        <f>IF($AB235="","",INDEX('ORDER Form'!$G$1:$G$355,$AB235)&amp;"")</f>
        <v/>
      </c>
      <c r="N235" s="50" t="str">
        <f>IF($AB235="","",INDEX('ORDER Form'!$H$1:$H$355,$AB235)&amp;"")</f>
        <v/>
      </c>
      <c r="O235" s="50" t="str">
        <f>IF($AB235="","",INDEX('ORDER Form'!$I$1:$I$355,$AB235)&amp;"")</f>
        <v/>
      </c>
      <c r="P235" s="50" t="str">
        <f>IF($AB235="","",INDEX('ORDER Form'!$J$1:$J$355,$AB235)&amp;"")</f>
        <v/>
      </c>
      <c r="Q235" s="50" t="str">
        <f>IF($AB235="","",INDEX('ORDER Form'!$AB$1:$AB$355,$AB235)&amp;"")</f>
        <v/>
      </c>
      <c r="R235" s="50" t="str">
        <f>IF($AB235="","",INDEX('ORDER Form'!$L$1:$L$355,$AB235)&amp;"")</f>
        <v/>
      </c>
      <c r="S235" s="50" t="str">
        <f>IF($AB235="","",INDEX('ORDER Form'!$N$1:$N$355,$AB235)&amp;"")</f>
        <v/>
      </c>
      <c r="T235" s="50" t="str">
        <f>IF($AB235="","",IF($AD235,T$3,INDEX('ORDER Form'!$O$1:$O$355,$AB235))&amp;"")</f>
        <v/>
      </c>
      <c r="U235" s="50" t="str">
        <f>IF($AB235="","",IF($AD235,U$3,INDEX('ORDER Form'!$P$1:$P$355,$AB235))&amp;"")</f>
        <v/>
      </c>
      <c r="V235" s="50" t="str">
        <f>IF($AB235="","",IF($AD235,V$3,INDEX('ORDER Form'!$Q$1:$Q$355,$AB235))&amp;"")</f>
        <v/>
      </c>
      <c r="W235" s="50" t="str">
        <f>IF($AB235="","",IF($AD235,W$3,INDEX('ORDER Form'!$R$1:$R$355,$AB235))&amp;"")</f>
        <v/>
      </c>
      <c r="X235" s="50" t="str">
        <f>IF($AB235="","",IF($AD235,X$3,INDEX('ORDER Form'!$S$1:$S$355,$AB235))&amp;"")</f>
        <v/>
      </c>
      <c r="Y235" s="50" t="str">
        <f>IF($AB235="","",IF($AD235,Y$3,INDEX('ORDER Form'!$T$1:$T$355,$AB235))&amp;"")</f>
        <v/>
      </c>
      <c r="Z235" s="50" t="str">
        <f>IF($AB235="","",IF($AD235,Z$3,INDEX('ORDER Form'!$U$1:$U$355,$AB235))&amp;"")</f>
        <v/>
      </c>
      <c r="AB235" s="51" t="str">
        <f>IFERROR(MATCH(231,$AC$5:$AC$354,0)+5,"")</f>
        <v/>
      </c>
      <c r="AC235" s="51" t="str">
        <f>IF('ORDER Form'!$V236="OK",COUNTIF('ORDER Form'!$V$6:$V236,"OK"),"")</f>
        <v/>
      </c>
      <c r="AD235" s="51" t="str">
        <f>IF($AB235="","",(LEN(TRIM(INDEX('ORDER Form'!$O$1:$O$355,$AB235)))+LEN(TRIM(INDEX('ORDER Form'!$P$1:$P$355,$AB235)))+LEN(TRIM(INDEX('ORDER Form'!$Q$1:$Q$355,$AB235)))+LEN(TRIM(INDEX('ORDER Form'!$R$1:$R$355,$AB235)))+LEN(TRIM(INDEX('ORDER Form'!$S$1:$S$355,$AB235)))+LEN(TRIM(INDEX('ORDER Form'!$T$1:$T$355,$AB235)))+LEN(TRIM(INDEX('ORDER Form'!$U$1:$U$355,$AB235))))=0)</f>
        <v/>
      </c>
    </row>
    <row r="236" spans="1:30" ht="15" customHeight="1" x14ac:dyDescent="0.25">
      <c r="A236" s="50" t="str">
        <f>IF($AB236="","",IFERROR(IF(AND(INDEX('ORDER Form'!$N$1:$N$355,$AB236)="GB",LEFT(UPPER(TRIM(INDEX('ORDER Form'!$L$1:$L$355,$AB236))),2)="BT"),INDEX('ORDER Form'!$AC$1:$AC$355,$AB236),IFERROR(VLOOKUP(INDEX('ORDER Form'!$AC$1:$AC$355,$AB236)&amp;"|"&amp;INDEX('PRODUCT DATA'!$A$2:$A$58,MATCH(INDEX('ORDER Form'!$N$1:$N$355,$AB236),'PRODUCT DATA'!$B$2:$B$58,0)),'PRODUCT DATA'!$NO$2:$NP$25,2,FALSE()),INDEX('ORDER Form'!$AC$1:$AC$355,$AB236)))&amp;"",""))</f>
        <v/>
      </c>
      <c r="B236" s="49"/>
      <c r="C236" s="51" t="str">
        <f>IF($AB236="","",INDEX('ORDER Form'!$C$1:$C$355,$AB236))</f>
        <v/>
      </c>
      <c r="D236" s="49"/>
      <c r="E236" s="49"/>
      <c r="F236" s="49"/>
      <c r="G236" s="49"/>
      <c r="H236" s="49"/>
      <c r="I236" s="49"/>
      <c r="J236" s="50" t="str">
        <f>IF($AB236="","",INDEX('ORDER Form'!$D$1:$D$355,$AB236)&amp;"")</f>
        <v/>
      </c>
      <c r="K236" s="50" t="str">
        <f>IF($AB236="","",INDEX('ORDER Form'!$E$1:$E$355,$AB236)&amp;"")</f>
        <v/>
      </c>
      <c r="L236" s="50" t="str">
        <f>IF($AB236="","",INDEX('ORDER Form'!$F$1:$F$355,$AB236)&amp;"")</f>
        <v/>
      </c>
      <c r="M236" s="50" t="str">
        <f>IF($AB236="","",INDEX('ORDER Form'!$G$1:$G$355,$AB236)&amp;"")</f>
        <v/>
      </c>
      <c r="N236" s="50" t="str">
        <f>IF($AB236="","",INDEX('ORDER Form'!$H$1:$H$355,$AB236)&amp;"")</f>
        <v/>
      </c>
      <c r="O236" s="50" t="str">
        <f>IF($AB236="","",INDEX('ORDER Form'!$I$1:$I$355,$AB236)&amp;"")</f>
        <v/>
      </c>
      <c r="P236" s="50" t="str">
        <f>IF($AB236="","",INDEX('ORDER Form'!$J$1:$J$355,$AB236)&amp;"")</f>
        <v/>
      </c>
      <c r="Q236" s="50" t="str">
        <f>IF($AB236="","",INDEX('ORDER Form'!$AB$1:$AB$355,$AB236)&amp;"")</f>
        <v/>
      </c>
      <c r="R236" s="50" t="str">
        <f>IF($AB236="","",INDEX('ORDER Form'!$L$1:$L$355,$AB236)&amp;"")</f>
        <v/>
      </c>
      <c r="S236" s="50" t="str">
        <f>IF($AB236="","",INDEX('ORDER Form'!$N$1:$N$355,$AB236)&amp;"")</f>
        <v/>
      </c>
      <c r="T236" s="50" t="str">
        <f>IF($AB236="","",IF($AD236,T$3,INDEX('ORDER Form'!$O$1:$O$355,$AB236))&amp;"")</f>
        <v/>
      </c>
      <c r="U236" s="50" t="str">
        <f>IF($AB236="","",IF($AD236,U$3,INDEX('ORDER Form'!$P$1:$P$355,$AB236))&amp;"")</f>
        <v/>
      </c>
      <c r="V236" s="50" t="str">
        <f>IF($AB236="","",IF($AD236,V$3,INDEX('ORDER Form'!$Q$1:$Q$355,$AB236))&amp;"")</f>
        <v/>
      </c>
      <c r="W236" s="50" t="str">
        <f>IF($AB236="","",IF($AD236,W$3,INDEX('ORDER Form'!$R$1:$R$355,$AB236))&amp;"")</f>
        <v/>
      </c>
      <c r="X236" s="50" t="str">
        <f>IF($AB236="","",IF($AD236,X$3,INDEX('ORDER Form'!$S$1:$S$355,$AB236))&amp;"")</f>
        <v/>
      </c>
      <c r="Y236" s="50" t="str">
        <f>IF($AB236="","",IF($AD236,Y$3,INDEX('ORDER Form'!$T$1:$T$355,$AB236))&amp;"")</f>
        <v/>
      </c>
      <c r="Z236" s="50" t="str">
        <f>IF($AB236="","",IF($AD236,Z$3,INDEX('ORDER Form'!$U$1:$U$355,$AB236))&amp;"")</f>
        <v/>
      </c>
      <c r="AB236" s="51" t="str">
        <f>IFERROR(MATCH(232,$AC$5:$AC$354,0)+5,"")</f>
        <v/>
      </c>
      <c r="AC236" s="51" t="str">
        <f>IF('ORDER Form'!$V237="OK",COUNTIF('ORDER Form'!$V$6:$V237,"OK"),"")</f>
        <v/>
      </c>
      <c r="AD236" s="51" t="str">
        <f>IF($AB236="","",(LEN(TRIM(INDEX('ORDER Form'!$O$1:$O$355,$AB236)))+LEN(TRIM(INDEX('ORDER Form'!$P$1:$P$355,$AB236)))+LEN(TRIM(INDEX('ORDER Form'!$Q$1:$Q$355,$AB236)))+LEN(TRIM(INDEX('ORDER Form'!$R$1:$R$355,$AB236)))+LEN(TRIM(INDEX('ORDER Form'!$S$1:$S$355,$AB236)))+LEN(TRIM(INDEX('ORDER Form'!$T$1:$T$355,$AB236)))+LEN(TRIM(INDEX('ORDER Form'!$U$1:$U$355,$AB236))))=0)</f>
        <v/>
      </c>
    </row>
    <row r="237" spans="1:30" ht="15" customHeight="1" x14ac:dyDescent="0.25">
      <c r="A237" s="50" t="str">
        <f>IF($AB237="","",IFERROR(IF(AND(INDEX('ORDER Form'!$N$1:$N$355,$AB237)="GB",LEFT(UPPER(TRIM(INDEX('ORDER Form'!$L$1:$L$355,$AB237))),2)="BT"),INDEX('ORDER Form'!$AC$1:$AC$355,$AB237),IFERROR(VLOOKUP(INDEX('ORDER Form'!$AC$1:$AC$355,$AB237)&amp;"|"&amp;INDEX('PRODUCT DATA'!$A$2:$A$58,MATCH(INDEX('ORDER Form'!$N$1:$N$355,$AB237),'PRODUCT DATA'!$B$2:$B$58,0)),'PRODUCT DATA'!$NO$2:$NP$25,2,FALSE()),INDEX('ORDER Form'!$AC$1:$AC$355,$AB237)))&amp;"",""))</f>
        <v/>
      </c>
      <c r="B237" s="49"/>
      <c r="C237" s="51" t="str">
        <f>IF($AB237="","",INDEX('ORDER Form'!$C$1:$C$355,$AB237))</f>
        <v/>
      </c>
      <c r="D237" s="49"/>
      <c r="E237" s="49"/>
      <c r="F237" s="49"/>
      <c r="G237" s="49"/>
      <c r="H237" s="49"/>
      <c r="I237" s="49"/>
      <c r="J237" s="50" t="str">
        <f>IF($AB237="","",INDEX('ORDER Form'!$D$1:$D$355,$AB237)&amp;"")</f>
        <v/>
      </c>
      <c r="K237" s="50" t="str">
        <f>IF($AB237="","",INDEX('ORDER Form'!$E$1:$E$355,$AB237)&amp;"")</f>
        <v/>
      </c>
      <c r="L237" s="50" t="str">
        <f>IF($AB237="","",INDEX('ORDER Form'!$F$1:$F$355,$AB237)&amp;"")</f>
        <v/>
      </c>
      <c r="M237" s="50" t="str">
        <f>IF($AB237="","",INDEX('ORDER Form'!$G$1:$G$355,$AB237)&amp;"")</f>
        <v/>
      </c>
      <c r="N237" s="50" t="str">
        <f>IF($AB237="","",INDEX('ORDER Form'!$H$1:$H$355,$AB237)&amp;"")</f>
        <v/>
      </c>
      <c r="O237" s="50" t="str">
        <f>IF($AB237="","",INDEX('ORDER Form'!$I$1:$I$355,$AB237)&amp;"")</f>
        <v/>
      </c>
      <c r="P237" s="50" t="str">
        <f>IF($AB237="","",INDEX('ORDER Form'!$J$1:$J$355,$AB237)&amp;"")</f>
        <v/>
      </c>
      <c r="Q237" s="50" t="str">
        <f>IF($AB237="","",INDEX('ORDER Form'!$AB$1:$AB$355,$AB237)&amp;"")</f>
        <v/>
      </c>
      <c r="R237" s="50" t="str">
        <f>IF($AB237="","",INDEX('ORDER Form'!$L$1:$L$355,$AB237)&amp;"")</f>
        <v/>
      </c>
      <c r="S237" s="50" t="str">
        <f>IF($AB237="","",INDEX('ORDER Form'!$N$1:$N$355,$AB237)&amp;"")</f>
        <v/>
      </c>
      <c r="T237" s="50" t="str">
        <f>IF($AB237="","",IF($AD237,T$3,INDEX('ORDER Form'!$O$1:$O$355,$AB237))&amp;"")</f>
        <v/>
      </c>
      <c r="U237" s="50" t="str">
        <f>IF($AB237="","",IF($AD237,U$3,INDEX('ORDER Form'!$P$1:$P$355,$AB237))&amp;"")</f>
        <v/>
      </c>
      <c r="V237" s="50" t="str">
        <f>IF($AB237="","",IF($AD237,V$3,INDEX('ORDER Form'!$Q$1:$Q$355,$AB237))&amp;"")</f>
        <v/>
      </c>
      <c r="W237" s="50" t="str">
        <f>IF($AB237="","",IF($AD237,W$3,INDEX('ORDER Form'!$R$1:$R$355,$AB237))&amp;"")</f>
        <v/>
      </c>
      <c r="X237" s="50" t="str">
        <f>IF($AB237="","",IF($AD237,X$3,INDEX('ORDER Form'!$S$1:$S$355,$AB237))&amp;"")</f>
        <v/>
      </c>
      <c r="Y237" s="50" t="str">
        <f>IF($AB237="","",IF($AD237,Y$3,INDEX('ORDER Form'!$T$1:$T$355,$AB237))&amp;"")</f>
        <v/>
      </c>
      <c r="Z237" s="50" t="str">
        <f>IF($AB237="","",IF($AD237,Z$3,INDEX('ORDER Form'!$U$1:$U$355,$AB237))&amp;"")</f>
        <v/>
      </c>
      <c r="AB237" s="51" t="str">
        <f>IFERROR(MATCH(233,$AC$5:$AC$354,0)+5,"")</f>
        <v/>
      </c>
      <c r="AC237" s="51" t="str">
        <f>IF('ORDER Form'!$V238="OK",COUNTIF('ORDER Form'!$V$6:$V238,"OK"),"")</f>
        <v/>
      </c>
      <c r="AD237" s="51" t="str">
        <f>IF($AB237="","",(LEN(TRIM(INDEX('ORDER Form'!$O$1:$O$355,$AB237)))+LEN(TRIM(INDEX('ORDER Form'!$P$1:$P$355,$AB237)))+LEN(TRIM(INDEX('ORDER Form'!$Q$1:$Q$355,$AB237)))+LEN(TRIM(INDEX('ORDER Form'!$R$1:$R$355,$AB237)))+LEN(TRIM(INDEX('ORDER Form'!$S$1:$S$355,$AB237)))+LEN(TRIM(INDEX('ORDER Form'!$T$1:$T$355,$AB237)))+LEN(TRIM(INDEX('ORDER Form'!$U$1:$U$355,$AB237))))=0)</f>
        <v/>
      </c>
    </row>
    <row r="238" spans="1:30" ht="15" customHeight="1" x14ac:dyDescent="0.25">
      <c r="A238" s="50" t="str">
        <f>IF($AB238="","",IFERROR(IF(AND(INDEX('ORDER Form'!$N$1:$N$355,$AB238)="GB",LEFT(UPPER(TRIM(INDEX('ORDER Form'!$L$1:$L$355,$AB238))),2)="BT"),INDEX('ORDER Form'!$AC$1:$AC$355,$AB238),IFERROR(VLOOKUP(INDEX('ORDER Form'!$AC$1:$AC$355,$AB238)&amp;"|"&amp;INDEX('PRODUCT DATA'!$A$2:$A$58,MATCH(INDEX('ORDER Form'!$N$1:$N$355,$AB238),'PRODUCT DATA'!$B$2:$B$58,0)),'PRODUCT DATA'!$NO$2:$NP$25,2,FALSE()),INDEX('ORDER Form'!$AC$1:$AC$355,$AB238)))&amp;"",""))</f>
        <v/>
      </c>
      <c r="B238" s="49"/>
      <c r="C238" s="51" t="str">
        <f>IF($AB238="","",INDEX('ORDER Form'!$C$1:$C$355,$AB238))</f>
        <v/>
      </c>
      <c r="D238" s="49"/>
      <c r="E238" s="49"/>
      <c r="F238" s="49"/>
      <c r="G238" s="49"/>
      <c r="H238" s="49"/>
      <c r="I238" s="49"/>
      <c r="J238" s="50" t="str">
        <f>IF($AB238="","",INDEX('ORDER Form'!$D$1:$D$355,$AB238)&amp;"")</f>
        <v/>
      </c>
      <c r="K238" s="50" t="str">
        <f>IF($AB238="","",INDEX('ORDER Form'!$E$1:$E$355,$AB238)&amp;"")</f>
        <v/>
      </c>
      <c r="L238" s="50" t="str">
        <f>IF($AB238="","",INDEX('ORDER Form'!$F$1:$F$355,$AB238)&amp;"")</f>
        <v/>
      </c>
      <c r="M238" s="50" t="str">
        <f>IF($AB238="","",INDEX('ORDER Form'!$G$1:$G$355,$AB238)&amp;"")</f>
        <v/>
      </c>
      <c r="N238" s="50" t="str">
        <f>IF($AB238="","",INDEX('ORDER Form'!$H$1:$H$355,$AB238)&amp;"")</f>
        <v/>
      </c>
      <c r="O238" s="50" t="str">
        <f>IF($AB238="","",INDEX('ORDER Form'!$I$1:$I$355,$AB238)&amp;"")</f>
        <v/>
      </c>
      <c r="P238" s="50" t="str">
        <f>IF($AB238="","",INDEX('ORDER Form'!$J$1:$J$355,$AB238)&amp;"")</f>
        <v/>
      </c>
      <c r="Q238" s="50" t="str">
        <f>IF($AB238="","",INDEX('ORDER Form'!$AB$1:$AB$355,$AB238)&amp;"")</f>
        <v/>
      </c>
      <c r="R238" s="50" t="str">
        <f>IF($AB238="","",INDEX('ORDER Form'!$L$1:$L$355,$AB238)&amp;"")</f>
        <v/>
      </c>
      <c r="S238" s="50" t="str">
        <f>IF($AB238="","",INDEX('ORDER Form'!$N$1:$N$355,$AB238)&amp;"")</f>
        <v/>
      </c>
      <c r="T238" s="50" t="str">
        <f>IF($AB238="","",IF($AD238,T$3,INDEX('ORDER Form'!$O$1:$O$355,$AB238))&amp;"")</f>
        <v/>
      </c>
      <c r="U238" s="50" t="str">
        <f>IF($AB238="","",IF($AD238,U$3,INDEX('ORDER Form'!$P$1:$P$355,$AB238))&amp;"")</f>
        <v/>
      </c>
      <c r="V238" s="50" t="str">
        <f>IF($AB238="","",IF($AD238,V$3,INDEX('ORDER Form'!$Q$1:$Q$355,$AB238))&amp;"")</f>
        <v/>
      </c>
      <c r="W238" s="50" t="str">
        <f>IF($AB238="","",IF($AD238,W$3,INDEX('ORDER Form'!$R$1:$R$355,$AB238))&amp;"")</f>
        <v/>
      </c>
      <c r="X238" s="50" t="str">
        <f>IF($AB238="","",IF($AD238,X$3,INDEX('ORDER Form'!$S$1:$S$355,$AB238))&amp;"")</f>
        <v/>
      </c>
      <c r="Y238" s="50" t="str">
        <f>IF($AB238="","",IF($AD238,Y$3,INDEX('ORDER Form'!$T$1:$T$355,$AB238))&amp;"")</f>
        <v/>
      </c>
      <c r="Z238" s="50" t="str">
        <f>IF($AB238="","",IF($AD238,Z$3,INDEX('ORDER Form'!$U$1:$U$355,$AB238))&amp;"")</f>
        <v/>
      </c>
      <c r="AB238" s="51" t="str">
        <f>IFERROR(MATCH(234,$AC$5:$AC$354,0)+5,"")</f>
        <v/>
      </c>
      <c r="AC238" s="51" t="str">
        <f>IF('ORDER Form'!$V239="OK",COUNTIF('ORDER Form'!$V$6:$V239,"OK"),"")</f>
        <v/>
      </c>
      <c r="AD238" s="51" t="str">
        <f>IF($AB238="","",(LEN(TRIM(INDEX('ORDER Form'!$O$1:$O$355,$AB238)))+LEN(TRIM(INDEX('ORDER Form'!$P$1:$P$355,$AB238)))+LEN(TRIM(INDEX('ORDER Form'!$Q$1:$Q$355,$AB238)))+LEN(TRIM(INDEX('ORDER Form'!$R$1:$R$355,$AB238)))+LEN(TRIM(INDEX('ORDER Form'!$S$1:$S$355,$AB238)))+LEN(TRIM(INDEX('ORDER Form'!$T$1:$T$355,$AB238)))+LEN(TRIM(INDEX('ORDER Form'!$U$1:$U$355,$AB238))))=0)</f>
        <v/>
      </c>
    </row>
    <row r="239" spans="1:30" ht="15" customHeight="1" x14ac:dyDescent="0.25">
      <c r="A239" s="50" t="str">
        <f>IF($AB239="","",IFERROR(IF(AND(INDEX('ORDER Form'!$N$1:$N$355,$AB239)="GB",LEFT(UPPER(TRIM(INDEX('ORDER Form'!$L$1:$L$355,$AB239))),2)="BT"),INDEX('ORDER Form'!$AC$1:$AC$355,$AB239),IFERROR(VLOOKUP(INDEX('ORDER Form'!$AC$1:$AC$355,$AB239)&amp;"|"&amp;INDEX('PRODUCT DATA'!$A$2:$A$58,MATCH(INDEX('ORDER Form'!$N$1:$N$355,$AB239),'PRODUCT DATA'!$B$2:$B$58,0)),'PRODUCT DATA'!$NO$2:$NP$25,2,FALSE()),INDEX('ORDER Form'!$AC$1:$AC$355,$AB239)))&amp;"",""))</f>
        <v/>
      </c>
      <c r="B239" s="49"/>
      <c r="C239" s="51" t="str">
        <f>IF($AB239="","",INDEX('ORDER Form'!$C$1:$C$355,$AB239))</f>
        <v/>
      </c>
      <c r="D239" s="49"/>
      <c r="E239" s="49"/>
      <c r="F239" s="49"/>
      <c r="G239" s="49"/>
      <c r="H239" s="49"/>
      <c r="I239" s="49"/>
      <c r="J239" s="50" t="str">
        <f>IF($AB239="","",INDEX('ORDER Form'!$D$1:$D$355,$AB239)&amp;"")</f>
        <v/>
      </c>
      <c r="K239" s="50" t="str">
        <f>IF($AB239="","",INDEX('ORDER Form'!$E$1:$E$355,$AB239)&amp;"")</f>
        <v/>
      </c>
      <c r="L239" s="50" t="str">
        <f>IF($AB239="","",INDEX('ORDER Form'!$F$1:$F$355,$AB239)&amp;"")</f>
        <v/>
      </c>
      <c r="M239" s="50" t="str">
        <f>IF($AB239="","",INDEX('ORDER Form'!$G$1:$G$355,$AB239)&amp;"")</f>
        <v/>
      </c>
      <c r="N239" s="50" t="str">
        <f>IF($AB239="","",INDEX('ORDER Form'!$H$1:$H$355,$AB239)&amp;"")</f>
        <v/>
      </c>
      <c r="O239" s="50" t="str">
        <f>IF($AB239="","",INDEX('ORDER Form'!$I$1:$I$355,$AB239)&amp;"")</f>
        <v/>
      </c>
      <c r="P239" s="50" t="str">
        <f>IF($AB239="","",INDEX('ORDER Form'!$J$1:$J$355,$AB239)&amp;"")</f>
        <v/>
      </c>
      <c r="Q239" s="50" t="str">
        <f>IF($AB239="","",INDEX('ORDER Form'!$AB$1:$AB$355,$AB239)&amp;"")</f>
        <v/>
      </c>
      <c r="R239" s="50" t="str">
        <f>IF($AB239="","",INDEX('ORDER Form'!$L$1:$L$355,$AB239)&amp;"")</f>
        <v/>
      </c>
      <c r="S239" s="50" t="str">
        <f>IF($AB239="","",INDEX('ORDER Form'!$N$1:$N$355,$AB239)&amp;"")</f>
        <v/>
      </c>
      <c r="T239" s="50" t="str">
        <f>IF($AB239="","",IF($AD239,T$3,INDEX('ORDER Form'!$O$1:$O$355,$AB239))&amp;"")</f>
        <v/>
      </c>
      <c r="U239" s="50" t="str">
        <f>IF($AB239="","",IF($AD239,U$3,INDEX('ORDER Form'!$P$1:$P$355,$AB239))&amp;"")</f>
        <v/>
      </c>
      <c r="V239" s="50" t="str">
        <f>IF($AB239="","",IF($AD239,V$3,INDEX('ORDER Form'!$Q$1:$Q$355,$AB239))&amp;"")</f>
        <v/>
      </c>
      <c r="W239" s="50" t="str">
        <f>IF($AB239="","",IF($AD239,W$3,INDEX('ORDER Form'!$R$1:$R$355,$AB239))&amp;"")</f>
        <v/>
      </c>
      <c r="X239" s="50" t="str">
        <f>IF($AB239="","",IF($AD239,X$3,INDEX('ORDER Form'!$S$1:$S$355,$AB239))&amp;"")</f>
        <v/>
      </c>
      <c r="Y239" s="50" t="str">
        <f>IF($AB239="","",IF($AD239,Y$3,INDEX('ORDER Form'!$T$1:$T$355,$AB239))&amp;"")</f>
        <v/>
      </c>
      <c r="Z239" s="50" t="str">
        <f>IF($AB239="","",IF($AD239,Z$3,INDEX('ORDER Form'!$U$1:$U$355,$AB239))&amp;"")</f>
        <v/>
      </c>
      <c r="AB239" s="51" t="str">
        <f>IFERROR(MATCH(235,$AC$5:$AC$354,0)+5,"")</f>
        <v/>
      </c>
      <c r="AC239" s="51" t="str">
        <f>IF('ORDER Form'!$V240="OK",COUNTIF('ORDER Form'!$V$6:$V240,"OK"),"")</f>
        <v/>
      </c>
      <c r="AD239" s="51" t="str">
        <f>IF($AB239="","",(LEN(TRIM(INDEX('ORDER Form'!$O$1:$O$355,$AB239)))+LEN(TRIM(INDEX('ORDER Form'!$P$1:$P$355,$AB239)))+LEN(TRIM(INDEX('ORDER Form'!$Q$1:$Q$355,$AB239)))+LEN(TRIM(INDEX('ORDER Form'!$R$1:$R$355,$AB239)))+LEN(TRIM(INDEX('ORDER Form'!$S$1:$S$355,$AB239)))+LEN(TRIM(INDEX('ORDER Form'!$T$1:$T$355,$AB239)))+LEN(TRIM(INDEX('ORDER Form'!$U$1:$U$355,$AB239))))=0)</f>
        <v/>
      </c>
    </row>
    <row r="240" spans="1:30" ht="15" customHeight="1" x14ac:dyDescent="0.25">
      <c r="A240" s="50" t="str">
        <f>IF($AB240="","",IFERROR(IF(AND(INDEX('ORDER Form'!$N$1:$N$355,$AB240)="GB",LEFT(UPPER(TRIM(INDEX('ORDER Form'!$L$1:$L$355,$AB240))),2)="BT"),INDEX('ORDER Form'!$AC$1:$AC$355,$AB240),IFERROR(VLOOKUP(INDEX('ORDER Form'!$AC$1:$AC$355,$AB240)&amp;"|"&amp;INDEX('PRODUCT DATA'!$A$2:$A$58,MATCH(INDEX('ORDER Form'!$N$1:$N$355,$AB240),'PRODUCT DATA'!$B$2:$B$58,0)),'PRODUCT DATA'!$NO$2:$NP$25,2,FALSE()),INDEX('ORDER Form'!$AC$1:$AC$355,$AB240)))&amp;"",""))</f>
        <v/>
      </c>
      <c r="B240" s="49"/>
      <c r="C240" s="51" t="str">
        <f>IF($AB240="","",INDEX('ORDER Form'!$C$1:$C$355,$AB240))</f>
        <v/>
      </c>
      <c r="D240" s="49"/>
      <c r="E240" s="49"/>
      <c r="F240" s="49"/>
      <c r="G240" s="49"/>
      <c r="H240" s="49"/>
      <c r="I240" s="49"/>
      <c r="J240" s="50" t="str">
        <f>IF($AB240="","",INDEX('ORDER Form'!$D$1:$D$355,$AB240)&amp;"")</f>
        <v/>
      </c>
      <c r="K240" s="50" t="str">
        <f>IF($AB240="","",INDEX('ORDER Form'!$E$1:$E$355,$AB240)&amp;"")</f>
        <v/>
      </c>
      <c r="L240" s="50" t="str">
        <f>IF($AB240="","",INDEX('ORDER Form'!$F$1:$F$355,$AB240)&amp;"")</f>
        <v/>
      </c>
      <c r="M240" s="50" t="str">
        <f>IF($AB240="","",INDEX('ORDER Form'!$G$1:$G$355,$AB240)&amp;"")</f>
        <v/>
      </c>
      <c r="N240" s="50" t="str">
        <f>IF($AB240="","",INDEX('ORDER Form'!$H$1:$H$355,$AB240)&amp;"")</f>
        <v/>
      </c>
      <c r="O240" s="50" t="str">
        <f>IF($AB240="","",INDEX('ORDER Form'!$I$1:$I$355,$AB240)&amp;"")</f>
        <v/>
      </c>
      <c r="P240" s="50" t="str">
        <f>IF($AB240="","",INDEX('ORDER Form'!$J$1:$J$355,$AB240)&amp;"")</f>
        <v/>
      </c>
      <c r="Q240" s="50" t="str">
        <f>IF($AB240="","",INDEX('ORDER Form'!$AB$1:$AB$355,$AB240)&amp;"")</f>
        <v/>
      </c>
      <c r="R240" s="50" t="str">
        <f>IF($AB240="","",INDEX('ORDER Form'!$L$1:$L$355,$AB240)&amp;"")</f>
        <v/>
      </c>
      <c r="S240" s="50" t="str">
        <f>IF($AB240="","",INDEX('ORDER Form'!$N$1:$N$355,$AB240)&amp;"")</f>
        <v/>
      </c>
      <c r="T240" s="50" t="str">
        <f>IF($AB240="","",IF($AD240,T$3,INDEX('ORDER Form'!$O$1:$O$355,$AB240))&amp;"")</f>
        <v/>
      </c>
      <c r="U240" s="50" t="str">
        <f>IF($AB240="","",IF($AD240,U$3,INDEX('ORDER Form'!$P$1:$P$355,$AB240))&amp;"")</f>
        <v/>
      </c>
      <c r="V240" s="50" t="str">
        <f>IF($AB240="","",IF($AD240,V$3,INDEX('ORDER Form'!$Q$1:$Q$355,$AB240))&amp;"")</f>
        <v/>
      </c>
      <c r="W240" s="50" t="str">
        <f>IF($AB240="","",IF($AD240,W$3,INDEX('ORDER Form'!$R$1:$R$355,$AB240))&amp;"")</f>
        <v/>
      </c>
      <c r="X240" s="50" t="str">
        <f>IF($AB240="","",IF($AD240,X$3,INDEX('ORDER Form'!$S$1:$S$355,$AB240))&amp;"")</f>
        <v/>
      </c>
      <c r="Y240" s="50" t="str">
        <f>IF($AB240="","",IF($AD240,Y$3,INDEX('ORDER Form'!$T$1:$T$355,$AB240))&amp;"")</f>
        <v/>
      </c>
      <c r="Z240" s="50" t="str">
        <f>IF($AB240="","",IF($AD240,Z$3,INDEX('ORDER Form'!$U$1:$U$355,$AB240))&amp;"")</f>
        <v/>
      </c>
      <c r="AB240" s="51" t="str">
        <f>IFERROR(MATCH(236,$AC$5:$AC$354,0)+5,"")</f>
        <v/>
      </c>
      <c r="AC240" s="51" t="str">
        <f>IF('ORDER Form'!$V241="OK",COUNTIF('ORDER Form'!$V$6:$V241,"OK"),"")</f>
        <v/>
      </c>
      <c r="AD240" s="51" t="str">
        <f>IF($AB240="","",(LEN(TRIM(INDEX('ORDER Form'!$O$1:$O$355,$AB240)))+LEN(TRIM(INDEX('ORDER Form'!$P$1:$P$355,$AB240)))+LEN(TRIM(INDEX('ORDER Form'!$Q$1:$Q$355,$AB240)))+LEN(TRIM(INDEX('ORDER Form'!$R$1:$R$355,$AB240)))+LEN(TRIM(INDEX('ORDER Form'!$S$1:$S$355,$AB240)))+LEN(TRIM(INDEX('ORDER Form'!$T$1:$T$355,$AB240)))+LEN(TRIM(INDEX('ORDER Form'!$U$1:$U$355,$AB240))))=0)</f>
        <v/>
      </c>
    </row>
    <row r="241" spans="1:30" ht="15" customHeight="1" x14ac:dyDescent="0.25">
      <c r="A241" s="50" t="str">
        <f>IF($AB241="","",IFERROR(IF(AND(INDEX('ORDER Form'!$N$1:$N$355,$AB241)="GB",LEFT(UPPER(TRIM(INDEX('ORDER Form'!$L$1:$L$355,$AB241))),2)="BT"),INDEX('ORDER Form'!$AC$1:$AC$355,$AB241),IFERROR(VLOOKUP(INDEX('ORDER Form'!$AC$1:$AC$355,$AB241)&amp;"|"&amp;INDEX('PRODUCT DATA'!$A$2:$A$58,MATCH(INDEX('ORDER Form'!$N$1:$N$355,$AB241),'PRODUCT DATA'!$B$2:$B$58,0)),'PRODUCT DATA'!$NO$2:$NP$25,2,FALSE()),INDEX('ORDER Form'!$AC$1:$AC$355,$AB241)))&amp;"",""))</f>
        <v/>
      </c>
      <c r="B241" s="49"/>
      <c r="C241" s="51" t="str">
        <f>IF($AB241="","",INDEX('ORDER Form'!$C$1:$C$355,$AB241))</f>
        <v/>
      </c>
      <c r="D241" s="49"/>
      <c r="E241" s="49"/>
      <c r="F241" s="49"/>
      <c r="G241" s="49"/>
      <c r="H241" s="49"/>
      <c r="I241" s="49"/>
      <c r="J241" s="50" t="str">
        <f>IF($AB241="","",INDEX('ORDER Form'!$D$1:$D$355,$AB241)&amp;"")</f>
        <v/>
      </c>
      <c r="K241" s="50" t="str">
        <f>IF($AB241="","",INDEX('ORDER Form'!$E$1:$E$355,$AB241)&amp;"")</f>
        <v/>
      </c>
      <c r="L241" s="50" t="str">
        <f>IF($AB241="","",INDEX('ORDER Form'!$F$1:$F$355,$AB241)&amp;"")</f>
        <v/>
      </c>
      <c r="M241" s="50" t="str">
        <f>IF($AB241="","",INDEX('ORDER Form'!$G$1:$G$355,$AB241)&amp;"")</f>
        <v/>
      </c>
      <c r="N241" s="50" t="str">
        <f>IF($AB241="","",INDEX('ORDER Form'!$H$1:$H$355,$AB241)&amp;"")</f>
        <v/>
      </c>
      <c r="O241" s="50" t="str">
        <f>IF($AB241="","",INDEX('ORDER Form'!$I$1:$I$355,$AB241)&amp;"")</f>
        <v/>
      </c>
      <c r="P241" s="50" t="str">
        <f>IF($AB241="","",INDEX('ORDER Form'!$J$1:$J$355,$AB241)&amp;"")</f>
        <v/>
      </c>
      <c r="Q241" s="50" t="str">
        <f>IF($AB241="","",INDEX('ORDER Form'!$AB$1:$AB$355,$AB241)&amp;"")</f>
        <v/>
      </c>
      <c r="R241" s="50" t="str">
        <f>IF($AB241="","",INDEX('ORDER Form'!$L$1:$L$355,$AB241)&amp;"")</f>
        <v/>
      </c>
      <c r="S241" s="50" t="str">
        <f>IF($AB241="","",INDEX('ORDER Form'!$N$1:$N$355,$AB241)&amp;"")</f>
        <v/>
      </c>
      <c r="T241" s="50" t="str">
        <f>IF($AB241="","",IF($AD241,T$3,INDEX('ORDER Form'!$O$1:$O$355,$AB241))&amp;"")</f>
        <v/>
      </c>
      <c r="U241" s="50" t="str">
        <f>IF($AB241="","",IF($AD241,U$3,INDEX('ORDER Form'!$P$1:$P$355,$AB241))&amp;"")</f>
        <v/>
      </c>
      <c r="V241" s="50" t="str">
        <f>IF($AB241="","",IF($AD241,V$3,INDEX('ORDER Form'!$Q$1:$Q$355,$AB241))&amp;"")</f>
        <v/>
      </c>
      <c r="W241" s="50" t="str">
        <f>IF($AB241="","",IF($AD241,W$3,INDEX('ORDER Form'!$R$1:$R$355,$AB241))&amp;"")</f>
        <v/>
      </c>
      <c r="X241" s="50" t="str">
        <f>IF($AB241="","",IF($AD241,X$3,INDEX('ORDER Form'!$S$1:$S$355,$AB241))&amp;"")</f>
        <v/>
      </c>
      <c r="Y241" s="50" t="str">
        <f>IF($AB241="","",IF($AD241,Y$3,INDEX('ORDER Form'!$T$1:$T$355,$AB241))&amp;"")</f>
        <v/>
      </c>
      <c r="Z241" s="50" t="str">
        <f>IF($AB241="","",IF($AD241,Z$3,INDEX('ORDER Form'!$U$1:$U$355,$AB241))&amp;"")</f>
        <v/>
      </c>
      <c r="AB241" s="51" t="str">
        <f>IFERROR(MATCH(237,$AC$5:$AC$354,0)+5,"")</f>
        <v/>
      </c>
      <c r="AC241" s="51" t="str">
        <f>IF('ORDER Form'!$V242="OK",COUNTIF('ORDER Form'!$V$6:$V242,"OK"),"")</f>
        <v/>
      </c>
      <c r="AD241" s="51" t="str">
        <f>IF($AB241="","",(LEN(TRIM(INDEX('ORDER Form'!$O$1:$O$355,$AB241)))+LEN(TRIM(INDEX('ORDER Form'!$P$1:$P$355,$AB241)))+LEN(TRIM(INDEX('ORDER Form'!$Q$1:$Q$355,$AB241)))+LEN(TRIM(INDEX('ORDER Form'!$R$1:$R$355,$AB241)))+LEN(TRIM(INDEX('ORDER Form'!$S$1:$S$355,$AB241)))+LEN(TRIM(INDEX('ORDER Form'!$T$1:$T$355,$AB241)))+LEN(TRIM(INDEX('ORDER Form'!$U$1:$U$355,$AB241))))=0)</f>
        <v/>
      </c>
    </row>
    <row r="242" spans="1:30" ht="15" customHeight="1" x14ac:dyDescent="0.25">
      <c r="A242" s="50" t="str">
        <f>IF($AB242="","",IFERROR(IF(AND(INDEX('ORDER Form'!$N$1:$N$355,$AB242)="GB",LEFT(UPPER(TRIM(INDEX('ORDER Form'!$L$1:$L$355,$AB242))),2)="BT"),INDEX('ORDER Form'!$AC$1:$AC$355,$AB242),IFERROR(VLOOKUP(INDEX('ORDER Form'!$AC$1:$AC$355,$AB242)&amp;"|"&amp;INDEX('PRODUCT DATA'!$A$2:$A$58,MATCH(INDEX('ORDER Form'!$N$1:$N$355,$AB242),'PRODUCT DATA'!$B$2:$B$58,0)),'PRODUCT DATA'!$NO$2:$NP$25,2,FALSE()),INDEX('ORDER Form'!$AC$1:$AC$355,$AB242)))&amp;"",""))</f>
        <v/>
      </c>
      <c r="B242" s="49"/>
      <c r="C242" s="51" t="str">
        <f>IF($AB242="","",INDEX('ORDER Form'!$C$1:$C$355,$AB242))</f>
        <v/>
      </c>
      <c r="D242" s="49"/>
      <c r="E242" s="49"/>
      <c r="F242" s="49"/>
      <c r="G242" s="49"/>
      <c r="H242" s="49"/>
      <c r="I242" s="49"/>
      <c r="J242" s="50" t="str">
        <f>IF($AB242="","",INDEX('ORDER Form'!$D$1:$D$355,$AB242)&amp;"")</f>
        <v/>
      </c>
      <c r="K242" s="50" t="str">
        <f>IF($AB242="","",INDEX('ORDER Form'!$E$1:$E$355,$AB242)&amp;"")</f>
        <v/>
      </c>
      <c r="L242" s="50" t="str">
        <f>IF($AB242="","",INDEX('ORDER Form'!$F$1:$F$355,$AB242)&amp;"")</f>
        <v/>
      </c>
      <c r="M242" s="50" t="str">
        <f>IF($AB242="","",INDEX('ORDER Form'!$G$1:$G$355,$AB242)&amp;"")</f>
        <v/>
      </c>
      <c r="N242" s="50" t="str">
        <f>IF($AB242="","",INDEX('ORDER Form'!$H$1:$H$355,$AB242)&amp;"")</f>
        <v/>
      </c>
      <c r="O242" s="50" t="str">
        <f>IF($AB242="","",INDEX('ORDER Form'!$I$1:$I$355,$AB242)&amp;"")</f>
        <v/>
      </c>
      <c r="P242" s="50" t="str">
        <f>IF($AB242="","",INDEX('ORDER Form'!$J$1:$J$355,$AB242)&amp;"")</f>
        <v/>
      </c>
      <c r="Q242" s="50" t="str">
        <f>IF($AB242="","",INDEX('ORDER Form'!$AB$1:$AB$355,$AB242)&amp;"")</f>
        <v/>
      </c>
      <c r="R242" s="50" t="str">
        <f>IF($AB242="","",INDEX('ORDER Form'!$L$1:$L$355,$AB242)&amp;"")</f>
        <v/>
      </c>
      <c r="S242" s="50" t="str">
        <f>IF($AB242="","",INDEX('ORDER Form'!$N$1:$N$355,$AB242)&amp;"")</f>
        <v/>
      </c>
      <c r="T242" s="50" t="str">
        <f>IF($AB242="","",IF($AD242,T$3,INDEX('ORDER Form'!$O$1:$O$355,$AB242))&amp;"")</f>
        <v/>
      </c>
      <c r="U242" s="50" t="str">
        <f>IF($AB242="","",IF($AD242,U$3,INDEX('ORDER Form'!$P$1:$P$355,$AB242))&amp;"")</f>
        <v/>
      </c>
      <c r="V242" s="50" t="str">
        <f>IF($AB242="","",IF($AD242,V$3,INDEX('ORDER Form'!$Q$1:$Q$355,$AB242))&amp;"")</f>
        <v/>
      </c>
      <c r="W242" s="50" t="str">
        <f>IF($AB242="","",IF($AD242,W$3,INDEX('ORDER Form'!$R$1:$R$355,$AB242))&amp;"")</f>
        <v/>
      </c>
      <c r="X242" s="50" t="str">
        <f>IF($AB242="","",IF($AD242,X$3,INDEX('ORDER Form'!$S$1:$S$355,$AB242))&amp;"")</f>
        <v/>
      </c>
      <c r="Y242" s="50" t="str">
        <f>IF($AB242="","",IF($AD242,Y$3,INDEX('ORDER Form'!$T$1:$T$355,$AB242))&amp;"")</f>
        <v/>
      </c>
      <c r="Z242" s="50" t="str">
        <f>IF($AB242="","",IF($AD242,Z$3,INDEX('ORDER Form'!$U$1:$U$355,$AB242))&amp;"")</f>
        <v/>
      </c>
      <c r="AB242" s="51" t="str">
        <f>IFERROR(MATCH(238,$AC$5:$AC$354,0)+5,"")</f>
        <v/>
      </c>
      <c r="AC242" s="51" t="str">
        <f>IF('ORDER Form'!$V243="OK",COUNTIF('ORDER Form'!$V$6:$V243,"OK"),"")</f>
        <v/>
      </c>
      <c r="AD242" s="51" t="str">
        <f>IF($AB242="","",(LEN(TRIM(INDEX('ORDER Form'!$O$1:$O$355,$AB242)))+LEN(TRIM(INDEX('ORDER Form'!$P$1:$P$355,$AB242)))+LEN(TRIM(INDEX('ORDER Form'!$Q$1:$Q$355,$AB242)))+LEN(TRIM(INDEX('ORDER Form'!$R$1:$R$355,$AB242)))+LEN(TRIM(INDEX('ORDER Form'!$S$1:$S$355,$AB242)))+LEN(TRIM(INDEX('ORDER Form'!$T$1:$T$355,$AB242)))+LEN(TRIM(INDEX('ORDER Form'!$U$1:$U$355,$AB242))))=0)</f>
        <v/>
      </c>
    </row>
    <row r="243" spans="1:30" ht="15" customHeight="1" x14ac:dyDescent="0.25">
      <c r="A243" s="50" t="str">
        <f>IF($AB243="","",IFERROR(IF(AND(INDEX('ORDER Form'!$N$1:$N$355,$AB243)="GB",LEFT(UPPER(TRIM(INDEX('ORDER Form'!$L$1:$L$355,$AB243))),2)="BT"),INDEX('ORDER Form'!$AC$1:$AC$355,$AB243),IFERROR(VLOOKUP(INDEX('ORDER Form'!$AC$1:$AC$355,$AB243)&amp;"|"&amp;INDEX('PRODUCT DATA'!$A$2:$A$58,MATCH(INDEX('ORDER Form'!$N$1:$N$355,$AB243),'PRODUCT DATA'!$B$2:$B$58,0)),'PRODUCT DATA'!$NO$2:$NP$25,2,FALSE()),INDEX('ORDER Form'!$AC$1:$AC$355,$AB243)))&amp;"",""))</f>
        <v/>
      </c>
      <c r="B243" s="49"/>
      <c r="C243" s="51" t="str">
        <f>IF($AB243="","",INDEX('ORDER Form'!$C$1:$C$355,$AB243))</f>
        <v/>
      </c>
      <c r="D243" s="49"/>
      <c r="E243" s="49"/>
      <c r="F243" s="49"/>
      <c r="G243" s="49"/>
      <c r="H243" s="49"/>
      <c r="I243" s="49"/>
      <c r="J243" s="50" t="str">
        <f>IF($AB243="","",INDEX('ORDER Form'!$D$1:$D$355,$AB243)&amp;"")</f>
        <v/>
      </c>
      <c r="K243" s="50" t="str">
        <f>IF($AB243="","",INDEX('ORDER Form'!$E$1:$E$355,$AB243)&amp;"")</f>
        <v/>
      </c>
      <c r="L243" s="50" t="str">
        <f>IF($AB243="","",INDEX('ORDER Form'!$F$1:$F$355,$AB243)&amp;"")</f>
        <v/>
      </c>
      <c r="M243" s="50" t="str">
        <f>IF($AB243="","",INDEX('ORDER Form'!$G$1:$G$355,$AB243)&amp;"")</f>
        <v/>
      </c>
      <c r="N243" s="50" t="str">
        <f>IF($AB243="","",INDEX('ORDER Form'!$H$1:$H$355,$AB243)&amp;"")</f>
        <v/>
      </c>
      <c r="O243" s="50" t="str">
        <f>IF($AB243="","",INDEX('ORDER Form'!$I$1:$I$355,$AB243)&amp;"")</f>
        <v/>
      </c>
      <c r="P243" s="50" t="str">
        <f>IF($AB243="","",INDEX('ORDER Form'!$J$1:$J$355,$AB243)&amp;"")</f>
        <v/>
      </c>
      <c r="Q243" s="50" t="str">
        <f>IF($AB243="","",INDEX('ORDER Form'!$AB$1:$AB$355,$AB243)&amp;"")</f>
        <v/>
      </c>
      <c r="R243" s="50" t="str">
        <f>IF($AB243="","",INDEX('ORDER Form'!$L$1:$L$355,$AB243)&amp;"")</f>
        <v/>
      </c>
      <c r="S243" s="50" t="str">
        <f>IF($AB243="","",INDEX('ORDER Form'!$N$1:$N$355,$AB243)&amp;"")</f>
        <v/>
      </c>
      <c r="T243" s="50" t="str">
        <f>IF($AB243="","",IF($AD243,T$3,INDEX('ORDER Form'!$O$1:$O$355,$AB243))&amp;"")</f>
        <v/>
      </c>
      <c r="U243" s="50" t="str">
        <f>IF($AB243="","",IF($AD243,U$3,INDEX('ORDER Form'!$P$1:$P$355,$AB243))&amp;"")</f>
        <v/>
      </c>
      <c r="V243" s="50" t="str">
        <f>IF($AB243="","",IF($AD243,V$3,INDEX('ORDER Form'!$Q$1:$Q$355,$AB243))&amp;"")</f>
        <v/>
      </c>
      <c r="W243" s="50" t="str">
        <f>IF($AB243="","",IF($AD243,W$3,INDEX('ORDER Form'!$R$1:$R$355,$AB243))&amp;"")</f>
        <v/>
      </c>
      <c r="X243" s="50" t="str">
        <f>IF($AB243="","",IF($AD243,X$3,INDEX('ORDER Form'!$S$1:$S$355,$AB243))&amp;"")</f>
        <v/>
      </c>
      <c r="Y243" s="50" t="str">
        <f>IF($AB243="","",IF($AD243,Y$3,INDEX('ORDER Form'!$T$1:$T$355,$AB243))&amp;"")</f>
        <v/>
      </c>
      <c r="Z243" s="50" t="str">
        <f>IF($AB243="","",IF($AD243,Z$3,INDEX('ORDER Form'!$U$1:$U$355,$AB243))&amp;"")</f>
        <v/>
      </c>
      <c r="AB243" s="51" t="str">
        <f>IFERROR(MATCH(239,$AC$5:$AC$354,0)+5,"")</f>
        <v/>
      </c>
      <c r="AC243" s="51" t="str">
        <f>IF('ORDER Form'!$V244="OK",COUNTIF('ORDER Form'!$V$6:$V244,"OK"),"")</f>
        <v/>
      </c>
      <c r="AD243" s="51" t="str">
        <f>IF($AB243="","",(LEN(TRIM(INDEX('ORDER Form'!$O$1:$O$355,$AB243)))+LEN(TRIM(INDEX('ORDER Form'!$P$1:$P$355,$AB243)))+LEN(TRIM(INDEX('ORDER Form'!$Q$1:$Q$355,$AB243)))+LEN(TRIM(INDEX('ORDER Form'!$R$1:$R$355,$AB243)))+LEN(TRIM(INDEX('ORDER Form'!$S$1:$S$355,$AB243)))+LEN(TRIM(INDEX('ORDER Form'!$T$1:$T$355,$AB243)))+LEN(TRIM(INDEX('ORDER Form'!$U$1:$U$355,$AB243))))=0)</f>
        <v/>
      </c>
    </row>
    <row r="244" spans="1:30" ht="15" customHeight="1" x14ac:dyDescent="0.25">
      <c r="A244" s="50" t="str">
        <f>IF($AB244="","",IFERROR(IF(AND(INDEX('ORDER Form'!$N$1:$N$355,$AB244)="GB",LEFT(UPPER(TRIM(INDEX('ORDER Form'!$L$1:$L$355,$AB244))),2)="BT"),INDEX('ORDER Form'!$AC$1:$AC$355,$AB244),IFERROR(VLOOKUP(INDEX('ORDER Form'!$AC$1:$AC$355,$AB244)&amp;"|"&amp;INDEX('PRODUCT DATA'!$A$2:$A$58,MATCH(INDEX('ORDER Form'!$N$1:$N$355,$AB244),'PRODUCT DATA'!$B$2:$B$58,0)),'PRODUCT DATA'!$NO$2:$NP$25,2,FALSE()),INDEX('ORDER Form'!$AC$1:$AC$355,$AB244)))&amp;"",""))</f>
        <v/>
      </c>
      <c r="B244" s="49"/>
      <c r="C244" s="51" t="str">
        <f>IF($AB244="","",INDEX('ORDER Form'!$C$1:$C$355,$AB244))</f>
        <v/>
      </c>
      <c r="D244" s="49"/>
      <c r="E244" s="49"/>
      <c r="F244" s="49"/>
      <c r="G244" s="49"/>
      <c r="H244" s="49"/>
      <c r="I244" s="49"/>
      <c r="J244" s="50" t="str">
        <f>IF($AB244="","",INDEX('ORDER Form'!$D$1:$D$355,$AB244)&amp;"")</f>
        <v/>
      </c>
      <c r="K244" s="50" t="str">
        <f>IF($AB244="","",INDEX('ORDER Form'!$E$1:$E$355,$AB244)&amp;"")</f>
        <v/>
      </c>
      <c r="L244" s="50" t="str">
        <f>IF($AB244="","",INDEX('ORDER Form'!$F$1:$F$355,$AB244)&amp;"")</f>
        <v/>
      </c>
      <c r="M244" s="50" t="str">
        <f>IF($AB244="","",INDEX('ORDER Form'!$G$1:$G$355,$AB244)&amp;"")</f>
        <v/>
      </c>
      <c r="N244" s="50" t="str">
        <f>IF($AB244="","",INDEX('ORDER Form'!$H$1:$H$355,$AB244)&amp;"")</f>
        <v/>
      </c>
      <c r="O244" s="50" t="str">
        <f>IF($AB244="","",INDEX('ORDER Form'!$I$1:$I$355,$AB244)&amp;"")</f>
        <v/>
      </c>
      <c r="P244" s="50" t="str">
        <f>IF($AB244="","",INDEX('ORDER Form'!$J$1:$J$355,$AB244)&amp;"")</f>
        <v/>
      </c>
      <c r="Q244" s="50" t="str">
        <f>IF($AB244="","",INDEX('ORDER Form'!$AB$1:$AB$355,$AB244)&amp;"")</f>
        <v/>
      </c>
      <c r="R244" s="50" t="str">
        <f>IF($AB244="","",INDEX('ORDER Form'!$L$1:$L$355,$AB244)&amp;"")</f>
        <v/>
      </c>
      <c r="S244" s="50" t="str">
        <f>IF($AB244="","",INDEX('ORDER Form'!$N$1:$N$355,$AB244)&amp;"")</f>
        <v/>
      </c>
      <c r="T244" s="50" t="str">
        <f>IF($AB244="","",IF($AD244,T$3,INDEX('ORDER Form'!$O$1:$O$355,$AB244))&amp;"")</f>
        <v/>
      </c>
      <c r="U244" s="50" t="str">
        <f>IF($AB244="","",IF($AD244,U$3,INDEX('ORDER Form'!$P$1:$P$355,$AB244))&amp;"")</f>
        <v/>
      </c>
      <c r="V244" s="50" t="str">
        <f>IF($AB244="","",IF($AD244,V$3,INDEX('ORDER Form'!$Q$1:$Q$355,$AB244))&amp;"")</f>
        <v/>
      </c>
      <c r="W244" s="50" t="str">
        <f>IF($AB244="","",IF($AD244,W$3,INDEX('ORDER Form'!$R$1:$R$355,$AB244))&amp;"")</f>
        <v/>
      </c>
      <c r="X244" s="50" t="str">
        <f>IF($AB244="","",IF($AD244,X$3,INDEX('ORDER Form'!$S$1:$S$355,$AB244))&amp;"")</f>
        <v/>
      </c>
      <c r="Y244" s="50" t="str">
        <f>IF($AB244="","",IF($AD244,Y$3,INDEX('ORDER Form'!$T$1:$T$355,$AB244))&amp;"")</f>
        <v/>
      </c>
      <c r="Z244" s="50" t="str">
        <f>IF($AB244="","",IF($AD244,Z$3,INDEX('ORDER Form'!$U$1:$U$355,$AB244))&amp;"")</f>
        <v/>
      </c>
      <c r="AB244" s="51" t="str">
        <f>IFERROR(MATCH(240,$AC$5:$AC$354,0)+5,"")</f>
        <v/>
      </c>
      <c r="AC244" s="51" t="str">
        <f>IF('ORDER Form'!$V245="OK",COUNTIF('ORDER Form'!$V$6:$V245,"OK"),"")</f>
        <v/>
      </c>
      <c r="AD244" s="51" t="str">
        <f>IF($AB244="","",(LEN(TRIM(INDEX('ORDER Form'!$O$1:$O$355,$AB244)))+LEN(TRIM(INDEX('ORDER Form'!$P$1:$P$355,$AB244)))+LEN(TRIM(INDEX('ORDER Form'!$Q$1:$Q$355,$AB244)))+LEN(TRIM(INDEX('ORDER Form'!$R$1:$R$355,$AB244)))+LEN(TRIM(INDEX('ORDER Form'!$S$1:$S$355,$AB244)))+LEN(TRIM(INDEX('ORDER Form'!$T$1:$T$355,$AB244)))+LEN(TRIM(INDEX('ORDER Form'!$U$1:$U$355,$AB244))))=0)</f>
        <v/>
      </c>
    </row>
    <row r="245" spans="1:30" ht="15" customHeight="1" x14ac:dyDescent="0.25">
      <c r="A245" s="50" t="str">
        <f>IF($AB245="","",IFERROR(IF(AND(INDEX('ORDER Form'!$N$1:$N$355,$AB245)="GB",LEFT(UPPER(TRIM(INDEX('ORDER Form'!$L$1:$L$355,$AB245))),2)="BT"),INDEX('ORDER Form'!$AC$1:$AC$355,$AB245),IFERROR(VLOOKUP(INDEX('ORDER Form'!$AC$1:$AC$355,$AB245)&amp;"|"&amp;INDEX('PRODUCT DATA'!$A$2:$A$58,MATCH(INDEX('ORDER Form'!$N$1:$N$355,$AB245),'PRODUCT DATA'!$B$2:$B$58,0)),'PRODUCT DATA'!$NO$2:$NP$25,2,FALSE()),INDEX('ORDER Form'!$AC$1:$AC$355,$AB245)))&amp;"",""))</f>
        <v/>
      </c>
      <c r="B245" s="49"/>
      <c r="C245" s="51" t="str">
        <f>IF($AB245="","",INDEX('ORDER Form'!$C$1:$C$355,$AB245))</f>
        <v/>
      </c>
      <c r="D245" s="49"/>
      <c r="E245" s="49"/>
      <c r="F245" s="49"/>
      <c r="G245" s="49"/>
      <c r="H245" s="49"/>
      <c r="I245" s="49"/>
      <c r="J245" s="50" t="str">
        <f>IF($AB245="","",INDEX('ORDER Form'!$D$1:$D$355,$AB245)&amp;"")</f>
        <v/>
      </c>
      <c r="K245" s="50" t="str">
        <f>IF($AB245="","",INDEX('ORDER Form'!$E$1:$E$355,$AB245)&amp;"")</f>
        <v/>
      </c>
      <c r="L245" s="50" t="str">
        <f>IF($AB245="","",INDEX('ORDER Form'!$F$1:$F$355,$AB245)&amp;"")</f>
        <v/>
      </c>
      <c r="M245" s="50" t="str">
        <f>IF($AB245="","",INDEX('ORDER Form'!$G$1:$G$355,$AB245)&amp;"")</f>
        <v/>
      </c>
      <c r="N245" s="50" t="str">
        <f>IF($AB245="","",INDEX('ORDER Form'!$H$1:$H$355,$AB245)&amp;"")</f>
        <v/>
      </c>
      <c r="O245" s="50" t="str">
        <f>IF($AB245="","",INDEX('ORDER Form'!$I$1:$I$355,$AB245)&amp;"")</f>
        <v/>
      </c>
      <c r="P245" s="50" t="str">
        <f>IF($AB245="","",INDEX('ORDER Form'!$J$1:$J$355,$AB245)&amp;"")</f>
        <v/>
      </c>
      <c r="Q245" s="50" t="str">
        <f>IF($AB245="","",INDEX('ORDER Form'!$AB$1:$AB$355,$AB245)&amp;"")</f>
        <v/>
      </c>
      <c r="R245" s="50" t="str">
        <f>IF($AB245="","",INDEX('ORDER Form'!$L$1:$L$355,$AB245)&amp;"")</f>
        <v/>
      </c>
      <c r="S245" s="50" t="str">
        <f>IF($AB245="","",INDEX('ORDER Form'!$N$1:$N$355,$AB245)&amp;"")</f>
        <v/>
      </c>
      <c r="T245" s="50" t="str">
        <f>IF($AB245="","",IF($AD245,T$3,INDEX('ORDER Form'!$O$1:$O$355,$AB245))&amp;"")</f>
        <v/>
      </c>
      <c r="U245" s="50" t="str">
        <f>IF($AB245="","",IF($AD245,U$3,INDEX('ORDER Form'!$P$1:$P$355,$AB245))&amp;"")</f>
        <v/>
      </c>
      <c r="V245" s="50" t="str">
        <f>IF($AB245="","",IF($AD245,V$3,INDEX('ORDER Form'!$Q$1:$Q$355,$AB245))&amp;"")</f>
        <v/>
      </c>
      <c r="W245" s="50" t="str">
        <f>IF($AB245="","",IF($AD245,W$3,INDEX('ORDER Form'!$R$1:$R$355,$AB245))&amp;"")</f>
        <v/>
      </c>
      <c r="X245" s="50" t="str">
        <f>IF($AB245="","",IF($AD245,X$3,INDEX('ORDER Form'!$S$1:$S$355,$AB245))&amp;"")</f>
        <v/>
      </c>
      <c r="Y245" s="50" t="str">
        <f>IF($AB245="","",IF($AD245,Y$3,INDEX('ORDER Form'!$T$1:$T$355,$AB245))&amp;"")</f>
        <v/>
      </c>
      <c r="Z245" s="50" t="str">
        <f>IF($AB245="","",IF($AD245,Z$3,INDEX('ORDER Form'!$U$1:$U$355,$AB245))&amp;"")</f>
        <v/>
      </c>
      <c r="AB245" s="51" t="str">
        <f>IFERROR(MATCH(241,$AC$5:$AC$354,0)+5,"")</f>
        <v/>
      </c>
      <c r="AC245" s="51" t="str">
        <f>IF('ORDER Form'!$V246="OK",COUNTIF('ORDER Form'!$V$6:$V246,"OK"),"")</f>
        <v/>
      </c>
      <c r="AD245" s="51" t="str">
        <f>IF($AB245="","",(LEN(TRIM(INDEX('ORDER Form'!$O$1:$O$355,$AB245)))+LEN(TRIM(INDEX('ORDER Form'!$P$1:$P$355,$AB245)))+LEN(TRIM(INDEX('ORDER Form'!$Q$1:$Q$355,$AB245)))+LEN(TRIM(INDEX('ORDER Form'!$R$1:$R$355,$AB245)))+LEN(TRIM(INDEX('ORDER Form'!$S$1:$S$355,$AB245)))+LEN(TRIM(INDEX('ORDER Form'!$T$1:$T$355,$AB245)))+LEN(TRIM(INDEX('ORDER Form'!$U$1:$U$355,$AB245))))=0)</f>
        <v/>
      </c>
    </row>
    <row r="246" spans="1:30" ht="15" customHeight="1" x14ac:dyDescent="0.25">
      <c r="A246" s="50" t="str">
        <f>IF($AB246="","",IFERROR(IF(AND(INDEX('ORDER Form'!$N$1:$N$355,$AB246)="GB",LEFT(UPPER(TRIM(INDEX('ORDER Form'!$L$1:$L$355,$AB246))),2)="BT"),INDEX('ORDER Form'!$AC$1:$AC$355,$AB246),IFERROR(VLOOKUP(INDEX('ORDER Form'!$AC$1:$AC$355,$AB246)&amp;"|"&amp;INDEX('PRODUCT DATA'!$A$2:$A$58,MATCH(INDEX('ORDER Form'!$N$1:$N$355,$AB246),'PRODUCT DATA'!$B$2:$B$58,0)),'PRODUCT DATA'!$NO$2:$NP$25,2,FALSE()),INDEX('ORDER Form'!$AC$1:$AC$355,$AB246)))&amp;"",""))</f>
        <v/>
      </c>
      <c r="B246" s="49"/>
      <c r="C246" s="51" t="str">
        <f>IF($AB246="","",INDEX('ORDER Form'!$C$1:$C$355,$AB246))</f>
        <v/>
      </c>
      <c r="D246" s="49"/>
      <c r="E246" s="49"/>
      <c r="F246" s="49"/>
      <c r="G246" s="49"/>
      <c r="H246" s="49"/>
      <c r="I246" s="49"/>
      <c r="J246" s="50" t="str">
        <f>IF($AB246="","",INDEX('ORDER Form'!$D$1:$D$355,$AB246)&amp;"")</f>
        <v/>
      </c>
      <c r="K246" s="50" t="str">
        <f>IF($AB246="","",INDEX('ORDER Form'!$E$1:$E$355,$AB246)&amp;"")</f>
        <v/>
      </c>
      <c r="L246" s="50" t="str">
        <f>IF($AB246="","",INDEX('ORDER Form'!$F$1:$F$355,$AB246)&amp;"")</f>
        <v/>
      </c>
      <c r="M246" s="50" t="str">
        <f>IF($AB246="","",INDEX('ORDER Form'!$G$1:$G$355,$AB246)&amp;"")</f>
        <v/>
      </c>
      <c r="N246" s="50" t="str">
        <f>IF($AB246="","",INDEX('ORDER Form'!$H$1:$H$355,$AB246)&amp;"")</f>
        <v/>
      </c>
      <c r="O246" s="50" t="str">
        <f>IF($AB246="","",INDEX('ORDER Form'!$I$1:$I$355,$AB246)&amp;"")</f>
        <v/>
      </c>
      <c r="P246" s="50" t="str">
        <f>IF($AB246="","",INDEX('ORDER Form'!$J$1:$J$355,$AB246)&amp;"")</f>
        <v/>
      </c>
      <c r="Q246" s="50" t="str">
        <f>IF($AB246="","",INDEX('ORDER Form'!$AB$1:$AB$355,$AB246)&amp;"")</f>
        <v/>
      </c>
      <c r="R246" s="50" t="str">
        <f>IF($AB246="","",INDEX('ORDER Form'!$L$1:$L$355,$AB246)&amp;"")</f>
        <v/>
      </c>
      <c r="S246" s="50" t="str">
        <f>IF($AB246="","",INDEX('ORDER Form'!$N$1:$N$355,$AB246)&amp;"")</f>
        <v/>
      </c>
      <c r="T246" s="50" t="str">
        <f>IF($AB246="","",IF($AD246,T$3,INDEX('ORDER Form'!$O$1:$O$355,$AB246))&amp;"")</f>
        <v/>
      </c>
      <c r="U246" s="50" t="str">
        <f>IF($AB246="","",IF($AD246,U$3,INDEX('ORDER Form'!$P$1:$P$355,$AB246))&amp;"")</f>
        <v/>
      </c>
      <c r="V246" s="50" t="str">
        <f>IF($AB246="","",IF($AD246,V$3,INDEX('ORDER Form'!$Q$1:$Q$355,$AB246))&amp;"")</f>
        <v/>
      </c>
      <c r="W246" s="50" t="str">
        <f>IF($AB246="","",IF($AD246,W$3,INDEX('ORDER Form'!$R$1:$R$355,$AB246))&amp;"")</f>
        <v/>
      </c>
      <c r="X246" s="50" t="str">
        <f>IF($AB246="","",IF($AD246,X$3,INDEX('ORDER Form'!$S$1:$S$355,$AB246))&amp;"")</f>
        <v/>
      </c>
      <c r="Y246" s="50" t="str">
        <f>IF($AB246="","",IF($AD246,Y$3,INDEX('ORDER Form'!$T$1:$T$355,$AB246))&amp;"")</f>
        <v/>
      </c>
      <c r="Z246" s="50" t="str">
        <f>IF($AB246="","",IF($AD246,Z$3,INDEX('ORDER Form'!$U$1:$U$355,$AB246))&amp;"")</f>
        <v/>
      </c>
      <c r="AB246" s="51" t="str">
        <f>IFERROR(MATCH(242,$AC$5:$AC$354,0)+5,"")</f>
        <v/>
      </c>
      <c r="AC246" s="51" t="str">
        <f>IF('ORDER Form'!$V247="OK",COUNTIF('ORDER Form'!$V$6:$V247,"OK"),"")</f>
        <v/>
      </c>
      <c r="AD246" s="51" t="str">
        <f>IF($AB246="","",(LEN(TRIM(INDEX('ORDER Form'!$O$1:$O$355,$AB246)))+LEN(TRIM(INDEX('ORDER Form'!$P$1:$P$355,$AB246)))+LEN(TRIM(INDEX('ORDER Form'!$Q$1:$Q$355,$AB246)))+LEN(TRIM(INDEX('ORDER Form'!$R$1:$R$355,$AB246)))+LEN(TRIM(INDEX('ORDER Form'!$S$1:$S$355,$AB246)))+LEN(TRIM(INDEX('ORDER Form'!$T$1:$T$355,$AB246)))+LEN(TRIM(INDEX('ORDER Form'!$U$1:$U$355,$AB246))))=0)</f>
        <v/>
      </c>
    </row>
    <row r="247" spans="1:30" ht="15" customHeight="1" x14ac:dyDescent="0.25">
      <c r="A247" s="50" t="str">
        <f>IF($AB247="","",IFERROR(IF(AND(INDEX('ORDER Form'!$N$1:$N$355,$AB247)="GB",LEFT(UPPER(TRIM(INDEX('ORDER Form'!$L$1:$L$355,$AB247))),2)="BT"),INDEX('ORDER Form'!$AC$1:$AC$355,$AB247),IFERROR(VLOOKUP(INDEX('ORDER Form'!$AC$1:$AC$355,$AB247)&amp;"|"&amp;INDEX('PRODUCT DATA'!$A$2:$A$58,MATCH(INDEX('ORDER Form'!$N$1:$N$355,$AB247),'PRODUCT DATA'!$B$2:$B$58,0)),'PRODUCT DATA'!$NO$2:$NP$25,2,FALSE()),INDEX('ORDER Form'!$AC$1:$AC$355,$AB247)))&amp;"",""))</f>
        <v/>
      </c>
      <c r="B247" s="49"/>
      <c r="C247" s="51" t="str">
        <f>IF($AB247="","",INDEX('ORDER Form'!$C$1:$C$355,$AB247))</f>
        <v/>
      </c>
      <c r="D247" s="49"/>
      <c r="E247" s="49"/>
      <c r="F247" s="49"/>
      <c r="G247" s="49"/>
      <c r="H247" s="49"/>
      <c r="I247" s="49"/>
      <c r="J247" s="50" t="str">
        <f>IF($AB247="","",INDEX('ORDER Form'!$D$1:$D$355,$AB247)&amp;"")</f>
        <v/>
      </c>
      <c r="K247" s="50" t="str">
        <f>IF($AB247="","",INDEX('ORDER Form'!$E$1:$E$355,$AB247)&amp;"")</f>
        <v/>
      </c>
      <c r="L247" s="50" t="str">
        <f>IF($AB247="","",INDEX('ORDER Form'!$F$1:$F$355,$AB247)&amp;"")</f>
        <v/>
      </c>
      <c r="M247" s="50" t="str">
        <f>IF($AB247="","",INDEX('ORDER Form'!$G$1:$G$355,$AB247)&amp;"")</f>
        <v/>
      </c>
      <c r="N247" s="50" t="str">
        <f>IF($AB247="","",INDEX('ORDER Form'!$H$1:$H$355,$AB247)&amp;"")</f>
        <v/>
      </c>
      <c r="O247" s="50" t="str">
        <f>IF($AB247="","",INDEX('ORDER Form'!$I$1:$I$355,$AB247)&amp;"")</f>
        <v/>
      </c>
      <c r="P247" s="50" t="str">
        <f>IF($AB247="","",INDEX('ORDER Form'!$J$1:$J$355,$AB247)&amp;"")</f>
        <v/>
      </c>
      <c r="Q247" s="50" t="str">
        <f>IF($AB247="","",INDEX('ORDER Form'!$AB$1:$AB$355,$AB247)&amp;"")</f>
        <v/>
      </c>
      <c r="R247" s="50" t="str">
        <f>IF($AB247="","",INDEX('ORDER Form'!$L$1:$L$355,$AB247)&amp;"")</f>
        <v/>
      </c>
      <c r="S247" s="50" t="str">
        <f>IF($AB247="","",INDEX('ORDER Form'!$N$1:$N$355,$AB247)&amp;"")</f>
        <v/>
      </c>
      <c r="T247" s="50" t="str">
        <f>IF($AB247="","",IF($AD247,T$3,INDEX('ORDER Form'!$O$1:$O$355,$AB247))&amp;"")</f>
        <v/>
      </c>
      <c r="U247" s="50" t="str">
        <f>IF($AB247="","",IF($AD247,U$3,INDEX('ORDER Form'!$P$1:$P$355,$AB247))&amp;"")</f>
        <v/>
      </c>
      <c r="V247" s="50" t="str">
        <f>IF($AB247="","",IF($AD247,V$3,INDEX('ORDER Form'!$Q$1:$Q$355,$AB247))&amp;"")</f>
        <v/>
      </c>
      <c r="W247" s="50" t="str">
        <f>IF($AB247="","",IF($AD247,W$3,INDEX('ORDER Form'!$R$1:$R$355,$AB247))&amp;"")</f>
        <v/>
      </c>
      <c r="X247" s="50" t="str">
        <f>IF($AB247="","",IF($AD247,X$3,INDEX('ORDER Form'!$S$1:$S$355,$AB247))&amp;"")</f>
        <v/>
      </c>
      <c r="Y247" s="50" t="str">
        <f>IF($AB247="","",IF($AD247,Y$3,INDEX('ORDER Form'!$T$1:$T$355,$AB247))&amp;"")</f>
        <v/>
      </c>
      <c r="Z247" s="50" t="str">
        <f>IF($AB247="","",IF($AD247,Z$3,INDEX('ORDER Form'!$U$1:$U$355,$AB247))&amp;"")</f>
        <v/>
      </c>
      <c r="AB247" s="51" t="str">
        <f>IFERROR(MATCH(243,$AC$5:$AC$354,0)+5,"")</f>
        <v/>
      </c>
      <c r="AC247" s="51" t="str">
        <f>IF('ORDER Form'!$V248="OK",COUNTIF('ORDER Form'!$V$6:$V248,"OK"),"")</f>
        <v/>
      </c>
      <c r="AD247" s="51" t="str">
        <f>IF($AB247="","",(LEN(TRIM(INDEX('ORDER Form'!$O$1:$O$355,$AB247)))+LEN(TRIM(INDEX('ORDER Form'!$P$1:$P$355,$AB247)))+LEN(TRIM(INDEX('ORDER Form'!$Q$1:$Q$355,$AB247)))+LEN(TRIM(INDEX('ORDER Form'!$R$1:$R$355,$AB247)))+LEN(TRIM(INDEX('ORDER Form'!$S$1:$S$355,$AB247)))+LEN(TRIM(INDEX('ORDER Form'!$T$1:$T$355,$AB247)))+LEN(TRIM(INDEX('ORDER Form'!$U$1:$U$355,$AB247))))=0)</f>
        <v/>
      </c>
    </row>
    <row r="248" spans="1:30" ht="15" customHeight="1" x14ac:dyDescent="0.25">
      <c r="A248" s="50" t="str">
        <f>IF($AB248="","",IFERROR(IF(AND(INDEX('ORDER Form'!$N$1:$N$355,$AB248)="GB",LEFT(UPPER(TRIM(INDEX('ORDER Form'!$L$1:$L$355,$AB248))),2)="BT"),INDEX('ORDER Form'!$AC$1:$AC$355,$AB248),IFERROR(VLOOKUP(INDEX('ORDER Form'!$AC$1:$AC$355,$AB248)&amp;"|"&amp;INDEX('PRODUCT DATA'!$A$2:$A$58,MATCH(INDEX('ORDER Form'!$N$1:$N$355,$AB248),'PRODUCT DATA'!$B$2:$B$58,0)),'PRODUCT DATA'!$NO$2:$NP$25,2,FALSE()),INDEX('ORDER Form'!$AC$1:$AC$355,$AB248)))&amp;"",""))</f>
        <v/>
      </c>
      <c r="B248" s="49"/>
      <c r="C248" s="51" t="str">
        <f>IF($AB248="","",INDEX('ORDER Form'!$C$1:$C$355,$AB248))</f>
        <v/>
      </c>
      <c r="D248" s="49"/>
      <c r="E248" s="49"/>
      <c r="F248" s="49"/>
      <c r="G248" s="49"/>
      <c r="H248" s="49"/>
      <c r="I248" s="49"/>
      <c r="J248" s="50" t="str">
        <f>IF($AB248="","",INDEX('ORDER Form'!$D$1:$D$355,$AB248)&amp;"")</f>
        <v/>
      </c>
      <c r="K248" s="50" t="str">
        <f>IF($AB248="","",INDEX('ORDER Form'!$E$1:$E$355,$AB248)&amp;"")</f>
        <v/>
      </c>
      <c r="L248" s="50" t="str">
        <f>IF($AB248="","",INDEX('ORDER Form'!$F$1:$F$355,$AB248)&amp;"")</f>
        <v/>
      </c>
      <c r="M248" s="50" t="str">
        <f>IF($AB248="","",INDEX('ORDER Form'!$G$1:$G$355,$AB248)&amp;"")</f>
        <v/>
      </c>
      <c r="N248" s="50" t="str">
        <f>IF($AB248="","",INDEX('ORDER Form'!$H$1:$H$355,$AB248)&amp;"")</f>
        <v/>
      </c>
      <c r="O248" s="50" t="str">
        <f>IF($AB248="","",INDEX('ORDER Form'!$I$1:$I$355,$AB248)&amp;"")</f>
        <v/>
      </c>
      <c r="P248" s="50" t="str">
        <f>IF($AB248="","",INDEX('ORDER Form'!$J$1:$J$355,$AB248)&amp;"")</f>
        <v/>
      </c>
      <c r="Q248" s="50" t="str">
        <f>IF($AB248="","",INDEX('ORDER Form'!$AB$1:$AB$355,$AB248)&amp;"")</f>
        <v/>
      </c>
      <c r="R248" s="50" t="str">
        <f>IF($AB248="","",INDEX('ORDER Form'!$L$1:$L$355,$AB248)&amp;"")</f>
        <v/>
      </c>
      <c r="S248" s="50" t="str">
        <f>IF($AB248="","",INDEX('ORDER Form'!$N$1:$N$355,$AB248)&amp;"")</f>
        <v/>
      </c>
      <c r="T248" s="50" t="str">
        <f>IF($AB248="","",IF($AD248,T$3,INDEX('ORDER Form'!$O$1:$O$355,$AB248))&amp;"")</f>
        <v/>
      </c>
      <c r="U248" s="50" t="str">
        <f>IF($AB248="","",IF($AD248,U$3,INDEX('ORDER Form'!$P$1:$P$355,$AB248))&amp;"")</f>
        <v/>
      </c>
      <c r="V248" s="50" t="str">
        <f>IF($AB248="","",IF($AD248,V$3,INDEX('ORDER Form'!$Q$1:$Q$355,$AB248))&amp;"")</f>
        <v/>
      </c>
      <c r="W248" s="50" t="str">
        <f>IF($AB248="","",IF($AD248,W$3,INDEX('ORDER Form'!$R$1:$R$355,$AB248))&amp;"")</f>
        <v/>
      </c>
      <c r="X248" s="50" t="str">
        <f>IF($AB248="","",IF($AD248,X$3,INDEX('ORDER Form'!$S$1:$S$355,$AB248))&amp;"")</f>
        <v/>
      </c>
      <c r="Y248" s="50" t="str">
        <f>IF($AB248="","",IF($AD248,Y$3,INDEX('ORDER Form'!$T$1:$T$355,$AB248))&amp;"")</f>
        <v/>
      </c>
      <c r="Z248" s="50" t="str">
        <f>IF($AB248="","",IF($AD248,Z$3,INDEX('ORDER Form'!$U$1:$U$355,$AB248))&amp;"")</f>
        <v/>
      </c>
      <c r="AB248" s="51" t="str">
        <f>IFERROR(MATCH(244,$AC$5:$AC$354,0)+5,"")</f>
        <v/>
      </c>
      <c r="AC248" s="51" t="str">
        <f>IF('ORDER Form'!$V249="OK",COUNTIF('ORDER Form'!$V$6:$V249,"OK"),"")</f>
        <v/>
      </c>
      <c r="AD248" s="51" t="str">
        <f>IF($AB248="","",(LEN(TRIM(INDEX('ORDER Form'!$O$1:$O$355,$AB248)))+LEN(TRIM(INDEX('ORDER Form'!$P$1:$P$355,$AB248)))+LEN(TRIM(INDEX('ORDER Form'!$Q$1:$Q$355,$AB248)))+LEN(TRIM(INDEX('ORDER Form'!$R$1:$R$355,$AB248)))+LEN(TRIM(INDEX('ORDER Form'!$S$1:$S$355,$AB248)))+LEN(TRIM(INDEX('ORDER Form'!$T$1:$T$355,$AB248)))+LEN(TRIM(INDEX('ORDER Form'!$U$1:$U$355,$AB248))))=0)</f>
        <v/>
      </c>
    </row>
    <row r="249" spans="1:30" ht="15" customHeight="1" x14ac:dyDescent="0.25">
      <c r="A249" s="50" t="str">
        <f>IF($AB249="","",IFERROR(IF(AND(INDEX('ORDER Form'!$N$1:$N$355,$AB249)="GB",LEFT(UPPER(TRIM(INDEX('ORDER Form'!$L$1:$L$355,$AB249))),2)="BT"),INDEX('ORDER Form'!$AC$1:$AC$355,$AB249),IFERROR(VLOOKUP(INDEX('ORDER Form'!$AC$1:$AC$355,$AB249)&amp;"|"&amp;INDEX('PRODUCT DATA'!$A$2:$A$58,MATCH(INDEX('ORDER Form'!$N$1:$N$355,$AB249),'PRODUCT DATA'!$B$2:$B$58,0)),'PRODUCT DATA'!$NO$2:$NP$25,2,FALSE()),INDEX('ORDER Form'!$AC$1:$AC$355,$AB249)))&amp;"",""))</f>
        <v/>
      </c>
      <c r="B249" s="49"/>
      <c r="C249" s="51" t="str">
        <f>IF($AB249="","",INDEX('ORDER Form'!$C$1:$C$355,$AB249))</f>
        <v/>
      </c>
      <c r="D249" s="49"/>
      <c r="E249" s="49"/>
      <c r="F249" s="49"/>
      <c r="G249" s="49"/>
      <c r="H249" s="49"/>
      <c r="I249" s="49"/>
      <c r="J249" s="50" t="str">
        <f>IF($AB249="","",INDEX('ORDER Form'!$D$1:$D$355,$AB249)&amp;"")</f>
        <v/>
      </c>
      <c r="K249" s="50" t="str">
        <f>IF($AB249="","",INDEX('ORDER Form'!$E$1:$E$355,$AB249)&amp;"")</f>
        <v/>
      </c>
      <c r="L249" s="50" t="str">
        <f>IF($AB249="","",INDEX('ORDER Form'!$F$1:$F$355,$AB249)&amp;"")</f>
        <v/>
      </c>
      <c r="M249" s="50" t="str">
        <f>IF($AB249="","",INDEX('ORDER Form'!$G$1:$G$355,$AB249)&amp;"")</f>
        <v/>
      </c>
      <c r="N249" s="50" t="str">
        <f>IF($AB249="","",INDEX('ORDER Form'!$H$1:$H$355,$AB249)&amp;"")</f>
        <v/>
      </c>
      <c r="O249" s="50" t="str">
        <f>IF($AB249="","",INDEX('ORDER Form'!$I$1:$I$355,$AB249)&amp;"")</f>
        <v/>
      </c>
      <c r="P249" s="50" t="str">
        <f>IF($AB249="","",INDEX('ORDER Form'!$J$1:$J$355,$AB249)&amp;"")</f>
        <v/>
      </c>
      <c r="Q249" s="50" t="str">
        <f>IF($AB249="","",INDEX('ORDER Form'!$AB$1:$AB$355,$AB249)&amp;"")</f>
        <v/>
      </c>
      <c r="R249" s="50" t="str">
        <f>IF($AB249="","",INDEX('ORDER Form'!$L$1:$L$355,$AB249)&amp;"")</f>
        <v/>
      </c>
      <c r="S249" s="50" t="str">
        <f>IF($AB249="","",INDEX('ORDER Form'!$N$1:$N$355,$AB249)&amp;"")</f>
        <v/>
      </c>
      <c r="T249" s="50" t="str">
        <f>IF($AB249="","",IF($AD249,T$3,INDEX('ORDER Form'!$O$1:$O$355,$AB249))&amp;"")</f>
        <v/>
      </c>
      <c r="U249" s="50" t="str">
        <f>IF($AB249="","",IF($AD249,U$3,INDEX('ORDER Form'!$P$1:$P$355,$AB249))&amp;"")</f>
        <v/>
      </c>
      <c r="V249" s="50" t="str">
        <f>IF($AB249="","",IF($AD249,V$3,INDEX('ORDER Form'!$Q$1:$Q$355,$AB249))&amp;"")</f>
        <v/>
      </c>
      <c r="W249" s="50" t="str">
        <f>IF($AB249="","",IF($AD249,W$3,INDEX('ORDER Form'!$R$1:$R$355,$AB249))&amp;"")</f>
        <v/>
      </c>
      <c r="X249" s="50" t="str">
        <f>IF($AB249="","",IF($AD249,X$3,INDEX('ORDER Form'!$S$1:$S$355,$AB249))&amp;"")</f>
        <v/>
      </c>
      <c r="Y249" s="50" t="str">
        <f>IF($AB249="","",IF($AD249,Y$3,INDEX('ORDER Form'!$T$1:$T$355,$AB249))&amp;"")</f>
        <v/>
      </c>
      <c r="Z249" s="50" t="str">
        <f>IF($AB249="","",IF($AD249,Z$3,INDEX('ORDER Form'!$U$1:$U$355,$AB249))&amp;"")</f>
        <v/>
      </c>
      <c r="AB249" s="51" t="str">
        <f>IFERROR(MATCH(245,$AC$5:$AC$354,0)+5,"")</f>
        <v/>
      </c>
      <c r="AC249" s="51" t="str">
        <f>IF('ORDER Form'!$V250="OK",COUNTIF('ORDER Form'!$V$6:$V250,"OK"),"")</f>
        <v/>
      </c>
      <c r="AD249" s="51" t="str">
        <f>IF($AB249="","",(LEN(TRIM(INDEX('ORDER Form'!$O$1:$O$355,$AB249)))+LEN(TRIM(INDEX('ORDER Form'!$P$1:$P$355,$AB249)))+LEN(TRIM(INDEX('ORDER Form'!$Q$1:$Q$355,$AB249)))+LEN(TRIM(INDEX('ORDER Form'!$R$1:$R$355,$AB249)))+LEN(TRIM(INDEX('ORDER Form'!$S$1:$S$355,$AB249)))+LEN(TRIM(INDEX('ORDER Form'!$T$1:$T$355,$AB249)))+LEN(TRIM(INDEX('ORDER Form'!$U$1:$U$355,$AB249))))=0)</f>
        <v/>
      </c>
    </row>
    <row r="250" spans="1:30" ht="15" customHeight="1" x14ac:dyDescent="0.25">
      <c r="A250" s="50" t="str">
        <f>IF($AB250="","",IFERROR(IF(AND(INDEX('ORDER Form'!$N$1:$N$355,$AB250)="GB",LEFT(UPPER(TRIM(INDEX('ORDER Form'!$L$1:$L$355,$AB250))),2)="BT"),INDEX('ORDER Form'!$AC$1:$AC$355,$AB250),IFERROR(VLOOKUP(INDEX('ORDER Form'!$AC$1:$AC$355,$AB250)&amp;"|"&amp;INDEX('PRODUCT DATA'!$A$2:$A$58,MATCH(INDEX('ORDER Form'!$N$1:$N$355,$AB250),'PRODUCT DATA'!$B$2:$B$58,0)),'PRODUCT DATA'!$NO$2:$NP$25,2,FALSE()),INDEX('ORDER Form'!$AC$1:$AC$355,$AB250)))&amp;"",""))</f>
        <v/>
      </c>
      <c r="B250" s="49"/>
      <c r="C250" s="51" t="str">
        <f>IF($AB250="","",INDEX('ORDER Form'!$C$1:$C$355,$AB250))</f>
        <v/>
      </c>
      <c r="D250" s="49"/>
      <c r="E250" s="49"/>
      <c r="F250" s="49"/>
      <c r="G250" s="49"/>
      <c r="H250" s="49"/>
      <c r="I250" s="49"/>
      <c r="J250" s="50" t="str">
        <f>IF($AB250="","",INDEX('ORDER Form'!$D$1:$D$355,$AB250)&amp;"")</f>
        <v/>
      </c>
      <c r="K250" s="50" t="str">
        <f>IF($AB250="","",INDEX('ORDER Form'!$E$1:$E$355,$AB250)&amp;"")</f>
        <v/>
      </c>
      <c r="L250" s="50" t="str">
        <f>IF($AB250="","",INDEX('ORDER Form'!$F$1:$F$355,$AB250)&amp;"")</f>
        <v/>
      </c>
      <c r="M250" s="50" t="str">
        <f>IF($AB250="","",INDEX('ORDER Form'!$G$1:$G$355,$AB250)&amp;"")</f>
        <v/>
      </c>
      <c r="N250" s="50" t="str">
        <f>IF($AB250="","",INDEX('ORDER Form'!$H$1:$H$355,$AB250)&amp;"")</f>
        <v/>
      </c>
      <c r="O250" s="50" t="str">
        <f>IF($AB250="","",INDEX('ORDER Form'!$I$1:$I$355,$AB250)&amp;"")</f>
        <v/>
      </c>
      <c r="P250" s="50" t="str">
        <f>IF($AB250="","",INDEX('ORDER Form'!$J$1:$J$355,$AB250)&amp;"")</f>
        <v/>
      </c>
      <c r="Q250" s="50" t="str">
        <f>IF($AB250="","",INDEX('ORDER Form'!$AB$1:$AB$355,$AB250)&amp;"")</f>
        <v/>
      </c>
      <c r="R250" s="50" t="str">
        <f>IF($AB250="","",INDEX('ORDER Form'!$L$1:$L$355,$AB250)&amp;"")</f>
        <v/>
      </c>
      <c r="S250" s="50" t="str">
        <f>IF($AB250="","",INDEX('ORDER Form'!$N$1:$N$355,$AB250)&amp;"")</f>
        <v/>
      </c>
      <c r="T250" s="50" t="str">
        <f>IF($AB250="","",IF($AD250,T$3,INDEX('ORDER Form'!$O$1:$O$355,$AB250))&amp;"")</f>
        <v/>
      </c>
      <c r="U250" s="50" t="str">
        <f>IF($AB250="","",IF($AD250,U$3,INDEX('ORDER Form'!$P$1:$P$355,$AB250))&amp;"")</f>
        <v/>
      </c>
      <c r="V250" s="50" t="str">
        <f>IF($AB250="","",IF($AD250,V$3,INDEX('ORDER Form'!$Q$1:$Q$355,$AB250))&amp;"")</f>
        <v/>
      </c>
      <c r="W250" s="50" t="str">
        <f>IF($AB250="","",IF($AD250,W$3,INDEX('ORDER Form'!$R$1:$R$355,$AB250))&amp;"")</f>
        <v/>
      </c>
      <c r="X250" s="50" t="str">
        <f>IF($AB250="","",IF($AD250,X$3,INDEX('ORDER Form'!$S$1:$S$355,$AB250))&amp;"")</f>
        <v/>
      </c>
      <c r="Y250" s="50" t="str">
        <f>IF($AB250="","",IF($AD250,Y$3,INDEX('ORDER Form'!$T$1:$T$355,$AB250))&amp;"")</f>
        <v/>
      </c>
      <c r="Z250" s="50" t="str">
        <f>IF($AB250="","",IF($AD250,Z$3,INDEX('ORDER Form'!$U$1:$U$355,$AB250))&amp;"")</f>
        <v/>
      </c>
      <c r="AB250" s="51" t="str">
        <f>IFERROR(MATCH(246,$AC$5:$AC$354,0)+5,"")</f>
        <v/>
      </c>
      <c r="AC250" s="51" t="str">
        <f>IF('ORDER Form'!$V251="OK",COUNTIF('ORDER Form'!$V$6:$V251,"OK"),"")</f>
        <v/>
      </c>
      <c r="AD250" s="51" t="str">
        <f>IF($AB250="","",(LEN(TRIM(INDEX('ORDER Form'!$O$1:$O$355,$AB250)))+LEN(TRIM(INDEX('ORDER Form'!$P$1:$P$355,$AB250)))+LEN(TRIM(INDEX('ORDER Form'!$Q$1:$Q$355,$AB250)))+LEN(TRIM(INDEX('ORDER Form'!$R$1:$R$355,$AB250)))+LEN(TRIM(INDEX('ORDER Form'!$S$1:$S$355,$AB250)))+LEN(TRIM(INDEX('ORDER Form'!$T$1:$T$355,$AB250)))+LEN(TRIM(INDEX('ORDER Form'!$U$1:$U$355,$AB250))))=0)</f>
        <v/>
      </c>
    </row>
    <row r="251" spans="1:30" ht="15" customHeight="1" x14ac:dyDescent="0.25">
      <c r="A251" s="50" t="str">
        <f>IF($AB251="","",IFERROR(IF(AND(INDEX('ORDER Form'!$N$1:$N$355,$AB251)="GB",LEFT(UPPER(TRIM(INDEX('ORDER Form'!$L$1:$L$355,$AB251))),2)="BT"),INDEX('ORDER Form'!$AC$1:$AC$355,$AB251),IFERROR(VLOOKUP(INDEX('ORDER Form'!$AC$1:$AC$355,$AB251)&amp;"|"&amp;INDEX('PRODUCT DATA'!$A$2:$A$58,MATCH(INDEX('ORDER Form'!$N$1:$N$355,$AB251),'PRODUCT DATA'!$B$2:$B$58,0)),'PRODUCT DATA'!$NO$2:$NP$25,2,FALSE()),INDEX('ORDER Form'!$AC$1:$AC$355,$AB251)))&amp;"",""))</f>
        <v/>
      </c>
      <c r="B251" s="49"/>
      <c r="C251" s="51" t="str">
        <f>IF($AB251="","",INDEX('ORDER Form'!$C$1:$C$355,$AB251))</f>
        <v/>
      </c>
      <c r="D251" s="49"/>
      <c r="E251" s="49"/>
      <c r="F251" s="49"/>
      <c r="G251" s="49"/>
      <c r="H251" s="49"/>
      <c r="I251" s="49"/>
      <c r="J251" s="50" t="str">
        <f>IF($AB251="","",INDEX('ORDER Form'!$D$1:$D$355,$AB251)&amp;"")</f>
        <v/>
      </c>
      <c r="K251" s="50" t="str">
        <f>IF($AB251="","",INDEX('ORDER Form'!$E$1:$E$355,$AB251)&amp;"")</f>
        <v/>
      </c>
      <c r="L251" s="50" t="str">
        <f>IF($AB251="","",INDEX('ORDER Form'!$F$1:$F$355,$AB251)&amp;"")</f>
        <v/>
      </c>
      <c r="M251" s="50" t="str">
        <f>IF($AB251="","",INDEX('ORDER Form'!$G$1:$G$355,$AB251)&amp;"")</f>
        <v/>
      </c>
      <c r="N251" s="50" t="str">
        <f>IF($AB251="","",INDEX('ORDER Form'!$H$1:$H$355,$AB251)&amp;"")</f>
        <v/>
      </c>
      <c r="O251" s="50" t="str">
        <f>IF($AB251="","",INDEX('ORDER Form'!$I$1:$I$355,$AB251)&amp;"")</f>
        <v/>
      </c>
      <c r="P251" s="50" t="str">
        <f>IF($AB251="","",INDEX('ORDER Form'!$J$1:$J$355,$AB251)&amp;"")</f>
        <v/>
      </c>
      <c r="Q251" s="50" t="str">
        <f>IF($AB251="","",INDEX('ORDER Form'!$AB$1:$AB$355,$AB251)&amp;"")</f>
        <v/>
      </c>
      <c r="R251" s="50" t="str">
        <f>IF($AB251="","",INDEX('ORDER Form'!$L$1:$L$355,$AB251)&amp;"")</f>
        <v/>
      </c>
      <c r="S251" s="50" t="str">
        <f>IF($AB251="","",INDEX('ORDER Form'!$N$1:$N$355,$AB251)&amp;"")</f>
        <v/>
      </c>
      <c r="T251" s="50" t="str">
        <f>IF($AB251="","",IF($AD251,T$3,INDEX('ORDER Form'!$O$1:$O$355,$AB251))&amp;"")</f>
        <v/>
      </c>
      <c r="U251" s="50" t="str">
        <f>IF($AB251="","",IF($AD251,U$3,INDEX('ORDER Form'!$P$1:$P$355,$AB251))&amp;"")</f>
        <v/>
      </c>
      <c r="V251" s="50" t="str">
        <f>IF($AB251="","",IF($AD251,V$3,INDEX('ORDER Form'!$Q$1:$Q$355,$AB251))&amp;"")</f>
        <v/>
      </c>
      <c r="W251" s="50" t="str">
        <f>IF($AB251="","",IF($AD251,W$3,INDEX('ORDER Form'!$R$1:$R$355,$AB251))&amp;"")</f>
        <v/>
      </c>
      <c r="X251" s="50" t="str">
        <f>IF($AB251="","",IF($AD251,X$3,INDEX('ORDER Form'!$S$1:$S$355,$AB251))&amp;"")</f>
        <v/>
      </c>
      <c r="Y251" s="50" t="str">
        <f>IF($AB251="","",IF($AD251,Y$3,INDEX('ORDER Form'!$T$1:$T$355,$AB251))&amp;"")</f>
        <v/>
      </c>
      <c r="Z251" s="50" t="str">
        <f>IF($AB251="","",IF($AD251,Z$3,INDEX('ORDER Form'!$U$1:$U$355,$AB251))&amp;"")</f>
        <v/>
      </c>
      <c r="AB251" s="51" t="str">
        <f>IFERROR(MATCH(247,$AC$5:$AC$354,0)+5,"")</f>
        <v/>
      </c>
      <c r="AC251" s="51" t="str">
        <f>IF('ORDER Form'!$V252="OK",COUNTIF('ORDER Form'!$V$6:$V252,"OK"),"")</f>
        <v/>
      </c>
      <c r="AD251" s="51" t="str">
        <f>IF($AB251="","",(LEN(TRIM(INDEX('ORDER Form'!$O$1:$O$355,$AB251)))+LEN(TRIM(INDEX('ORDER Form'!$P$1:$P$355,$AB251)))+LEN(TRIM(INDEX('ORDER Form'!$Q$1:$Q$355,$AB251)))+LEN(TRIM(INDEX('ORDER Form'!$R$1:$R$355,$AB251)))+LEN(TRIM(INDEX('ORDER Form'!$S$1:$S$355,$AB251)))+LEN(TRIM(INDEX('ORDER Form'!$T$1:$T$355,$AB251)))+LEN(TRIM(INDEX('ORDER Form'!$U$1:$U$355,$AB251))))=0)</f>
        <v/>
      </c>
    </row>
    <row r="252" spans="1:30" ht="15" customHeight="1" x14ac:dyDescent="0.25">
      <c r="A252" s="50" t="str">
        <f>IF($AB252="","",IFERROR(IF(AND(INDEX('ORDER Form'!$N$1:$N$355,$AB252)="GB",LEFT(UPPER(TRIM(INDEX('ORDER Form'!$L$1:$L$355,$AB252))),2)="BT"),INDEX('ORDER Form'!$AC$1:$AC$355,$AB252),IFERROR(VLOOKUP(INDEX('ORDER Form'!$AC$1:$AC$355,$AB252)&amp;"|"&amp;INDEX('PRODUCT DATA'!$A$2:$A$58,MATCH(INDEX('ORDER Form'!$N$1:$N$355,$AB252),'PRODUCT DATA'!$B$2:$B$58,0)),'PRODUCT DATA'!$NO$2:$NP$25,2,FALSE()),INDEX('ORDER Form'!$AC$1:$AC$355,$AB252)))&amp;"",""))</f>
        <v/>
      </c>
      <c r="B252" s="49"/>
      <c r="C252" s="51" t="str">
        <f>IF($AB252="","",INDEX('ORDER Form'!$C$1:$C$355,$AB252))</f>
        <v/>
      </c>
      <c r="D252" s="49"/>
      <c r="E252" s="49"/>
      <c r="F252" s="49"/>
      <c r="G252" s="49"/>
      <c r="H252" s="49"/>
      <c r="I252" s="49"/>
      <c r="J252" s="50" t="str">
        <f>IF($AB252="","",INDEX('ORDER Form'!$D$1:$D$355,$AB252)&amp;"")</f>
        <v/>
      </c>
      <c r="K252" s="50" t="str">
        <f>IF($AB252="","",INDEX('ORDER Form'!$E$1:$E$355,$AB252)&amp;"")</f>
        <v/>
      </c>
      <c r="L252" s="50" t="str">
        <f>IF($AB252="","",INDEX('ORDER Form'!$F$1:$F$355,$AB252)&amp;"")</f>
        <v/>
      </c>
      <c r="M252" s="50" t="str">
        <f>IF($AB252="","",INDEX('ORDER Form'!$G$1:$G$355,$AB252)&amp;"")</f>
        <v/>
      </c>
      <c r="N252" s="50" t="str">
        <f>IF($AB252="","",INDEX('ORDER Form'!$H$1:$H$355,$AB252)&amp;"")</f>
        <v/>
      </c>
      <c r="O252" s="50" t="str">
        <f>IF($AB252="","",INDEX('ORDER Form'!$I$1:$I$355,$AB252)&amp;"")</f>
        <v/>
      </c>
      <c r="P252" s="50" t="str">
        <f>IF($AB252="","",INDEX('ORDER Form'!$J$1:$J$355,$AB252)&amp;"")</f>
        <v/>
      </c>
      <c r="Q252" s="50" t="str">
        <f>IF($AB252="","",INDEX('ORDER Form'!$AB$1:$AB$355,$AB252)&amp;"")</f>
        <v/>
      </c>
      <c r="R252" s="50" t="str">
        <f>IF($AB252="","",INDEX('ORDER Form'!$L$1:$L$355,$AB252)&amp;"")</f>
        <v/>
      </c>
      <c r="S252" s="50" t="str">
        <f>IF($AB252="","",INDEX('ORDER Form'!$N$1:$N$355,$AB252)&amp;"")</f>
        <v/>
      </c>
      <c r="T252" s="50" t="str">
        <f>IF($AB252="","",IF($AD252,T$3,INDEX('ORDER Form'!$O$1:$O$355,$AB252))&amp;"")</f>
        <v/>
      </c>
      <c r="U252" s="50" t="str">
        <f>IF($AB252="","",IF($AD252,U$3,INDEX('ORDER Form'!$P$1:$P$355,$AB252))&amp;"")</f>
        <v/>
      </c>
      <c r="V252" s="50" t="str">
        <f>IF($AB252="","",IF($AD252,V$3,INDEX('ORDER Form'!$Q$1:$Q$355,$AB252))&amp;"")</f>
        <v/>
      </c>
      <c r="W252" s="50" t="str">
        <f>IF($AB252="","",IF($AD252,W$3,INDEX('ORDER Form'!$R$1:$R$355,$AB252))&amp;"")</f>
        <v/>
      </c>
      <c r="X252" s="50" t="str">
        <f>IF($AB252="","",IF($AD252,X$3,INDEX('ORDER Form'!$S$1:$S$355,$AB252))&amp;"")</f>
        <v/>
      </c>
      <c r="Y252" s="50" t="str">
        <f>IF($AB252="","",IF($AD252,Y$3,INDEX('ORDER Form'!$T$1:$T$355,$AB252))&amp;"")</f>
        <v/>
      </c>
      <c r="Z252" s="50" t="str">
        <f>IF($AB252="","",IF($AD252,Z$3,INDEX('ORDER Form'!$U$1:$U$355,$AB252))&amp;"")</f>
        <v/>
      </c>
      <c r="AB252" s="51" t="str">
        <f>IFERROR(MATCH(248,$AC$5:$AC$354,0)+5,"")</f>
        <v/>
      </c>
      <c r="AC252" s="51" t="str">
        <f>IF('ORDER Form'!$V253="OK",COUNTIF('ORDER Form'!$V$6:$V253,"OK"),"")</f>
        <v/>
      </c>
      <c r="AD252" s="51" t="str">
        <f>IF($AB252="","",(LEN(TRIM(INDEX('ORDER Form'!$O$1:$O$355,$AB252)))+LEN(TRIM(INDEX('ORDER Form'!$P$1:$P$355,$AB252)))+LEN(TRIM(INDEX('ORDER Form'!$Q$1:$Q$355,$AB252)))+LEN(TRIM(INDEX('ORDER Form'!$R$1:$R$355,$AB252)))+LEN(TRIM(INDEX('ORDER Form'!$S$1:$S$355,$AB252)))+LEN(TRIM(INDEX('ORDER Form'!$T$1:$T$355,$AB252)))+LEN(TRIM(INDEX('ORDER Form'!$U$1:$U$355,$AB252))))=0)</f>
        <v/>
      </c>
    </row>
    <row r="253" spans="1:30" ht="15" customHeight="1" x14ac:dyDescent="0.25">
      <c r="A253" s="50" t="str">
        <f>IF($AB253="","",IFERROR(IF(AND(INDEX('ORDER Form'!$N$1:$N$355,$AB253)="GB",LEFT(UPPER(TRIM(INDEX('ORDER Form'!$L$1:$L$355,$AB253))),2)="BT"),INDEX('ORDER Form'!$AC$1:$AC$355,$AB253),IFERROR(VLOOKUP(INDEX('ORDER Form'!$AC$1:$AC$355,$AB253)&amp;"|"&amp;INDEX('PRODUCT DATA'!$A$2:$A$58,MATCH(INDEX('ORDER Form'!$N$1:$N$355,$AB253),'PRODUCT DATA'!$B$2:$B$58,0)),'PRODUCT DATA'!$NO$2:$NP$25,2,FALSE()),INDEX('ORDER Form'!$AC$1:$AC$355,$AB253)))&amp;"",""))</f>
        <v/>
      </c>
      <c r="B253" s="49"/>
      <c r="C253" s="51" t="str">
        <f>IF($AB253="","",INDEX('ORDER Form'!$C$1:$C$355,$AB253))</f>
        <v/>
      </c>
      <c r="D253" s="49"/>
      <c r="E253" s="49"/>
      <c r="F253" s="49"/>
      <c r="G253" s="49"/>
      <c r="H253" s="49"/>
      <c r="I253" s="49"/>
      <c r="J253" s="50" t="str">
        <f>IF($AB253="","",INDEX('ORDER Form'!$D$1:$D$355,$AB253)&amp;"")</f>
        <v/>
      </c>
      <c r="K253" s="50" t="str">
        <f>IF($AB253="","",INDEX('ORDER Form'!$E$1:$E$355,$AB253)&amp;"")</f>
        <v/>
      </c>
      <c r="L253" s="50" t="str">
        <f>IF($AB253="","",INDEX('ORDER Form'!$F$1:$F$355,$AB253)&amp;"")</f>
        <v/>
      </c>
      <c r="M253" s="50" t="str">
        <f>IF($AB253="","",INDEX('ORDER Form'!$G$1:$G$355,$AB253)&amp;"")</f>
        <v/>
      </c>
      <c r="N253" s="50" t="str">
        <f>IF($AB253="","",INDEX('ORDER Form'!$H$1:$H$355,$AB253)&amp;"")</f>
        <v/>
      </c>
      <c r="O253" s="50" t="str">
        <f>IF($AB253="","",INDEX('ORDER Form'!$I$1:$I$355,$AB253)&amp;"")</f>
        <v/>
      </c>
      <c r="P253" s="50" t="str">
        <f>IF($AB253="","",INDEX('ORDER Form'!$J$1:$J$355,$AB253)&amp;"")</f>
        <v/>
      </c>
      <c r="Q253" s="50" t="str">
        <f>IF($AB253="","",INDEX('ORDER Form'!$AB$1:$AB$355,$AB253)&amp;"")</f>
        <v/>
      </c>
      <c r="R253" s="50" t="str">
        <f>IF($AB253="","",INDEX('ORDER Form'!$L$1:$L$355,$AB253)&amp;"")</f>
        <v/>
      </c>
      <c r="S253" s="50" t="str">
        <f>IF($AB253="","",INDEX('ORDER Form'!$N$1:$N$355,$AB253)&amp;"")</f>
        <v/>
      </c>
      <c r="T253" s="50" t="str">
        <f>IF($AB253="","",IF($AD253,T$3,INDEX('ORDER Form'!$O$1:$O$355,$AB253))&amp;"")</f>
        <v/>
      </c>
      <c r="U253" s="50" t="str">
        <f>IF($AB253="","",IF($AD253,U$3,INDEX('ORDER Form'!$P$1:$P$355,$AB253))&amp;"")</f>
        <v/>
      </c>
      <c r="V253" s="50" t="str">
        <f>IF($AB253="","",IF($AD253,V$3,INDEX('ORDER Form'!$Q$1:$Q$355,$AB253))&amp;"")</f>
        <v/>
      </c>
      <c r="W253" s="50" t="str">
        <f>IF($AB253="","",IF($AD253,W$3,INDEX('ORDER Form'!$R$1:$R$355,$AB253))&amp;"")</f>
        <v/>
      </c>
      <c r="X253" s="50" t="str">
        <f>IF($AB253="","",IF($AD253,X$3,INDEX('ORDER Form'!$S$1:$S$355,$AB253))&amp;"")</f>
        <v/>
      </c>
      <c r="Y253" s="50" t="str">
        <f>IF($AB253="","",IF($AD253,Y$3,INDEX('ORDER Form'!$T$1:$T$355,$AB253))&amp;"")</f>
        <v/>
      </c>
      <c r="Z253" s="50" t="str">
        <f>IF($AB253="","",IF($AD253,Z$3,INDEX('ORDER Form'!$U$1:$U$355,$AB253))&amp;"")</f>
        <v/>
      </c>
      <c r="AB253" s="51" t="str">
        <f>IFERROR(MATCH(249,$AC$5:$AC$354,0)+5,"")</f>
        <v/>
      </c>
      <c r="AC253" s="51" t="str">
        <f>IF('ORDER Form'!$V254="OK",COUNTIF('ORDER Form'!$V$6:$V254,"OK"),"")</f>
        <v/>
      </c>
      <c r="AD253" s="51" t="str">
        <f>IF($AB253="","",(LEN(TRIM(INDEX('ORDER Form'!$O$1:$O$355,$AB253)))+LEN(TRIM(INDEX('ORDER Form'!$P$1:$P$355,$AB253)))+LEN(TRIM(INDEX('ORDER Form'!$Q$1:$Q$355,$AB253)))+LEN(TRIM(INDEX('ORDER Form'!$R$1:$R$355,$AB253)))+LEN(TRIM(INDEX('ORDER Form'!$S$1:$S$355,$AB253)))+LEN(TRIM(INDEX('ORDER Form'!$T$1:$T$355,$AB253)))+LEN(TRIM(INDEX('ORDER Form'!$U$1:$U$355,$AB253))))=0)</f>
        <v/>
      </c>
    </row>
    <row r="254" spans="1:30" ht="15" customHeight="1" x14ac:dyDescent="0.25">
      <c r="A254" s="50" t="str">
        <f>IF($AB254="","",IFERROR(IF(AND(INDEX('ORDER Form'!$N$1:$N$355,$AB254)="GB",LEFT(UPPER(TRIM(INDEX('ORDER Form'!$L$1:$L$355,$AB254))),2)="BT"),INDEX('ORDER Form'!$AC$1:$AC$355,$AB254),IFERROR(VLOOKUP(INDEX('ORDER Form'!$AC$1:$AC$355,$AB254)&amp;"|"&amp;INDEX('PRODUCT DATA'!$A$2:$A$58,MATCH(INDEX('ORDER Form'!$N$1:$N$355,$AB254),'PRODUCT DATA'!$B$2:$B$58,0)),'PRODUCT DATA'!$NO$2:$NP$25,2,FALSE()),INDEX('ORDER Form'!$AC$1:$AC$355,$AB254)))&amp;"",""))</f>
        <v/>
      </c>
      <c r="B254" s="49"/>
      <c r="C254" s="51" t="str">
        <f>IF($AB254="","",INDEX('ORDER Form'!$C$1:$C$355,$AB254))</f>
        <v/>
      </c>
      <c r="D254" s="49"/>
      <c r="E254" s="49"/>
      <c r="F254" s="49"/>
      <c r="G254" s="49"/>
      <c r="H254" s="49"/>
      <c r="I254" s="49"/>
      <c r="J254" s="50" t="str">
        <f>IF($AB254="","",INDEX('ORDER Form'!$D$1:$D$355,$AB254)&amp;"")</f>
        <v/>
      </c>
      <c r="K254" s="50" t="str">
        <f>IF($AB254="","",INDEX('ORDER Form'!$E$1:$E$355,$AB254)&amp;"")</f>
        <v/>
      </c>
      <c r="L254" s="50" t="str">
        <f>IF($AB254="","",INDEX('ORDER Form'!$F$1:$F$355,$AB254)&amp;"")</f>
        <v/>
      </c>
      <c r="M254" s="50" t="str">
        <f>IF($AB254="","",INDEX('ORDER Form'!$G$1:$G$355,$AB254)&amp;"")</f>
        <v/>
      </c>
      <c r="N254" s="50" t="str">
        <f>IF($AB254="","",INDEX('ORDER Form'!$H$1:$H$355,$AB254)&amp;"")</f>
        <v/>
      </c>
      <c r="O254" s="50" t="str">
        <f>IF($AB254="","",INDEX('ORDER Form'!$I$1:$I$355,$AB254)&amp;"")</f>
        <v/>
      </c>
      <c r="P254" s="50" t="str">
        <f>IF($AB254="","",INDEX('ORDER Form'!$J$1:$J$355,$AB254)&amp;"")</f>
        <v/>
      </c>
      <c r="Q254" s="50" t="str">
        <f>IF($AB254="","",INDEX('ORDER Form'!$AB$1:$AB$355,$AB254)&amp;"")</f>
        <v/>
      </c>
      <c r="R254" s="50" t="str">
        <f>IF($AB254="","",INDEX('ORDER Form'!$L$1:$L$355,$AB254)&amp;"")</f>
        <v/>
      </c>
      <c r="S254" s="50" t="str">
        <f>IF($AB254="","",INDEX('ORDER Form'!$N$1:$N$355,$AB254)&amp;"")</f>
        <v/>
      </c>
      <c r="T254" s="50" t="str">
        <f>IF($AB254="","",IF($AD254,T$3,INDEX('ORDER Form'!$O$1:$O$355,$AB254))&amp;"")</f>
        <v/>
      </c>
      <c r="U254" s="50" t="str">
        <f>IF($AB254="","",IF($AD254,U$3,INDEX('ORDER Form'!$P$1:$P$355,$AB254))&amp;"")</f>
        <v/>
      </c>
      <c r="V254" s="50" t="str">
        <f>IF($AB254="","",IF($AD254,V$3,INDEX('ORDER Form'!$Q$1:$Q$355,$AB254))&amp;"")</f>
        <v/>
      </c>
      <c r="W254" s="50" t="str">
        <f>IF($AB254="","",IF($AD254,W$3,INDEX('ORDER Form'!$R$1:$R$355,$AB254))&amp;"")</f>
        <v/>
      </c>
      <c r="X254" s="50" t="str">
        <f>IF($AB254="","",IF($AD254,X$3,INDEX('ORDER Form'!$S$1:$S$355,$AB254))&amp;"")</f>
        <v/>
      </c>
      <c r="Y254" s="50" t="str">
        <f>IF($AB254="","",IF($AD254,Y$3,INDEX('ORDER Form'!$T$1:$T$355,$AB254))&amp;"")</f>
        <v/>
      </c>
      <c r="Z254" s="50" t="str">
        <f>IF($AB254="","",IF($AD254,Z$3,INDEX('ORDER Form'!$U$1:$U$355,$AB254))&amp;"")</f>
        <v/>
      </c>
      <c r="AB254" s="51" t="str">
        <f>IFERROR(MATCH(250,$AC$5:$AC$354,0)+5,"")</f>
        <v/>
      </c>
      <c r="AC254" s="51" t="str">
        <f>IF('ORDER Form'!$V255="OK",COUNTIF('ORDER Form'!$V$6:$V255,"OK"),"")</f>
        <v/>
      </c>
      <c r="AD254" s="51" t="str">
        <f>IF($AB254="","",(LEN(TRIM(INDEX('ORDER Form'!$O$1:$O$355,$AB254)))+LEN(TRIM(INDEX('ORDER Form'!$P$1:$P$355,$AB254)))+LEN(TRIM(INDEX('ORDER Form'!$Q$1:$Q$355,$AB254)))+LEN(TRIM(INDEX('ORDER Form'!$R$1:$R$355,$AB254)))+LEN(TRIM(INDEX('ORDER Form'!$S$1:$S$355,$AB254)))+LEN(TRIM(INDEX('ORDER Form'!$T$1:$T$355,$AB254)))+LEN(TRIM(INDEX('ORDER Form'!$U$1:$U$355,$AB254))))=0)</f>
        <v/>
      </c>
    </row>
    <row r="255" spans="1:30" ht="15" customHeight="1" x14ac:dyDescent="0.25">
      <c r="A255" s="50" t="str">
        <f>IF($AB255="","",IFERROR(IF(AND(INDEX('ORDER Form'!$N$1:$N$355,$AB255)="GB",LEFT(UPPER(TRIM(INDEX('ORDER Form'!$L$1:$L$355,$AB255))),2)="BT"),INDEX('ORDER Form'!$AC$1:$AC$355,$AB255),IFERROR(VLOOKUP(INDEX('ORDER Form'!$AC$1:$AC$355,$AB255)&amp;"|"&amp;INDEX('PRODUCT DATA'!$A$2:$A$58,MATCH(INDEX('ORDER Form'!$N$1:$N$355,$AB255),'PRODUCT DATA'!$B$2:$B$58,0)),'PRODUCT DATA'!$NO$2:$NP$25,2,FALSE()),INDEX('ORDER Form'!$AC$1:$AC$355,$AB255)))&amp;"",""))</f>
        <v/>
      </c>
      <c r="B255" s="49"/>
      <c r="C255" s="51" t="str">
        <f>IF($AB255="","",INDEX('ORDER Form'!$C$1:$C$355,$AB255))</f>
        <v/>
      </c>
      <c r="D255" s="49"/>
      <c r="E255" s="49"/>
      <c r="F255" s="49"/>
      <c r="G255" s="49"/>
      <c r="H255" s="49"/>
      <c r="I255" s="49"/>
      <c r="J255" s="50" t="str">
        <f>IF($AB255="","",INDEX('ORDER Form'!$D$1:$D$355,$AB255)&amp;"")</f>
        <v/>
      </c>
      <c r="K255" s="50" t="str">
        <f>IF($AB255="","",INDEX('ORDER Form'!$E$1:$E$355,$AB255)&amp;"")</f>
        <v/>
      </c>
      <c r="L255" s="50" t="str">
        <f>IF($AB255="","",INDEX('ORDER Form'!$F$1:$F$355,$AB255)&amp;"")</f>
        <v/>
      </c>
      <c r="M255" s="50" t="str">
        <f>IF($AB255="","",INDEX('ORDER Form'!$G$1:$G$355,$AB255)&amp;"")</f>
        <v/>
      </c>
      <c r="N255" s="50" t="str">
        <f>IF($AB255="","",INDEX('ORDER Form'!$H$1:$H$355,$AB255)&amp;"")</f>
        <v/>
      </c>
      <c r="O255" s="50" t="str">
        <f>IF($AB255="","",INDEX('ORDER Form'!$I$1:$I$355,$AB255)&amp;"")</f>
        <v/>
      </c>
      <c r="P255" s="50" t="str">
        <f>IF($AB255="","",INDEX('ORDER Form'!$J$1:$J$355,$AB255)&amp;"")</f>
        <v/>
      </c>
      <c r="Q255" s="50" t="str">
        <f>IF($AB255="","",INDEX('ORDER Form'!$AB$1:$AB$355,$AB255)&amp;"")</f>
        <v/>
      </c>
      <c r="R255" s="50" t="str">
        <f>IF($AB255="","",INDEX('ORDER Form'!$L$1:$L$355,$AB255)&amp;"")</f>
        <v/>
      </c>
      <c r="S255" s="50" t="str">
        <f>IF($AB255="","",INDEX('ORDER Form'!$N$1:$N$355,$AB255)&amp;"")</f>
        <v/>
      </c>
      <c r="T255" s="50" t="str">
        <f>IF($AB255="","",IF($AD255,T$3,INDEX('ORDER Form'!$O$1:$O$355,$AB255))&amp;"")</f>
        <v/>
      </c>
      <c r="U255" s="50" t="str">
        <f>IF($AB255="","",IF($AD255,U$3,INDEX('ORDER Form'!$P$1:$P$355,$AB255))&amp;"")</f>
        <v/>
      </c>
      <c r="V255" s="50" t="str">
        <f>IF($AB255="","",IF($AD255,V$3,INDEX('ORDER Form'!$Q$1:$Q$355,$AB255))&amp;"")</f>
        <v/>
      </c>
      <c r="W255" s="50" t="str">
        <f>IF($AB255="","",IF($AD255,W$3,INDEX('ORDER Form'!$R$1:$R$355,$AB255))&amp;"")</f>
        <v/>
      </c>
      <c r="X255" s="50" t="str">
        <f>IF($AB255="","",IF($AD255,X$3,INDEX('ORDER Form'!$S$1:$S$355,$AB255))&amp;"")</f>
        <v/>
      </c>
      <c r="Y255" s="50" t="str">
        <f>IF($AB255="","",IF($AD255,Y$3,INDEX('ORDER Form'!$T$1:$T$355,$AB255))&amp;"")</f>
        <v/>
      </c>
      <c r="Z255" s="50" t="str">
        <f>IF($AB255="","",IF($AD255,Z$3,INDEX('ORDER Form'!$U$1:$U$355,$AB255))&amp;"")</f>
        <v/>
      </c>
      <c r="AB255" s="51" t="str">
        <f>IFERROR(MATCH(251,$AC$5:$AC$354,0)+5,"")</f>
        <v/>
      </c>
      <c r="AC255" s="51" t="str">
        <f>IF('ORDER Form'!$V256="OK",COUNTIF('ORDER Form'!$V$6:$V256,"OK"),"")</f>
        <v/>
      </c>
      <c r="AD255" s="51" t="str">
        <f>IF($AB255="","",(LEN(TRIM(INDEX('ORDER Form'!$O$1:$O$355,$AB255)))+LEN(TRIM(INDEX('ORDER Form'!$P$1:$P$355,$AB255)))+LEN(TRIM(INDEX('ORDER Form'!$Q$1:$Q$355,$AB255)))+LEN(TRIM(INDEX('ORDER Form'!$R$1:$R$355,$AB255)))+LEN(TRIM(INDEX('ORDER Form'!$S$1:$S$355,$AB255)))+LEN(TRIM(INDEX('ORDER Form'!$T$1:$T$355,$AB255)))+LEN(TRIM(INDEX('ORDER Form'!$U$1:$U$355,$AB255))))=0)</f>
        <v/>
      </c>
    </row>
    <row r="256" spans="1:30" ht="15" customHeight="1" x14ac:dyDescent="0.25">
      <c r="A256" s="50" t="str">
        <f>IF($AB256="","",IFERROR(IF(AND(INDEX('ORDER Form'!$N$1:$N$355,$AB256)="GB",LEFT(UPPER(TRIM(INDEX('ORDER Form'!$L$1:$L$355,$AB256))),2)="BT"),INDEX('ORDER Form'!$AC$1:$AC$355,$AB256),IFERROR(VLOOKUP(INDEX('ORDER Form'!$AC$1:$AC$355,$AB256)&amp;"|"&amp;INDEX('PRODUCT DATA'!$A$2:$A$58,MATCH(INDEX('ORDER Form'!$N$1:$N$355,$AB256),'PRODUCT DATA'!$B$2:$B$58,0)),'PRODUCT DATA'!$NO$2:$NP$25,2,FALSE()),INDEX('ORDER Form'!$AC$1:$AC$355,$AB256)))&amp;"",""))</f>
        <v/>
      </c>
      <c r="B256" s="49"/>
      <c r="C256" s="51" t="str">
        <f>IF($AB256="","",INDEX('ORDER Form'!$C$1:$C$355,$AB256))</f>
        <v/>
      </c>
      <c r="D256" s="49"/>
      <c r="E256" s="49"/>
      <c r="F256" s="49"/>
      <c r="G256" s="49"/>
      <c r="H256" s="49"/>
      <c r="I256" s="49"/>
      <c r="J256" s="50" t="str">
        <f>IF($AB256="","",INDEX('ORDER Form'!$D$1:$D$355,$AB256)&amp;"")</f>
        <v/>
      </c>
      <c r="K256" s="50" t="str">
        <f>IF($AB256="","",INDEX('ORDER Form'!$E$1:$E$355,$AB256)&amp;"")</f>
        <v/>
      </c>
      <c r="L256" s="50" t="str">
        <f>IF($AB256="","",INDEX('ORDER Form'!$F$1:$F$355,$AB256)&amp;"")</f>
        <v/>
      </c>
      <c r="M256" s="50" t="str">
        <f>IF($AB256="","",INDEX('ORDER Form'!$G$1:$G$355,$AB256)&amp;"")</f>
        <v/>
      </c>
      <c r="N256" s="50" t="str">
        <f>IF($AB256="","",INDEX('ORDER Form'!$H$1:$H$355,$AB256)&amp;"")</f>
        <v/>
      </c>
      <c r="O256" s="50" t="str">
        <f>IF($AB256="","",INDEX('ORDER Form'!$I$1:$I$355,$AB256)&amp;"")</f>
        <v/>
      </c>
      <c r="P256" s="50" t="str">
        <f>IF($AB256="","",INDEX('ORDER Form'!$J$1:$J$355,$AB256)&amp;"")</f>
        <v/>
      </c>
      <c r="Q256" s="50" t="str">
        <f>IF($AB256="","",INDEX('ORDER Form'!$AB$1:$AB$355,$AB256)&amp;"")</f>
        <v/>
      </c>
      <c r="R256" s="50" t="str">
        <f>IF($AB256="","",INDEX('ORDER Form'!$L$1:$L$355,$AB256)&amp;"")</f>
        <v/>
      </c>
      <c r="S256" s="50" t="str">
        <f>IF($AB256="","",INDEX('ORDER Form'!$N$1:$N$355,$AB256)&amp;"")</f>
        <v/>
      </c>
      <c r="T256" s="50" t="str">
        <f>IF($AB256="","",IF($AD256,T$3,INDEX('ORDER Form'!$O$1:$O$355,$AB256))&amp;"")</f>
        <v/>
      </c>
      <c r="U256" s="50" t="str">
        <f>IF($AB256="","",IF($AD256,U$3,INDEX('ORDER Form'!$P$1:$P$355,$AB256))&amp;"")</f>
        <v/>
      </c>
      <c r="V256" s="50" t="str">
        <f>IF($AB256="","",IF($AD256,V$3,INDEX('ORDER Form'!$Q$1:$Q$355,$AB256))&amp;"")</f>
        <v/>
      </c>
      <c r="W256" s="50" t="str">
        <f>IF($AB256="","",IF($AD256,W$3,INDEX('ORDER Form'!$R$1:$R$355,$AB256))&amp;"")</f>
        <v/>
      </c>
      <c r="X256" s="50" t="str">
        <f>IF($AB256="","",IF($AD256,X$3,INDEX('ORDER Form'!$S$1:$S$355,$AB256))&amp;"")</f>
        <v/>
      </c>
      <c r="Y256" s="50" t="str">
        <f>IF($AB256="","",IF($AD256,Y$3,INDEX('ORDER Form'!$T$1:$T$355,$AB256))&amp;"")</f>
        <v/>
      </c>
      <c r="Z256" s="50" t="str">
        <f>IF($AB256="","",IF($AD256,Z$3,INDEX('ORDER Form'!$U$1:$U$355,$AB256))&amp;"")</f>
        <v/>
      </c>
      <c r="AB256" s="51" t="str">
        <f>IFERROR(MATCH(252,$AC$5:$AC$354,0)+5,"")</f>
        <v/>
      </c>
      <c r="AC256" s="51" t="str">
        <f>IF('ORDER Form'!$V257="OK",COUNTIF('ORDER Form'!$V$6:$V257,"OK"),"")</f>
        <v/>
      </c>
      <c r="AD256" s="51" t="str">
        <f>IF($AB256="","",(LEN(TRIM(INDEX('ORDER Form'!$O$1:$O$355,$AB256)))+LEN(TRIM(INDEX('ORDER Form'!$P$1:$P$355,$AB256)))+LEN(TRIM(INDEX('ORDER Form'!$Q$1:$Q$355,$AB256)))+LEN(TRIM(INDEX('ORDER Form'!$R$1:$R$355,$AB256)))+LEN(TRIM(INDEX('ORDER Form'!$S$1:$S$355,$AB256)))+LEN(TRIM(INDEX('ORDER Form'!$T$1:$T$355,$AB256)))+LEN(TRIM(INDEX('ORDER Form'!$U$1:$U$355,$AB256))))=0)</f>
        <v/>
      </c>
    </row>
    <row r="257" spans="1:30" ht="15" customHeight="1" x14ac:dyDescent="0.25">
      <c r="A257" s="50" t="str">
        <f>IF($AB257="","",IFERROR(IF(AND(INDEX('ORDER Form'!$N$1:$N$355,$AB257)="GB",LEFT(UPPER(TRIM(INDEX('ORDER Form'!$L$1:$L$355,$AB257))),2)="BT"),INDEX('ORDER Form'!$AC$1:$AC$355,$AB257),IFERROR(VLOOKUP(INDEX('ORDER Form'!$AC$1:$AC$355,$AB257)&amp;"|"&amp;INDEX('PRODUCT DATA'!$A$2:$A$58,MATCH(INDEX('ORDER Form'!$N$1:$N$355,$AB257),'PRODUCT DATA'!$B$2:$B$58,0)),'PRODUCT DATA'!$NO$2:$NP$25,2,FALSE()),INDEX('ORDER Form'!$AC$1:$AC$355,$AB257)))&amp;"",""))</f>
        <v/>
      </c>
      <c r="B257" s="49"/>
      <c r="C257" s="51" t="str">
        <f>IF($AB257="","",INDEX('ORDER Form'!$C$1:$C$355,$AB257))</f>
        <v/>
      </c>
      <c r="D257" s="49"/>
      <c r="E257" s="49"/>
      <c r="F257" s="49"/>
      <c r="G257" s="49"/>
      <c r="H257" s="49"/>
      <c r="I257" s="49"/>
      <c r="J257" s="50" t="str">
        <f>IF($AB257="","",INDEX('ORDER Form'!$D$1:$D$355,$AB257)&amp;"")</f>
        <v/>
      </c>
      <c r="K257" s="50" t="str">
        <f>IF($AB257="","",INDEX('ORDER Form'!$E$1:$E$355,$AB257)&amp;"")</f>
        <v/>
      </c>
      <c r="L257" s="50" t="str">
        <f>IF($AB257="","",INDEX('ORDER Form'!$F$1:$F$355,$AB257)&amp;"")</f>
        <v/>
      </c>
      <c r="M257" s="50" t="str">
        <f>IF($AB257="","",INDEX('ORDER Form'!$G$1:$G$355,$AB257)&amp;"")</f>
        <v/>
      </c>
      <c r="N257" s="50" t="str">
        <f>IF($AB257="","",INDEX('ORDER Form'!$H$1:$H$355,$AB257)&amp;"")</f>
        <v/>
      </c>
      <c r="O257" s="50" t="str">
        <f>IF($AB257="","",INDEX('ORDER Form'!$I$1:$I$355,$AB257)&amp;"")</f>
        <v/>
      </c>
      <c r="P257" s="50" t="str">
        <f>IF($AB257="","",INDEX('ORDER Form'!$J$1:$J$355,$AB257)&amp;"")</f>
        <v/>
      </c>
      <c r="Q257" s="50" t="str">
        <f>IF($AB257="","",INDEX('ORDER Form'!$AB$1:$AB$355,$AB257)&amp;"")</f>
        <v/>
      </c>
      <c r="R257" s="50" t="str">
        <f>IF($AB257="","",INDEX('ORDER Form'!$L$1:$L$355,$AB257)&amp;"")</f>
        <v/>
      </c>
      <c r="S257" s="50" t="str">
        <f>IF($AB257="","",INDEX('ORDER Form'!$N$1:$N$355,$AB257)&amp;"")</f>
        <v/>
      </c>
      <c r="T257" s="50" t="str">
        <f>IF($AB257="","",IF($AD257,T$3,INDEX('ORDER Form'!$O$1:$O$355,$AB257))&amp;"")</f>
        <v/>
      </c>
      <c r="U257" s="50" t="str">
        <f>IF($AB257="","",IF($AD257,U$3,INDEX('ORDER Form'!$P$1:$P$355,$AB257))&amp;"")</f>
        <v/>
      </c>
      <c r="V257" s="50" t="str">
        <f>IF($AB257="","",IF($AD257,V$3,INDEX('ORDER Form'!$Q$1:$Q$355,$AB257))&amp;"")</f>
        <v/>
      </c>
      <c r="W257" s="50" t="str">
        <f>IF($AB257="","",IF($AD257,W$3,INDEX('ORDER Form'!$R$1:$R$355,$AB257))&amp;"")</f>
        <v/>
      </c>
      <c r="X257" s="50" t="str">
        <f>IF($AB257="","",IF($AD257,X$3,INDEX('ORDER Form'!$S$1:$S$355,$AB257))&amp;"")</f>
        <v/>
      </c>
      <c r="Y257" s="50" t="str">
        <f>IF($AB257="","",IF($AD257,Y$3,INDEX('ORDER Form'!$T$1:$T$355,$AB257))&amp;"")</f>
        <v/>
      </c>
      <c r="Z257" s="50" t="str">
        <f>IF($AB257="","",IF($AD257,Z$3,INDEX('ORDER Form'!$U$1:$U$355,$AB257))&amp;"")</f>
        <v/>
      </c>
      <c r="AB257" s="51" t="str">
        <f>IFERROR(MATCH(253,$AC$5:$AC$354,0)+5,"")</f>
        <v/>
      </c>
      <c r="AC257" s="51" t="str">
        <f>IF('ORDER Form'!$V258="OK",COUNTIF('ORDER Form'!$V$6:$V258,"OK"),"")</f>
        <v/>
      </c>
      <c r="AD257" s="51" t="str">
        <f>IF($AB257="","",(LEN(TRIM(INDEX('ORDER Form'!$O$1:$O$355,$AB257)))+LEN(TRIM(INDEX('ORDER Form'!$P$1:$P$355,$AB257)))+LEN(TRIM(INDEX('ORDER Form'!$Q$1:$Q$355,$AB257)))+LEN(TRIM(INDEX('ORDER Form'!$R$1:$R$355,$AB257)))+LEN(TRIM(INDEX('ORDER Form'!$S$1:$S$355,$AB257)))+LEN(TRIM(INDEX('ORDER Form'!$T$1:$T$355,$AB257)))+LEN(TRIM(INDEX('ORDER Form'!$U$1:$U$355,$AB257))))=0)</f>
        <v/>
      </c>
    </row>
    <row r="258" spans="1:30" ht="15" customHeight="1" x14ac:dyDescent="0.25">
      <c r="A258" s="50" t="str">
        <f>IF($AB258="","",IFERROR(IF(AND(INDEX('ORDER Form'!$N$1:$N$355,$AB258)="GB",LEFT(UPPER(TRIM(INDEX('ORDER Form'!$L$1:$L$355,$AB258))),2)="BT"),INDEX('ORDER Form'!$AC$1:$AC$355,$AB258),IFERROR(VLOOKUP(INDEX('ORDER Form'!$AC$1:$AC$355,$AB258)&amp;"|"&amp;INDEX('PRODUCT DATA'!$A$2:$A$58,MATCH(INDEX('ORDER Form'!$N$1:$N$355,$AB258),'PRODUCT DATA'!$B$2:$B$58,0)),'PRODUCT DATA'!$NO$2:$NP$25,2,FALSE()),INDEX('ORDER Form'!$AC$1:$AC$355,$AB258)))&amp;"",""))</f>
        <v/>
      </c>
      <c r="B258" s="49"/>
      <c r="C258" s="51" t="str">
        <f>IF($AB258="","",INDEX('ORDER Form'!$C$1:$C$355,$AB258))</f>
        <v/>
      </c>
      <c r="D258" s="49"/>
      <c r="E258" s="49"/>
      <c r="F258" s="49"/>
      <c r="G258" s="49"/>
      <c r="H258" s="49"/>
      <c r="I258" s="49"/>
      <c r="J258" s="50" t="str">
        <f>IF($AB258="","",INDEX('ORDER Form'!$D$1:$D$355,$AB258)&amp;"")</f>
        <v/>
      </c>
      <c r="K258" s="50" t="str">
        <f>IF($AB258="","",INDEX('ORDER Form'!$E$1:$E$355,$AB258)&amp;"")</f>
        <v/>
      </c>
      <c r="L258" s="50" t="str">
        <f>IF($AB258="","",INDEX('ORDER Form'!$F$1:$F$355,$AB258)&amp;"")</f>
        <v/>
      </c>
      <c r="M258" s="50" t="str">
        <f>IF($AB258="","",INDEX('ORDER Form'!$G$1:$G$355,$AB258)&amp;"")</f>
        <v/>
      </c>
      <c r="N258" s="50" t="str">
        <f>IF($AB258="","",INDEX('ORDER Form'!$H$1:$H$355,$AB258)&amp;"")</f>
        <v/>
      </c>
      <c r="O258" s="50" t="str">
        <f>IF($AB258="","",INDEX('ORDER Form'!$I$1:$I$355,$AB258)&amp;"")</f>
        <v/>
      </c>
      <c r="P258" s="50" t="str">
        <f>IF($AB258="","",INDEX('ORDER Form'!$J$1:$J$355,$AB258)&amp;"")</f>
        <v/>
      </c>
      <c r="Q258" s="50" t="str">
        <f>IF($AB258="","",INDEX('ORDER Form'!$AB$1:$AB$355,$AB258)&amp;"")</f>
        <v/>
      </c>
      <c r="R258" s="50" t="str">
        <f>IF($AB258="","",INDEX('ORDER Form'!$L$1:$L$355,$AB258)&amp;"")</f>
        <v/>
      </c>
      <c r="S258" s="50" t="str">
        <f>IF($AB258="","",INDEX('ORDER Form'!$N$1:$N$355,$AB258)&amp;"")</f>
        <v/>
      </c>
      <c r="T258" s="50" t="str">
        <f>IF($AB258="","",IF($AD258,T$3,INDEX('ORDER Form'!$O$1:$O$355,$AB258))&amp;"")</f>
        <v/>
      </c>
      <c r="U258" s="50" t="str">
        <f>IF($AB258="","",IF($AD258,U$3,INDEX('ORDER Form'!$P$1:$P$355,$AB258))&amp;"")</f>
        <v/>
      </c>
      <c r="V258" s="50" t="str">
        <f>IF($AB258="","",IF($AD258,V$3,INDEX('ORDER Form'!$Q$1:$Q$355,$AB258))&amp;"")</f>
        <v/>
      </c>
      <c r="W258" s="50" t="str">
        <f>IF($AB258="","",IF($AD258,W$3,INDEX('ORDER Form'!$R$1:$R$355,$AB258))&amp;"")</f>
        <v/>
      </c>
      <c r="X258" s="50" t="str">
        <f>IF($AB258="","",IF($AD258,X$3,INDEX('ORDER Form'!$S$1:$S$355,$AB258))&amp;"")</f>
        <v/>
      </c>
      <c r="Y258" s="50" t="str">
        <f>IF($AB258="","",IF($AD258,Y$3,INDEX('ORDER Form'!$T$1:$T$355,$AB258))&amp;"")</f>
        <v/>
      </c>
      <c r="Z258" s="50" t="str">
        <f>IF($AB258="","",IF($AD258,Z$3,INDEX('ORDER Form'!$U$1:$U$355,$AB258))&amp;"")</f>
        <v/>
      </c>
      <c r="AB258" s="51" t="str">
        <f>IFERROR(MATCH(254,$AC$5:$AC$354,0)+5,"")</f>
        <v/>
      </c>
      <c r="AC258" s="51" t="str">
        <f>IF('ORDER Form'!$V259="OK",COUNTIF('ORDER Form'!$V$6:$V259,"OK"),"")</f>
        <v/>
      </c>
      <c r="AD258" s="51" t="str">
        <f>IF($AB258="","",(LEN(TRIM(INDEX('ORDER Form'!$O$1:$O$355,$AB258)))+LEN(TRIM(INDEX('ORDER Form'!$P$1:$P$355,$AB258)))+LEN(TRIM(INDEX('ORDER Form'!$Q$1:$Q$355,$AB258)))+LEN(TRIM(INDEX('ORDER Form'!$R$1:$R$355,$AB258)))+LEN(TRIM(INDEX('ORDER Form'!$S$1:$S$355,$AB258)))+LEN(TRIM(INDEX('ORDER Form'!$T$1:$T$355,$AB258)))+LEN(TRIM(INDEX('ORDER Form'!$U$1:$U$355,$AB258))))=0)</f>
        <v/>
      </c>
    </row>
    <row r="259" spans="1:30" ht="15" customHeight="1" x14ac:dyDescent="0.25">
      <c r="A259" s="50" t="str">
        <f>IF($AB259="","",IFERROR(IF(AND(INDEX('ORDER Form'!$N$1:$N$355,$AB259)="GB",LEFT(UPPER(TRIM(INDEX('ORDER Form'!$L$1:$L$355,$AB259))),2)="BT"),INDEX('ORDER Form'!$AC$1:$AC$355,$AB259),IFERROR(VLOOKUP(INDEX('ORDER Form'!$AC$1:$AC$355,$AB259)&amp;"|"&amp;INDEX('PRODUCT DATA'!$A$2:$A$58,MATCH(INDEX('ORDER Form'!$N$1:$N$355,$AB259),'PRODUCT DATA'!$B$2:$B$58,0)),'PRODUCT DATA'!$NO$2:$NP$25,2,FALSE()),INDEX('ORDER Form'!$AC$1:$AC$355,$AB259)))&amp;"",""))</f>
        <v/>
      </c>
      <c r="B259" s="49"/>
      <c r="C259" s="51" t="str">
        <f>IF($AB259="","",INDEX('ORDER Form'!$C$1:$C$355,$AB259))</f>
        <v/>
      </c>
      <c r="D259" s="49"/>
      <c r="E259" s="49"/>
      <c r="F259" s="49"/>
      <c r="G259" s="49"/>
      <c r="H259" s="49"/>
      <c r="I259" s="49"/>
      <c r="J259" s="50" t="str">
        <f>IF($AB259="","",INDEX('ORDER Form'!$D$1:$D$355,$AB259)&amp;"")</f>
        <v/>
      </c>
      <c r="K259" s="50" t="str">
        <f>IF($AB259="","",INDEX('ORDER Form'!$E$1:$E$355,$AB259)&amp;"")</f>
        <v/>
      </c>
      <c r="L259" s="50" t="str">
        <f>IF($AB259="","",INDEX('ORDER Form'!$F$1:$F$355,$AB259)&amp;"")</f>
        <v/>
      </c>
      <c r="M259" s="50" t="str">
        <f>IF($AB259="","",INDEX('ORDER Form'!$G$1:$G$355,$AB259)&amp;"")</f>
        <v/>
      </c>
      <c r="N259" s="50" t="str">
        <f>IF($AB259="","",INDEX('ORDER Form'!$H$1:$H$355,$AB259)&amp;"")</f>
        <v/>
      </c>
      <c r="O259" s="50" t="str">
        <f>IF($AB259="","",INDEX('ORDER Form'!$I$1:$I$355,$AB259)&amp;"")</f>
        <v/>
      </c>
      <c r="P259" s="50" t="str">
        <f>IF($AB259="","",INDEX('ORDER Form'!$J$1:$J$355,$AB259)&amp;"")</f>
        <v/>
      </c>
      <c r="Q259" s="50" t="str">
        <f>IF($AB259="","",INDEX('ORDER Form'!$AB$1:$AB$355,$AB259)&amp;"")</f>
        <v/>
      </c>
      <c r="R259" s="50" t="str">
        <f>IF($AB259="","",INDEX('ORDER Form'!$L$1:$L$355,$AB259)&amp;"")</f>
        <v/>
      </c>
      <c r="S259" s="50" t="str">
        <f>IF($AB259="","",INDEX('ORDER Form'!$N$1:$N$355,$AB259)&amp;"")</f>
        <v/>
      </c>
      <c r="T259" s="50" t="str">
        <f>IF($AB259="","",IF($AD259,T$3,INDEX('ORDER Form'!$O$1:$O$355,$AB259))&amp;"")</f>
        <v/>
      </c>
      <c r="U259" s="50" t="str">
        <f>IF($AB259="","",IF($AD259,U$3,INDEX('ORDER Form'!$P$1:$P$355,$AB259))&amp;"")</f>
        <v/>
      </c>
      <c r="V259" s="50" t="str">
        <f>IF($AB259="","",IF($AD259,V$3,INDEX('ORDER Form'!$Q$1:$Q$355,$AB259))&amp;"")</f>
        <v/>
      </c>
      <c r="W259" s="50" t="str">
        <f>IF($AB259="","",IF($AD259,W$3,INDEX('ORDER Form'!$R$1:$R$355,$AB259))&amp;"")</f>
        <v/>
      </c>
      <c r="X259" s="50" t="str">
        <f>IF($AB259="","",IF($AD259,X$3,INDEX('ORDER Form'!$S$1:$S$355,$AB259))&amp;"")</f>
        <v/>
      </c>
      <c r="Y259" s="50" t="str">
        <f>IF($AB259="","",IF($AD259,Y$3,INDEX('ORDER Form'!$T$1:$T$355,$AB259))&amp;"")</f>
        <v/>
      </c>
      <c r="Z259" s="50" t="str">
        <f>IF($AB259="","",IF($AD259,Z$3,INDEX('ORDER Form'!$U$1:$U$355,$AB259))&amp;"")</f>
        <v/>
      </c>
      <c r="AB259" s="51" t="str">
        <f>IFERROR(MATCH(255,$AC$5:$AC$354,0)+5,"")</f>
        <v/>
      </c>
      <c r="AC259" s="51" t="str">
        <f>IF('ORDER Form'!$V260="OK",COUNTIF('ORDER Form'!$V$6:$V260,"OK"),"")</f>
        <v/>
      </c>
      <c r="AD259" s="51" t="str">
        <f>IF($AB259="","",(LEN(TRIM(INDEX('ORDER Form'!$O$1:$O$355,$AB259)))+LEN(TRIM(INDEX('ORDER Form'!$P$1:$P$355,$AB259)))+LEN(TRIM(INDEX('ORDER Form'!$Q$1:$Q$355,$AB259)))+LEN(TRIM(INDEX('ORDER Form'!$R$1:$R$355,$AB259)))+LEN(TRIM(INDEX('ORDER Form'!$S$1:$S$355,$AB259)))+LEN(TRIM(INDEX('ORDER Form'!$T$1:$T$355,$AB259)))+LEN(TRIM(INDEX('ORDER Form'!$U$1:$U$355,$AB259))))=0)</f>
        <v/>
      </c>
    </row>
    <row r="260" spans="1:30" ht="15" customHeight="1" x14ac:dyDescent="0.25">
      <c r="A260" s="50" t="str">
        <f>IF($AB260="","",IFERROR(IF(AND(INDEX('ORDER Form'!$N$1:$N$355,$AB260)="GB",LEFT(UPPER(TRIM(INDEX('ORDER Form'!$L$1:$L$355,$AB260))),2)="BT"),INDEX('ORDER Form'!$AC$1:$AC$355,$AB260),IFERROR(VLOOKUP(INDEX('ORDER Form'!$AC$1:$AC$355,$AB260)&amp;"|"&amp;INDEX('PRODUCT DATA'!$A$2:$A$58,MATCH(INDEX('ORDER Form'!$N$1:$N$355,$AB260),'PRODUCT DATA'!$B$2:$B$58,0)),'PRODUCT DATA'!$NO$2:$NP$25,2,FALSE()),INDEX('ORDER Form'!$AC$1:$AC$355,$AB260)))&amp;"",""))</f>
        <v/>
      </c>
      <c r="B260" s="49"/>
      <c r="C260" s="51" t="str">
        <f>IF($AB260="","",INDEX('ORDER Form'!$C$1:$C$355,$AB260))</f>
        <v/>
      </c>
      <c r="D260" s="49"/>
      <c r="E260" s="49"/>
      <c r="F260" s="49"/>
      <c r="G260" s="49"/>
      <c r="H260" s="49"/>
      <c r="I260" s="49"/>
      <c r="J260" s="50" t="str">
        <f>IF($AB260="","",INDEX('ORDER Form'!$D$1:$D$355,$AB260)&amp;"")</f>
        <v/>
      </c>
      <c r="K260" s="50" t="str">
        <f>IF($AB260="","",INDEX('ORDER Form'!$E$1:$E$355,$AB260)&amp;"")</f>
        <v/>
      </c>
      <c r="L260" s="50" t="str">
        <f>IF($AB260="","",INDEX('ORDER Form'!$F$1:$F$355,$AB260)&amp;"")</f>
        <v/>
      </c>
      <c r="M260" s="50" t="str">
        <f>IF($AB260="","",INDEX('ORDER Form'!$G$1:$G$355,$AB260)&amp;"")</f>
        <v/>
      </c>
      <c r="N260" s="50" t="str">
        <f>IF($AB260="","",INDEX('ORDER Form'!$H$1:$H$355,$AB260)&amp;"")</f>
        <v/>
      </c>
      <c r="O260" s="50" t="str">
        <f>IF($AB260="","",INDEX('ORDER Form'!$I$1:$I$355,$AB260)&amp;"")</f>
        <v/>
      </c>
      <c r="P260" s="50" t="str">
        <f>IF($AB260="","",INDEX('ORDER Form'!$J$1:$J$355,$AB260)&amp;"")</f>
        <v/>
      </c>
      <c r="Q260" s="50" t="str">
        <f>IF($AB260="","",INDEX('ORDER Form'!$AB$1:$AB$355,$AB260)&amp;"")</f>
        <v/>
      </c>
      <c r="R260" s="50" t="str">
        <f>IF($AB260="","",INDEX('ORDER Form'!$L$1:$L$355,$AB260)&amp;"")</f>
        <v/>
      </c>
      <c r="S260" s="50" t="str">
        <f>IF($AB260="","",INDEX('ORDER Form'!$N$1:$N$355,$AB260)&amp;"")</f>
        <v/>
      </c>
      <c r="T260" s="50" t="str">
        <f>IF($AB260="","",IF($AD260,T$3,INDEX('ORDER Form'!$O$1:$O$355,$AB260))&amp;"")</f>
        <v/>
      </c>
      <c r="U260" s="50" t="str">
        <f>IF($AB260="","",IF($AD260,U$3,INDEX('ORDER Form'!$P$1:$P$355,$AB260))&amp;"")</f>
        <v/>
      </c>
      <c r="V260" s="50" t="str">
        <f>IF($AB260="","",IF($AD260,V$3,INDEX('ORDER Form'!$Q$1:$Q$355,$AB260))&amp;"")</f>
        <v/>
      </c>
      <c r="W260" s="50" t="str">
        <f>IF($AB260="","",IF($AD260,W$3,INDEX('ORDER Form'!$R$1:$R$355,$AB260))&amp;"")</f>
        <v/>
      </c>
      <c r="X260" s="50" t="str">
        <f>IF($AB260="","",IF($AD260,X$3,INDEX('ORDER Form'!$S$1:$S$355,$AB260))&amp;"")</f>
        <v/>
      </c>
      <c r="Y260" s="50" t="str">
        <f>IF($AB260="","",IF($AD260,Y$3,INDEX('ORDER Form'!$T$1:$T$355,$AB260))&amp;"")</f>
        <v/>
      </c>
      <c r="Z260" s="50" t="str">
        <f>IF($AB260="","",IF($AD260,Z$3,INDEX('ORDER Form'!$U$1:$U$355,$AB260))&amp;"")</f>
        <v/>
      </c>
      <c r="AB260" s="51" t="str">
        <f>IFERROR(MATCH(256,$AC$5:$AC$354,0)+5,"")</f>
        <v/>
      </c>
      <c r="AC260" s="51" t="str">
        <f>IF('ORDER Form'!$V261="OK",COUNTIF('ORDER Form'!$V$6:$V261,"OK"),"")</f>
        <v/>
      </c>
      <c r="AD260" s="51" t="str">
        <f>IF($AB260="","",(LEN(TRIM(INDEX('ORDER Form'!$O$1:$O$355,$AB260)))+LEN(TRIM(INDEX('ORDER Form'!$P$1:$P$355,$AB260)))+LEN(TRIM(INDEX('ORDER Form'!$Q$1:$Q$355,$AB260)))+LEN(TRIM(INDEX('ORDER Form'!$R$1:$R$355,$AB260)))+LEN(TRIM(INDEX('ORDER Form'!$S$1:$S$355,$AB260)))+LEN(TRIM(INDEX('ORDER Form'!$T$1:$T$355,$AB260)))+LEN(TRIM(INDEX('ORDER Form'!$U$1:$U$355,$AB260))))=0)</f>
        <v/>
      </c>
    </row>
    <row r="261" spans="1:30" ht="15" customHeight="1" x14ac:dyDescent="0.25">
      <c r="A261" s="50" t="str">
        <f>IF($AB261="","",IFERROR(IF(AND(INDEX('ORDER Form'!$N$1:$N$355,$AB261)="GB",LEFT(UPPER(TRIM(INDEX('ORDER Form'!$L$1:$L$355,$AB261))),2)="BT"),INDEX('ORDER Form'!$AC$1:$AC$355,$AB261),IFERROR(VLOOKUP(INDEX('ORDER Form'!$AC$1:$AC$355,$AB261)&amp;"|"&amp;INDEX('PRODUCT DATA'!$A$2:$A$58,MATCH(INDEX('ORDER Form'!$N$1:$N$355,$AB261),'PRODUCT DATA'!$B$2:$B$58,0)),'PRODUCT DATA'!$NO$2:$NP$25,2,FALSE()),INDEX('ORDER Form'!$AC$1:$AC$355,$AB261)))&amp;"",""))</f>
        <v/>
      </c>
      <c r="B261" s="49"/>
      <c r="C261" s="51" t="str">
        <f>IF($AB261="","",INDEX('ORDER Form'!$C$1:$C$355,$AB261))</f>
        <v/>
      </c>
      <c r="D261" s="49"/>
      <c r="E261" s="49"/>
      <c r="F261" s="49"/>
      <c r="G261" s="49"/>
      <c r="H261" s="49"/>
      <c r="I261" s="49"/>
      <c r="J261" s="50" t="str">
        <f>IF($AB261="","",INDEX('ORDER Form'!$D$1:$D$355,$AB261)&amp;"")</f>
        <v/>
      </c>
      <c r="K261" s="50" t="str">
        <f>IF($AB261="","",INDEX('ORDER Form'!$E$1:$E$355,$AB261)&amp;"")</f>
        <v/>
      </c>
      <c r="L261" s="50" t="str">
        <f>IF($AB261="","",INDEX('ORDER Form'!$F$1:$F$355,$AB261)&amp;"")</f>
        <v/>
      </c>
      <c r="M261" s="50" t="str">
        <f>IF($AB261="","",INDEX('ORDER Form'!$G$1:$G$355,$AB261)&amp;"")</f>
        <v/>
      </c>
      <c r="N261" s="50" t="str">
        <f>IF($AB261="","",INDEX('ORDER Form'!$H$1:$H$355,$AB261)&amp;"")</f>
        <v/>
      </c>
      <c r="O261" s="50" t="str">
        <f>IF($AB261="","",INDEX('ORDER Form'!$I$1:$I$355,$AB261)&amp;"")</f>
        <v/>
      </c>
      <c r="P261" s="50" t="str">
        <f>IF($AB261="","",INDEX('ORDER Form'!$J$1:$J$355,$AB261)&amp;"")</f>
        <v/>
      </c>
      <c r="Q261" s="50" t="str">
        <f>IF($AB261="","",INDEX('ORDER Form'!$AB$1:$AB$355,$AB261)&amp;"")</f>
        <v/>
      </c>
      <c r="R261" s="50" t="str">
        <f>IF($AB261="","",INDEX('ORDER Form'!$L$1:$L$355,$AB261)&amp;"")</f>
        <v/>
      </c>
      <c r="S261" s="50" t="str">
        <f>IF($AB261="","",INDEX('ORDER Form'!$N$1:$N$355,$AB261)&amp;"")</f>
        <v/>
      </c>
      <c r="T261" s="50" t="str">
        <f>IF($AB261="","",IF($AD261,T$3,INDEX('ORDER Form'!$O$1:$O$355,$AB261))&amp;"")</f>
        <v/>
      </c>
      <c r="U261" s="50" t="str">
        <f>IF($AB261="","",IF($AD261,U$3,INDEX('ORDER Form'!$P$1:$P$355,$AB261))&amp;"")</f>
        <v/>
      </c>
      <c r="V261" s="50" t="str">
        <f>IF($AB261="","",IF($AD261,V$3,INDEX('ORDER Form'!$Q$1:$Q$355,$AB261))&amp;"")</f>
        <v/>
      </c>
      <c r="W261" s="50" t="str">
        <f>IF($AB261="","",IF($AD261,W$3,INDEX('ORDER Form'!$R$1:$R$355,$AB261))&amp;"")</f>
        <v/>
      </c>
      <c r="X261" s="50" t="str">
        <f>IF($AB261="","",IF($AD261,X$3,INDEX('ORDER Form'!$S$1:$S$355,$AB261))&amp;"")</f>
        <v/>
      </c>
      <c r="Y261" s="50" t="str">
        <f>IF($AB261="","",IF($AD261,Y$3,INDEX('ORDER Form'!$T$1:$T$355,$AB261))&amp;"")</f>
        <v/>
      </c>
      <c r="Z261" s="50" t="str">
        <f>IF($AB261="","",IF($AD261,Z$3,INDEX('ORDER Form'!$U$1:$U$355,$AB261))&amp;"")</f>
        <v/>
      </c>
      <c r="AB261" s="51" t="str">
        <f>IFERROR(MATCH(257,$AC$5:$AC$354,0)+5,"")</f>
        <v/>
      </c>
      <c r="AC261" s="51" t="str">
        <f>IF('ORDER Form'!$V262="OK",COUNTIF('ORDER Form'!$V$6:$V262,"OK"),"")</f>
        <v/>
      </c>
      <c r="AD261" s="51" t="str">
        <f>IF($AB261="","",(LEN(TRIM(INDEX('ORDER Form'!$O$1:$O$355,$AB261)))+LEN(TRIM(INDEX('ORDER Form'!$P$1:$P$355,$AB261)))+LEN(TRIM(INDEX('ORDER Form'!$Q$1:$Q$355,$AB261)))+LEN(TRIM(INDEX('ORDER Form'!$R$1:$R$355,$AB261)))+LEN(TRIM(INDEX('ORDER Form'!$S$1:$S$355,$AB261)))+LEN(TRIM(INDEX('ORDER Form'!$T$1:$T$355,$AB261)))+LEN(TRIM(INDEX('ORDER Form'!$U$1:$U$355,$AB261))))=0)</f>
        <v/>
      </c>
    </row>
    <row r="262" spans="1:30" ht="15" customHeight="1" x14ac:dyDescent="0.25">
      <c r="A262" s="50" t="str">
        <f>IF($AB262="","",IFERROR(IF(AND(INDEX('ORDER Form'!$N$1:$N$355,$AB262)="GB",LEFT(UPPER(TRIM(INDEX('ORDER Form'!$L$1:$L$355,$AB262))),2)="BT"),INDEX('ORDER Form'!$AC$1:$AC$355,$AB262),IFERROR(VLOOKUP(INDEX('ORDER Form'!$AC$1:$AC$355,$AB262)&amp;"|"&amp;INDEX('PRODUCT DATA'!$A$2:$A$58,MATCH(INDEX('ORDER Form'!$N$1:$N$355,$AB262),'PRODUCT DATA'!$B$2:$B$58,0)),'PRODUCT DATA'!$NO$2:$NP$25,2,FALSE()),INDEX('ORDER Form'!$AC$1:$AC$355,$AB262)))&amp;"",""))</f>
        <v/>
      </c>
      <c r="B262" s="49"/>
      <c r="C262" s="51" t="str">
        <f>IF($AB262="","",INDEX('ORDER Form'!$C$1:$C$355,$AB262))</f>
        <v/>
      </c>
      <c r="D262" s="49"/>
      <c r="E262" s="49"/>
      <c r="F262" s="49"/>
      <c r="G262" s="49"/>
      <c r="H262" s="49"/>
      <c r="I262" s="49"/>
      <c r="J262" s="50" t="str">
        <f>IF($AB262="","",INDEX('ORDER Form'!$D$1:$D$355,$AB262)&amp;"")</f>
        <v/>
      </c>
      <c r="K262" s="50" t="str">
        <f>IF($AB262="","",INDEX('ORDER Form'!$E$1:$E$355,$AB262)&amp;"")</f>
        <v/>
      </c>
      <c r="L262" s="50" t="str">
        <f>IF($AB262="","",INDEX('ORDER Form'!$F$1:$F$355,$AB262)&amp;"")</f>
        <v/>
      </c>
      <c r="M262" s="50" t="str">
        <f>IF($AB262="","",INDEX('ORDER Form'!$G$1:$G$355,$AB262)&amp;"")</f>
        <v/>
      </c>
      <c r="N262" s="50" t="str">
        <f>IF($AB262="","",INDEX('ORDER Form'!$H$1:$H$355,$AB262)&amp;"")</f>
        <v/>
      </c>
      <c r="O262" s="50" t="str">
        <f>IF($AB262="","",INDEX('ORDER Form'!$I$1:$I$355,$AB262)&amp;"")</f>
        <v/>
      </c>
      <c r="P262" s="50" t="str">
        <f>IF($AB262="","",INDEX('ORDER Form'!$J$1:$J$355,$AB262)&amp;"")</f>
        <v/>
      </c>
      <c r="Q262" s="50" t="str">
        <f>IF($AB262="","",INDEX('ORDER Form'!$AB$1:$AB$355,$AB262)&amp;"")</f>
        <v/>
      </c>
      <c r="R262" s="50" t="str">
        <f>IF($AB262="","",INDEX('ORDER Form'!$L$1:$L$355,$AB262)&amp;"")</f>
        <v/>
      </c>
      <c r="S262" s="50" t="str">
        <f>IF($AB262="","",INDEX('ORDER Form'!$N$1:$N$355,$AB262)&amp;"")</f>
        <v/>
      </c>
      <c r="T262" s="50" t="str">
        <f>IF($AB262="","",IF($AD262,T$3,INDEX('ORDER Form'!$O$1:$O$355,$AB262))&amp;"")</f>
        <v/>
      </c>
      <c r="U262" s="50" t="str">
        <f>IF($AB262="","",IF($AD262,U$3,INDEX('ORDER Form'!$P$1:$P$355,$AB262))&amp;"")</f>
        <v/>
      </c>
      <c r="V262" s="50" t="str">
        <f>IF($AB262="","",IF($AD262,V$3,INDEX('ORDER Form'!$Q$1:$Q$355,$AB262))&amp;"")</f>
        <v/>
      </c>
      <c r="W262" s="50" t="str">
        <f>IF($AB262="","",IF($AD262,W$3,INDEX('ORDER Form'!$R$1:$R$355,$AB262))&amp;"")</f>
        <v/>
      </c>
      <c r="X262" s="50" t="str">
        <f>IF($AB262="","",IF($AD262,X$3,INDEX('ORDER Form'!$S$1:$S$355,$AB262))&amp;"")</f>
        <v/>
      </c>
      <c r="Y262" s="50" t="str">
        <f>IF($AB262="","",IF($AD262,Y$3,INDEX('ORDER Form'!$T$1:$T$355,$AB262))&amp;"")</f>
        <v/>
      </c>
      <c r="Z262" s="50" t="str">
        <f>IF($AB262="","",IF($AD262,Z$3,INDEX('ORDER Form'!$U$1:$U$355,$AB262))&amp;"")</f>
        <v/>
      </c>
      <c r="AB262" s="51" t="str">
        <f>IFERROR(MATCH(258,$AC$5:$AC$354,0)+5,"")</f>
        <v/>
      </c>
      <c r="AC262" s="51" t="str">
        <f>IF('ORDER Form'!$V263="OK",COUNTIF('ORDER Form'!$V$6:$V263,"OK"),"")</f>
        <v/>
      </c>
      <c r="AD262" s="51" t="str">
        <f>IF($AB262="","",(LEN(TRIM(INDEX('ORDER Form'!$O$1:$O$355,$AB262)))+LEN(TRIM(INDEX('ORDER Form'!$P$1:$P$355,$AB262)))+LEN(TRIM(INDEX('ORDER Form'!$Q$1:$Q$355,$AB262)))+LEN(TRIM(INDEX('ORDER Form'!$R$1:$R$355,$AB262)))+LEN(TRIM(INDEX('ORDER Form'!$S$1:$S$355,$AB262)))+LEN(TRIM(INDEX('ORDER Form'!$T$1:$T$355,$AB262)))+LEN(TRIM(INDEX('ORDER Form'!$U$1:$U$355,$AB262))))=0)</f>
        <v/>
      </c>
    </row>
    <row r="263" spans="1:30" ht="15" customHeight="1" x14ac:dyDescent="0.25">
      <c r="A263" s="50" t="str">
        <f>IF($AB263="","",IFERROR(IF(AND(INDEX('ORDER Form'!$N$1:$N$355,$AB263)="GB",LEFT(UPPER(TRIM(INDEX('ORDER Form'!$L$1:$L$355,$AB263))),2)="BT"),INDEX('ORDER Form'!$AC$1:$AC$355,$AB263),IFERROR(VLOOKUP(INDEX('ORDER Form'!$AC$1:$AC$355,$AB263)&amp;"|"&amp;INDEX('PRODUCT DATA'!$A$2:$A$58,MATCH(INDEX('ORDER Form'!$N$1:$N$355,$AB263),'PRODUCT DATA'!$B$2:$B$58,0)),'PRODUCT DATA'!$NO$2:$NP$25,2,FALSE()),INDEX('ORDER Form'!$AC$1:$AC$355,$AB263)))&amp;"",""))</f>
        <v/>
      </c>
      <c r="B263" s="49"/>
      <c r="C263" s="51" t="str">
        <f>IF($AB263="","",INDEX('ORDER Form'!$C$1:$C$355,$AB263))</f>
        <v/>
      </c>
      <c r="D263" s="49"/>
      <c r="E263" s="49"/>
      <c r="F263" s="49"/>
      <c r="G263" s="49"/>
      <c r="H263" s="49"/>
      <c r="I263" s="49"/>
      <c r="J263" s="50" t="str">
        <f>IF($AB263="","",INDEX('ORDER Form'!$D$1:$D$355,$AB263)&amp;"")</f>
        <v/>
      </c>
      <c r="K263" s="50" t="str">
        <f>IF($AB263="","",INDEX('ORDER Form'!$E$1:$E$355,$AB263)&amp;"")</f>
        <v/>
      </c>
      <c r="L263" s="50" t="str">
        <f>IF($AB263="","",INDEX('ORDER Form'!$F$1:$F$355,$AB263)&amp;"")</f>
        <v/>
      </c>
      <c r="M263" s="50" t="str">
        <f>IF($AB263="","",INDEX('ORDER Form'!$G$1:$G$355,$AB263)&amp;"")</f>
        <v/>
      </c>
      <c r="N263" s="50" t="str">
        <f>IF($AB263="","",INDEX('ORDER Form'!$H$1:$H$355,$AB263)&amp;"")</f>
        <v/>
      </c>
      <c r="O263" s="50" t="str">
        <f>IF($AB263="","",INDEX('ORDER Form'!$I$1:$I$355,$AB263)&amp;"")</f>
        <v/>
      </c>
      <c r="P263" s="50" t="str">
        <f>IF($AB263="","",INDEX('ORDER Form'!$J$1:$J$355,$AB263)&amp;"")</f>
        <v/>
      </c>
      <c r="Q263" s="50" t="str">
        <f>IF($AB263="","",INDEX('ORDER Form'!$AB$1:$AB$355,$AB263)&amp;"")</f>
        <v/>
      </c>
      <c r="R263" s="50" t="str">
        <f>IF($AB263="","",INDEX('ORDER Form'!$L$1:$L$355,$AB263)&amp;"")</f>
        <v/>
      </c>
      <c r="S263" s="50" t="str">
        <f>IF($AB263="","",INDEX('ORDER Form'!$N$1:$N$355,$AB263)&amp;"")</f>
        <v/>
      </c>
      <c r="T263" s="50" t="str">
        <f>IF($AB263="","",IF($AD263,T$3,INDEX('ORDER Form'!$O$1:$O$355,$AB263))&amp;"")</f>
        <v/>
      </c>
      <c r="U263" s="50" t="str">
        <f>IF($AB263="","",IF($AD263,U$3,INDEX('ORDER Form'!$P$1:$P$355,$AB263))&amp;"")</f>
        <v/>
      </c>
      <c r="V263" s="50" t="str">
        <f>IF($AB263="","",IF($AD263,V$3,INDEX('ORDER Form'!$Q$1:$Q$355,$AB263))&amp;"")</f>
        <v/>
      </c>
      <c r="W263" s="50" t="str">
        <f>IF($AB263="","",IF($AD263,W$3,INDEX('ORDER Form'!$R$1:$R$355,$AB263))&amp;"")</f>
        <v/>
      </c>
      <c r="X263" s="50" t="str">
        <f>IF($AB263="","",IF($AD263,X$3,INDEX('ORDER Form'!$S$1:$S$355,$AB263))&amp;"")</f>
        <v/>
      </c>
      <c r="Y263" s="50" t="str">
        <f>IF($AB263="","",IF($AD263,Y$3,INDEX('ORDER Form'!$T$1:$T$355,$AB263))&amp;"")</f>
        <v/>
      </c>
      <c r="Z263" s="50" t="str">
        <f>IF($AB263="","",IF($AD263,Z$3,INDEX('ORDER Form'!$U$1:$U$355,$AB263))&amp;"")</f>
        <v/>
      </c>
      <c r="AB263" s="51" t="str">
        <f>IFERROR(MATCH(259,$AC$5:$AC$354,0)+5,"")</f>
        <v/>
      </c>
      <c r="AC263" s="51" t="str">
        <f>IF('ORDER Form'!$V264="OK",COUNTIF('ORDER Form'!$V$6:$V264,"OK"),"")</f>
        <v/>
      </c>
      <c r="AD263" s="51" t="str">
        <f>IF($AB263="","",(LEN(TRIM(INDEX('ORDER Form'!$O$1:$O$355,$AB263)))+LEN(TRIM(INDEX('ORDER Form'!$P$1:$P$355,$AB263)))+LEN(TRIM(INDEX('ORDER Form'!$Q$1:$Q$355,$AB263)))+LEN(TRIM(INDEX('ORDER Form'!$R$1:$R$355,$AB263)))+LEN(TRIM(INDEX('ORDER Form'!$S$1:$S$355,$AB263)))+LEN(TRIM(INDEX('ORDER Form'!$T$1:$T$355,$AB263)))+LEN(TRIM(INDEX('ORDER Form'!$U$1:$U$355,$AB263))))=0)</f>
        <v/>
      </c>
    </row>
    <row r="264" spans="1:30" ht="15" customHeight="1" x14ac:dyDescent="0.25">
      <c r="A264" s="50" t="str">
        <f>IF($AB264="","",IFERROR(IF(AND(INDEX('ORDER Form'!$N$1:$N$355,$AB264)="GB",LEFT(UPPER(TRIM(INDEX('ORDER Form'!$L$1:$L$355,$AB264))),2)="BT"),INDEX('ORDER Form'!$AC$1:$AC$355,$AB264),IFERROR(VLOOKUP(INDEX('ORDER Form'!$AC$1:$AC$355,$AB264)&amp;"|"&amp;INDEX('PRODUCT DATA'!$A$2:$A$58,MATCH(INDEX('ORDER Form'!$N$1:$N$355,$AB264),'PRODUCT DATA'!$B$2:$B$58,0)),'PRODUCT DATA'!$NO$2:$NP$25,2,FALSE()),INDEX('ORDER Form'!$AC$1:$AC$355,$AB264)))&amp;"",""))</f>
        <v/>
      </c>
      <c r="B264" s="49"/>
      <c r="C264" s="51" t="str">
        <f>IF($AB264="","",INDEX('ORDER Form'!$C$1:$C$355,$AB264))</f>
        <v/>
      </c>
      <c r="D264" s="49"/>
      <c r="E264" s="49"/>
      <c r="F264" s="49"/>
      <c r="G264" s="49"/>
      <c r="H264" s="49"/>
      <c r="I264" s="49"/>
      <c r="J264" s="50" t="str">
        <f>IF($AB264="","",INDEX('ORDER Form'!$D$1:$D$355,$AB264)&amp;"")</f>
        <v/>
      </c>
      <c r="K264" s="50" t="str">
        <f>IF($AB264="","",INDEX('ORDER Form'!$E$1:$E$355,$AB264)&amp;"")</f>
        <v/>
      </c>
      <c r="L264" s="50" t="str">
        <f>IF($AB264="","",INDEX('ORDER Form'!$F$1:$F$355,$AB264)&amp;"")</f>
        <v/>
      </c>
      <c r="M264" s="50" t="str">
        <f>IF($AB264="","",INDEX('ORDER Form'!$G$1:$G$355,$AB264)&amp;"")</f>
        <v/>
      </c>
      <c r="N264" s="50" t="str">
        <f>IF($AB264="","",INDEX('ORDER Form'!$H$1:$H$355,$AB264)&amp;"")</f>
        <v/>
      </c>
      <c r="O264" s="50" t="str">
        <f>IF($AB264="","",INDEX('ORDER Form'!$I$1:$I$355,$AB264)&amp;"")</f>
        <v/>
      </c>
      <c r="P264" s="50" t="str">
        <f>IF($AB264="","",INDEX('ORDER Form'!$J$1:$J$355,$AB264)&amp;"")</f>
        <v/>
      </c>
      <c r="Q264" s="50" t="str">
        <f>IF($AB264="","",INDEX('ORDER Form'!$AB$1:$AB$355,$AB264)&amp;"")</f>
        <v/>
      </c>
      <c r="R264" s="50" t="str">
        <f>IF($AB264="","",INDEX('ORDER Form'!$L$1:$L$355,$AB264)&amp;"")</f>
        <v/>
      </c>
      <c r="S264" s="50" t="str">
        <f>IF($AB264="","",INDEX('ORDER Form'!$N$1:$N$355,$AB264)&amp;"")</f>
        <v/>
      </c>
      <c r="T264" s="50" t="str">
        <f>IF($AB264="","",IF($AD264,T$3,INDEX('ORDER Form'!$O$1:$O$355,$AB264))&amp;"")</f>
        <v/>
      </c>
      <c r="U264" s="50" t="str">
        <f>IF($AB264="","",IF($AD264,U$3,INDEX('ORDER Form'!$P$1:$P$355,$AB264))&amp;"")</f>
        <v/>
      </c>
      <c r="V264" s="50" t="str">
        <f>IF($AB264="","",IF($AD264,V$3,INDEX('ORDER Form'!$Q$1:$Q$355,$AB264))&amp;"")</f>
        <v/>
      </c>
      <c r="W264" s="50" t="str">
        <f>IF($AB264="","",IF($AD264,W$3,INDEX('ORDER Form'!$R$1:$R$355,$AB264))&amp;"")</f>
        <v/>
      </c>
      <c r="X264" s="50" t="str">
        <f>IF($AB264="","",IF($AD264,X$3,INDEX('ORDER Form'!$S$1:$S$355,$AB264))&amp;"")</f>
        <v/>
      </c>
      <c r="Y264" s="50" t="str">
        <f>IF($AB264="","",IF($AD264,Y$3,INDEX('ORDER Form'!$T$1:$T$355,$AB264))&amp;"")</f>
        <v/>
      </c>
      <c r="Z264" s="50" t="str">
        <f>IF($AB264="","",IF($AD264,Z$3,INDEX('ORDER Form'!$U$1:$U$355,$AB264))&amp;"")</f>
        <v/>
      </c>
      <c r="AB264" s="51" t="str">
        <f>IFERROR(MATCH(260,$AC$5:$AC$354,0)+5,"")</f>
        <v/>
      </c>
      <c r="AC264" s="51" t="str">
        <f>IF('ORDER Form'!$V265="OK",COUNTIF('ORDER Form'!$V$6:$V265,"OK"),"")</f>
        <v/>
      </c>
      <c r="AD264" s="51" t="str">
        <f>IF($AB264="","",(LEN(TRIM(INDEX('ORDER Form'!$O$1:$O$355,$AB264)))+LEN(TRIM(INDEX('ORDER Form'!$P$1:$P$355,$AB264)))+LEN(TRIM(INDEX('ORDER Form'!$Q$1:$Q$355,$AB264)))+LEN(TRIM(INDEX('ORDER Form'!$R$1:$R$355,$AB264)))+LEN(TRIM(INDEX('ORDER Form'!$S$1:$S$355,$AB264)))+LEN(TRIM(INDEX('ORDER Form'!$T$1:$T$355,$AB264)))+LEN(TRIM(INDEX('ORDER Form'!$U$1:$U$355,$AB264))))=0)</f>
        <v/>
      </c>
    </row>
    <row r="265" spans="1:30" ht="15" customHeight="1" x14ac:dyDescent="0.25">
      <c r="A265" s="50" t="str">
        <f>IF($AB265="","",IFERROR(IF(AND(INDEX('ORDER Form'!$N$1:$N$355,$AB265)="GB",LEFT(UPPER(TRIM(INDEX('ORDER Form'!$L$1:$L$355,$AB265))),2)="BT"),INDEX('ORDER Form'!$AC$1:$AC$355,$AB265),IFERROR(VLOOKUP(INDEX('ORDER Form'!$AC$1:$AC$355,$AB265)&amp;"|"&amp;INDEX('PRODUCT DATA'!$A$2:$A$58,MATCH(INDEX('ORDER Form'!$N$1:$N$355,$AB265),'PRODUCT DATA'!$B$2:$B$58,0)),'PRODUCT DATA'!$NO$2:$NP$25,2,FALSE()),INDEX('ORDER Form'!$AC$1:$AC$355,$AB265)))&amp;"",""))</f>
        <v/>
      </c>
      <c r="B265" s="49"/>
      <c r="C265" s="51" t="str">
        <f>IF($AB265="","",INDEX('ORDER Form'!$C$1:$C$355,$AB265))</f>
        <v/>
      </c>
      <c r="D265" s="49"/>
      <c r="E265" s="49"/>
      <c r="F265" s="49"/>
      <c r="G265" s="49"/>
      <c r="H265" s="49"/>
      <c r="I265" s="49"/>
      <c r="J265" s="50" t="str">
        <f>IF($AB265="","",INDEX('ORDER Form'!$D$1:$D$355,$AB265)&amp;"")</f>
        <v/>
      </c>
      <c r="K265" s="50" t="str">
        <f>IF($AB265="","",INDEX('ORDER Form'!$E$1:$E$355,$AB265)&amp;"")</f>
        <v/>
      </c>
      <c r="L265" s="50" t="str">
        <f>IF($AB265="","",INDEX('ORDER Form'!$F$1:$F$355,$AB265)&amp;"")</f>
        <v/>
      </c>
      <c r="M265" s="50" t="str">
        <f>IF($AB265="","",INDEX('ORDER Form'!$G$1:$G$355,$AB265)&amp;"")</f>
        <v/>
      </c>
      <c r="N265" s="50" t="str">
        <f>IF($AB265="","",INDEX('ORDER Form'!$H$1:$H$355,$AB265)&amp;"")</f>
        <v/>
      </c>
      <c r="O265" s="50" t="str">
        <f>IF($AB265="","",INDEX('ORDER Form'!$I$1:$I$355,$AB265)&amp;"")</f>
        <v/>
      </c>
      <c r="P265" s="50" t="str">
        <f>IF($AB265="","",INDEX('ORDER Form'!$J$1:$J$355,$AB265)&amp;"")</f>
        <v/>
      </c>
      <c r="Q265" s="50" t="str">
        <f>IF($AB265="","",INDEX('ORDER Form'!$AB$1:$AB$355,$AB265)&amp;"")</f>
        <v/>
      </c>
      <c r="R265" s="50" t="str">
        <f>IF($AB265="","",INDEX('ORDER Form'!$L$1:$L$355,$AB265)&amp;"")</f>
        <v/>
      </c>
      <c r="S265" s="50" t="str">
        <f>IF($AB265="","",INDEX('ORDER Form'!$N$1:$N$355,$AB265)&amp;"")</f>
        <v/>
      </c>
      <c r="T265" s="50" t="str">
        <f>IF($AB265="","",IF($AD265,T$3,INDEX('ORDER Form'!$O$1:$O$355,$AB265))&amp;"")</f>
        <v/>
      </c>
      <c r="U265" s="50" t="str">
        <f>IF($AB265="","",IF($AD265,U$3,INDEX('ORDER Form'!$P$1:$P$355,$AB265))&amp;"")</f>
        <v/>
      </c>
      <c r="V265" s="50" t="str">
        <f>IF($AB265="","",IF($AD265,V$3,INDEX('ORDER Form'!$Q$1:$Q$355,$AB265))&amp;"")</f>
        <v/>
      </c>
      <c r="W265" s="50" t="str">
        <f>IF($AB265="","",IF($AD265,W$3,INDEX('ORDER Form'!$R$1:$R$355,$AB265))&amp;"")</f>
        <v/>
      </c>
      <c r="X265" s="50" t="str">
        <f>IF($AB265="","",IF($AD265,X$3,INDEX('ORDER Form'!$S$1:$S$355,$AB265))&amp;"")</f>
        <v/>
      </c>
      <c r="Y265" s="50" t="str">
        <f>IF($AB265="","",IF($AD265,Y$3,INDEX('ORDER Form'!$T$1:$T$355,$AB265))&amp;"")</f>
        <v/>
      </c>
      <c r="Z265" s="50" t="str">
        <f>IF($AB265="","",IF($AD265,Z$3,INDEX('ORDER Form'!$U$1:$U$355,$AB265))&amp;"")</f>
        <v/>
      </c>
      <c r="AB265" s="51" t="str">
        <f>IFERROR(MATCH(261,$AC$5:$AC$354,0)+5,"")</f>
        <v/>
      </c>
      <c r="AC265" s="51" t="str">
        <f>IF('ORDER Form'!$V266="OK",COUNTIF('ORDER Form'!$V$6:$V266,"OK"),"")</f>
        <v/>
      </c>
      <c r="AD265" s="51" t="str">
        <f>IF($AB265="","",(LEN(TRIM(INDEX('ORDER Form'!$O$1:$O$355,$AB265)))+LEN(TRIM(INDEX('ORDER Form'!$P$1:$P$355,$AB265)))+LEN(TRIM(INDEX('ORDER Form'!$Q$1:$Q$355,$AB265)))+LEN(TRIM(INDEX('ORDER Form'!$R$1:$R$355,$AB265)))+LEN(TRIM(INDEX('ORDER Form'!$S$1:$S$355,$AB265)))+LEN(TRIM(INDEX('ORDER Form'!$T$1:$T$355,$AB265)))+LEN(TRIM(INDEX('ORDER Form'!$U$1:$U$355,$AB265))))=0)</f>
        <v/>
      </c>
    </row>
    <row r="266" spans="1:30" ht="15" customHeight="1" x14ac:dyDescent="0.25">
      <c r="A266" s="50" t="str">
        <f>IF($AB266="","",IFERROR(IF(AND(INDEX('ORDER Form'!$N$1:$N$355,$AB266)="GB",LEFT(UPPER(TRIM(INDEX('ORDER Form'!$L$1:$L$355,$AB266))),2)="BT"),INDEX('ORDER Form'!$AC$1:$AC$355,$AB266),IFERROR(VLOOKUP(INDEX('ORDER Form'!$AC$1:$AC$355,$AB266)&amp;"|"&amp;INDEX('PRODUCT DATA'!$A$2:$A$58,MATCH(INDEX('ORDER Form'!$N$1:$N$355,$AB266),'PRODUCT DATA'!$B$2:$B$58,0)),'PRODUCT DATA'!$NO$2:$NP$25,2,FALSE()),INDEX('ORDER Form'!$AC$1:$AC$355,$AB266)))&amp;"",""))</f>
        <v/>
      </c>
      <c r="B266" s="49"/>
      <c r="C266" s="51" t="str">
        <f>IF($AB266="","",INDEX('ORDER Form'!$C$1:$C$355,$AB266))</f>
        <v/>
      </c>
      <c r="D266" s="49"/>
      <c r="E266" s="49"/>
      <c r="F266" s="49"/>
      <c r="G266" s="49"/>
      <c r="H266" s="49"/>
      <c r="I266" s="49"/>
      <c r="J266" s="50" t="str">
        <f>IF($AB266="","",INDEX('ORDER Form'!$D$1:$D$355,$AB266)&amp;"")</f>
        <v/>
      </c>
      <c r="K266" s="50" t="str">
        <f>IF($AB266="","",INDEX('ORDER Form'!$E$1:$E$355,$AB266)&amp;"")</f>
        <v/>
      </c>
      <c r="L266" s="50" t="str">
        <f>IF($AB266="","",INDEX('ORDER Form'!$F$1:$F$355,$AB266)&amp;"")</f>
        <v/>
      </c>
      <c r="M266" s="50" t="str">
        <f>IF($AB266="","",INDEX('ORDER Form'!$G$1:$G$355,$AB266)&amp;"")</f>
        <v/>
      </c>
      <c r="N266" s="50" t="str">
        <f>IF($AB266="","",INDEX('ORDER Form'!$H$1:$H$355,$AB266)&amp;"")</f>
        <v/>
      </c>
      <c r="O266" s="50" t="str">
        <f>IF($AB266="","",INDEX('ORDER Form'!$I$1:$I$355,$AB266)&amp;"")</f>
        <v/>
      </c>
      <c r="P266" s="50" t="str">
        <f>IF($AB266="","",INDEX('ORDER Form'!$J$1:$J$355,$AB266)&amp;"")</f>
        <v/>
      </c>
      <c r="Q266" s="50" t="str">
        <f>IF($AB266="","",INDEX('ORDER Form'!$AB$1:$AB$355,$AB266)&amp;"")</f>
        <v/>
      </c>
      <c r="R266" s="50" t="str">
        <f>IF($AB266="","",INDEX('ORDER Form'!$L$1:$L$355,$AB266)&amp;"")</f>
        <v/>
      </c>
      <c r="S266" s="50" t="str">
        <f>IF($AB266="","",INDEX('ORDER Form'!$N$1:$N$355,$AB266)&amp;"")</f>
        <v/>
      </c>
      <c r="T266" s="50" t="str">
        <f>IF($AB266="","",IF($AD266,T$3,INDEX('ORDER Form'!$O$1:$O$355,$AB266))&amp;"")</f>
        <v/>
      </c>
      <c r="U266" s="50" t="str">
        <f>IF($AB266="","",IF($AD266,U$3,INDEX('ORDER Form'!$P$1:$P$355,$AB266))&amp;"")</f>
        <v/>
      </c>
      <c r="V266" s="50" t="str">
        <f>IF($AB266="","",IF($AD266,V$3,INDEX('ORDER Form'!$Q$1:$Q$355,$AB266))&amp;"")</f>
        <v/>
      </c>
      <c r="W266" s="50" t="str">
        <f>IF($AB266="","",IF($AD266,W$3,INDEX('ORDER Form'!$R$1:$R$355,$AB266))&amp;"")</f>
        <v/>
      </c>
      <c r="X266" s="50" t="str">
        <f>IF($AB266="","",IF($AD266,X$3,INDEX('ORDER Form'!$S$1:$S$355,$AB266))&amp;"")</f>
        <v/>
      </c>
      <c r="Y266" s="50" t="str">
        <f>IF($AB266="","",IF($AD266,Y$3,INDEX('ORDER Form'!$T$1:$T$355,$AB266))&amp;"")</f>
        <v/>
      </c>
      <c r="Z266" s="50" t="str">
        <f>IF($AB266="","",IF($AD266,Z$3,INDEX('ORDER Form'!$U$1:$U$355,$AB266))&amp;"")</f>
        <v/>
      </c>
      <c r="AB266" s="51" t="str">
        <f>IFERROR(MATCH(262,$AC$5:$AC$354,0)+5,"")</f>
        <v/>
      </c>
      <c r="AC266" s="51" t="str">
        <f>IF('ORDER Form'!$V267="OK",COUNTIF('ORDER Form'!$V$6:$V267,"OK"),"")</f>
        <v/>
      </c>
      <c r="AD266" s="51" t="str">
        <f>IF($AB266="","",(LEN(TRIM(INDEX('ORDER Form'!$O$1:$O$355,$AB266)))+LEN(TRIM(INDEX('ORDER Form'!$P$1:$P$355,$AB266)))+LEN(TRIM(INDEX('ORDER Form'!$Q$1:$Q$355,$AB266)))+LEN(TRIM(INDEX('ORDER Form'!$R$1:$R$355,$AB266)))+LEN(TRIM(INDEX('ORDER Form'!$S$1:$S$355,$AB266)))+LEN(TRIM(INDEX('ORDER Form'!$T$1:$T$355,$AB266)))+LEN(TRIM(INDEX('ORDER Form'!$U$1:$U$355,$AB266))))=0)</f>
        <v/>
      </c>
    </row>
    <row r="267" spans="1:30" ht="15" customHeight="1" x14ac:dyDescent="0.25">
      <c r="A267" s="50" t="str">
        <f>IF($AB267="","",IFERROR(IF(AND(INDEX('ORDER Form'!$N$1:$N$355,$AB267)="GB",LEFT(UPPER(TRIM(INDEX('ORDER Form'!$L$1:$L$355,$AB267))),2)="BT"),INDEX('ORDER Form'!$AC$1:$AC$355,$AB267),IFERROR(VLOOKUP(INDEX('ORDER Form'!$AC$1:$AC$355,$AB267)&amp;"|"&amp;INDEX('PRODUCT DATA'!$A$2:$A$58,MATCH(INDEX('ORDER Form'!$N$1:$N$355,$AB267),'PRODUCT DATA'!$B$2:$B$58,0)),'PRODUCT DATA'!$NO$2:$NP$25,2,FALSE()),INDEX('ORDER Form'!$AC$1:$AC$355,$AB267)))&amp;"",""))</f>
        <v/>
      </c>
      <c r="B267" s="49"/>
      <c r="C267" s="51" t="str">
        <f>IF($AB267="","",INDEX('ORDER Form'!$C$1:$C$355,$AB267))</f>
        <v/>
      </c>
      <c r="D267" s="49"/>
      <c r="E267" s="49"/>
      <c r="F267" s="49"/>
      <c r="G267" s="49"/>
      <c r="H267" s="49"/>
      <c r="I267" s="49"/>
      <c r="J267" s="50" t="str">
        <f>IF($AB267="","",INDEX('ORDER Form'!$D$1:$D$355,$AB267)&amp;"")</f>
        <v/>
      </c>
      <c r="K267" s="50" t="str">
        <f>IF($AB267="","",INDEX('ORDER Form'!$E$1:$E$355,$AB267)&amp;"")</f>
        <v/>
      </c>
      <c r="L267" s="50" t="str">
        <f>IF($AB267="","",INDEX('ORDER Form'!$F$1:$F$355,$AB267)&amp;"")</f>
        <v/>
      </c>
      <c r="M267" s="50" t="str">
        <f>IF($AB267="","",INDEX('ORDER Form'!$G$1:$G$355,$AB267)&amp;"")</f>
        <v/>
      </c>
      <c r="N267" s="50" t="str">
        <f>IF($AB267="","",INDEX('ORDER Form'!$H$1:$H$355,$AB267)&amp;"")</f>
        <v/>
      </c>
      <c r="O267" s="50" t="str">
        <f>IF($AB267="","",INDEX('ORDER Form'!$I$1:$I$355,$AB267)&amp;"")</f>
        <v/>
      </c>
      <c r="P267" s="50" t="str">
        <f>IF($AB267="","",INDEX('ORDER Form'!$J$1:$J$355,$AB267)&amp;"")</f>
        <v/>
      </c>
      <c r="Q267" s="50" t="str">
        <f>IF($AB267="","",INDEX('ORDER Form'!$AB$1:$AB$355,$AB267)&amp;"")</f>
        <v/>
      </c>
      <c r="R267" s="50" t="str">
        <f>IF($AB267="","",INDEX('ORDER Form'!$L$1:$L$355,$AB267)&amp;"")</f>
        <v/>
      </c>
      <c r="S267" s="50" t="str">
        <f>IF($AB267="","",INDEX('ORDER Form'!$N$1:$N$355,$AB267)&amp;"")</f>
        <v/>
      </c>
      <c r="T267" s="50" t="str">
        <f>IF($AB267="","",IF($AD267,T$3,INDEX('ORDER Form'!$O$1:$O$355,$AB267))&amp;"")</f>
        <v/>
      </c>
      <c r="U267" s="50" t="str">
        <f>IF($AB267="","",IF($AD267,U$3,INDEX('ORDER Form'!$P$1:$P$355,$AB267))&amp;"")</f>
        <v/>
      </c>
      <c r="V267" s="50" t="str">
        <f>IF($AB267="","",IF($AD267,V$3,INDEX('ORDER Form'!$Q$1:$Q$355,$AB267))&amp;"")</f>
        <v/>
      </c>
      <c r="W267" s="50" t="str">
        <f>IF($AB267="","",IF($AD267,W$3,INDEX('ORDER Form'!$R$1:$R$355,$AB267))&amp;"")</f>
        <v/>
      </c>
      <c r="X267" s="50" t="str">
        <f>IF($AB267="","",IF($AD267,X$3,INDEX('ORDER Form'!$S$1:$S$355,$AB267))&amp;"")</f>
        <v/>
      </c>
      <c r="Y267" s="50" t="str">
        <f>IF($AB267="","",IF($AD267,Y$3,INDEX('ORDER Form'!$T$1:$T$355,$AB267))&amp;"")</f>
        <v/>
      </c>
      <c r="Z267" s="50" t="str">
        <f>IF($AB267="","",IF($AD267,Z$3,INDEX('ORDER Form'!$U$1:$U$355,$AB267))&amp;"")</f>
        <v/>
      </c>
      <c r="AB267" s="51" t="str">
        <f>IFERROR(MATCH(263,$AC$5:$AC$354,0)+5,"")</f>
        <v/>
      </c>
      <c r="AC267" s="51" t="str">
        <f>IF('ORDER Form'!$V268="OK",COUNTIF('ORDER Form'!$V$6:$V268,"OK"),"")</f>
        <v/>
      </c>
      <c r="AD267" s="51" t="str">
        <f>IF($AB267="","",(LEN(TRIM(INDEX('ORDER Form'!$O$1:$O$355,$AB267)))+LEN(TRIM(INDEX('ORDER Form'!$P$1:$P$355,$AB267)))+LEN(TRIM(INDEX('ORDER Form'!$Q$1:$Q$355,$AB267)))+LEN(TRIM(INDEX('ORDER Form'!$R$1:$R$355,$AB267)))+LEN(TRIM(INDEX('ORDER Form'!$S$1:$S$355,$AB267)))+LEN(TRIM(INDEX('ORDER Form'!$T$1:$T$355,$AB267)))+LEN(TRIM(INDEX('ORDER Form'!$U$1:$U$355,$AB267))))=0)</f>
        <v/>
      </c>
    </row>
    <row r="268" spans="1:30" ht="15" customHeight="1" x14ac:dyDescent="0.25">
      <c r="A268" s="50" t="str">
        <f>IF($AB268="","",IFERROR(IF(AND(INDEX('ORDER Form'!$N$1:$N$355,$AB268)="GB",LEFT(UPPER(TRIM(INDEX('ORDER Form'!$L$1:$L$355,$AB268))),2)="BT"),INDEX('ORDER Form'!$AC$1:$AC$355,$AB268),IFERROR(VLOOKUP(INDEX('ORDER Form'!$AC$1:$AC$355,$AB268)&amp;"|"&amp;INDEX('PRODUCT DATA'!$A$2:$A$58,MATCH(INDEX('ORDER Form'!$N$1:$N$355,$AB268),'PRODUCT DATA'!$B$2:$B$58,0)),'PRODUCT DATA'!$NO$2:$NP$25,2,FALSE()),INDEX('ORDER Form'!$AC$1:$AC$355,$AB268)))&amp;"",""))</f>
        <v/>
      </c>
      <c r="B268" s="49"/>
      <c r="C268" s="51" t="str">
        <f>IF($AB268="","",INDEX('ORDER Form'!$C$1:$C$355,$AB268))</f>
        <v/>
      </c>
      <c r="D268" s="49"/>
      <c r="E268" s="49"/>
      <c r="F268" s="49"/>
      <c r="G268" s="49"/>
      <c r="H268" s="49"/>
      <c r="I268" s="49"/>
      <c r="J268" s="50" t="str">
        <f>IF($AB268="","",INDEX('ORDER Form'!$D$1:$D$355,$AB268)&amp;"")</f>
        <v/>
      </c>
      <c r="K268" s="50" t="str">
        <f>IF($AB268="","",INDEX('ORDER Form'!$E$1:$E$355,$AB268)&amp;"")</f>
        <v/>
      </c>
      <c r="L268" s="50" t="str">
        <f>IF($AB268="","",INDEX('ORDER Form'!$F$1:$F$355,$AB268)&amp;"")</f>
        <v/>
      </c>
      <c r="M268" s="50" t="str">
        <f>IF($AB268="","",INDEX('ORDER Form'!$G$1:$G$355,$AB268)&amp;"")</f>
        <v/>
      </c>
      <c r="N268" s="50" t="str">
        <f>IF($AB268="","",INDEX('ORDER Form'!$H$1:$H$355,$AB268)&amp;"")</f>
        <v/>
      </c>
      <c r="O268" s="50" t="str">
        <f>IF($AB268="","",INDEX('ORDER Form'!$I$1:$I$355,$AB268)&amp;"")</f>
        <v/>
      </c>
      <c r="P268" s="50" t="str">
        <f>IF($AB268="","",INDEX('ORDER Form'!$J$1:$J$355,$AB268)&amp;"")</f>
        <v/>
      </c>
      <c r="Q268" s="50" t="str">
        <f>IF($AB268="","",INDEX('ORDER Form'!$AB$1:$AB$355,$AB268)&amp;"")</f>
        <v/>
      </c>
      <c r="R268" s="50" t="str">
        <f>IF($AB268="","",INDEX('ORDER Form'!$L$1:$L$355,$AB268)&amp;"")</f>
        <v/>
      </c>
      <c r="S268" s="50" t="str">
        <f>IF($AB268="","",INDEX('ORDER Form'!$N$1:$N$355,$AB268)&amp;"")</f>
        <v/>
      </c>
      <c r="T268" s="50" t="str">
        <f>IF($AB268="","",IF($AD268,T$3,INDEX('ORDER Form'!$O$1:$O$355,$AB268))&amp;"")</f>
        <v/>
      </c>
      <c r="U268" s="50" t="str">
        <f>IF($AB268="","",IF($AD268,U$3,INDEX('ORDER Form'!$P$1:$P$355,$AB268))&amp;"")</f>
        <v/>
      </c>
      <c r="V268" s="50" t="str">
        <f>IF($AB268="","",IF($AD268,V$3,INDEX('ORDER Form'!$Q$1:$Q$355,$AB268))&amp;"")</f>
        <v/>
      </c>
      <c r="W268" s="50" t="str">
        <f>IF($AB268="","",IF($AD268,W$3,INDEX('ORDER Form'!$R$1:$R$355,$AB268))&amp;"")</f>
        <v/>
      </c>
      <c r="X268" s="50" t="str">
        <f>IF($AB268="","",IF($AD268,X$3,INDEX('ORDER Form'!$S$1:$S$355,$AB268))&amp;"")</f>
        <v/>
      </c>
      <c r="Y268" s="50" t="str">
        <f>IF($AB268="","",IF($AD268,Y$3,INDEX('ORDER Form'!$T$1:$T$355,$AB268))&amp;"")</f>
        <v/>
      </c>
      <c r="Z268" s="50" t="str">
        <f>IF($AB268="","",IF($AD268,Z$3,INDEX('ORDER Form'!$U$1:$U$355,$AB268))&amp;"")</f>
        <v/>
      </c>
      <c r="AB268" s="51" t="str">
        <f>IFERROR(MATCH(264,$AC$5:$AC$354,0)+5,"")</f>
        <v/>
      </c>
      <c r="AC268" s="51" t="str">
        <f>IF('ORDER Form'!$V269="OK",COUNTIF('ORDER Form'!$V$6:$V269,"OK"),"")</f>
        <v/>
      </c>
      <c r="AD268" s="51" t="str">
        <f>IF($AB268="","",(LEN(TRIM(INDEX('ORDER Form'!$O$1:$O$355,$AB268)))+LEN(TRIM(INDEX('ORDER Form'!$P$1:$P$355,$AB268)))+LEN(TRIM(INDEX('ORDER Form'!$Q$1:$Q$355,$AB268)))+LEN(TRIM(INDEX('ORDER Form'!$R$1:$R$355,$AB268)))+LEN(TRIM(INDEX('ORDER Form'!$S$1:$S$355,$AB268)))+LEN(TRIM(INDEX('ORDER Form'!$T$1:$T$355,$AB268)))+LEN(TRIM(INDEX('ORDER Form'!$U$1:$U$355,$AB268))))=0)</f>
        <v/>
      </c>
    </row>
    <row r="269" spans="1:30" ht="15" customHeight="1" x14ac:dyDescent="0.25">
      <c r="A269" s="50" t="str">
        <f>IF($AB269="","",IFERROR(IF(AND(INDEX('ORDER Form'!$N$1:$N$355,$AB269)="GB",LEFT(UPPER(TRIM(INDEX('ORDER Form'!$L$1:$L$355,$AB269))),2)="BT"),INDEX('ORDER Form'!$AC$1:$AC$355,$AB269),IFERROR(VLOOKUP(INDEX('ORDER Form'!$AC$1:$AC$355,$AB269)&amp;"|"&amp;INDEX('PRODUCT DATA'!$A$2:$A$58,MATCH(INDEX('ORDER Form'!$N$1:$N$355,$AB269),'PRODUCT DATA'!$B$2:$B$58,0)),'PRODUCT DATA'!$NO$2:$NP$25,2,FALSE()),INDEX('ORDER Form'!$AC$1:$AC$355,$AB269)))&amp;"",""))</f>
        <v/>
      </c>
      <c r="B269" s="49"/>
      <c r="C269" s="51" t="str">
        <f>IF($AB269="","",INDEX('ORDER Form'!$C$1:$C$355,$AB269))</f>
        <v/>
      </c>
      <c r="D269" s="49"/>
      <c r="E269" s="49"/>
      <c r="F269" s="49"/>
      <c r="G269" s="49"/>
      <c r="H269" s="49"/>
      <c r="I269" s="49"/>
      <c r="J269" s="50" t="str">
        <f>IF($AB269="","",INDEX('ORDER Form'!$D$1:$D$355,$AB269)&amp;"")</f>
        <v/>
      </c>
      <c r="K269" s="50" t="str">
        <f>IF($AB269="","",INDEX('ORDER Form'!$E$1:$E$355,$AB269)&amp;"")</f>
        <v/>
      </c>
      <c r="L269" s="50" t="str">
        <f>IF($AB269="","",INDEX('ORDER Form'!$F$1:$F$355,$AB269)&amp;"")</f>
        <v/>
      </c>
      <c r="M269" s="50" t="str">
        <f>IF($AB269="","",INDEX('ORDER Form'!$G$1:$G$355,$AB269)&amp;"")</f>
        <v/>
      </c>
      <c r="N269" s="50" t="str">
        <f>IF($AB269="","",INDEX('ORDER Form'!$H$1:$H$355,$AB269)&amp;"")</f>
        <v/>
      </c>
      <c r="O269" s="50" t="str">
        <f>IF($AB269="","",INDEX('ORDER Form'!$I$1:$I$355,$AB269)&amp;"")</f>
        <v/>
      </c>
      <c r="P269" s="50" t="str">
        <f>IF($AB269="","",INDEX('ORDER Form'!$J$1:$J$355,$AB269)&amp;"")</f>
        <v/>
      </c>
      <c r="Q269" s="50" t="str">
        <f>IF($AB269="","",INDEX('ORDER Form'!$AB$1:$AB$355,$AB269)&amp;"")</f>
        <v/>
      </c>
      <c r="R269" s="50" t="str">
        <f>IF($AB269="","",INDEX('ORDER Form'!$L$1:$L$355,$AB269)&amp;"")</f>
        <v/>
      </c>
      <c r="S269" s="50" t="str">
        <f>IF($AB269="","",INDEX('ORDER Form'!$N$1:$N$355,$AB269)&amp;"")</f>
        <v/>
      </c>
      <c r="T269" s="50" t="str">
        <f>IF($AB269="","",IF($AD269,T$3,INDEX('ORDER Form'!$O$1:$O$355,$AB269))&amp;"")</f>
        <v/>
      </c>
      <c r="U269" s="50" t="str">
        <f>IF($AB269="","",IF($AD269,U$3,INDEX('ORDER Form'!$P$1:$P$355,$AB269))&amp;"")</f>
        <v/>
      </c>
      <c r="V269" s="50" t="str">
        <f>IF($AB269="","",IF($AD269,V$3,INDEX('ORDER Form'!$Q$1:$Q$355,$AB269))&amp;"")</f>
        <v/>
      </c>
      <c r="W269" s="50" t="str">
        <f>IF($AB269="","",IF($AD269,W$3,INDEX('ORDER Form'!$R$1:$R$355,$AB269))&amp;"")</f>
        <v/>
      </c>
      <c r="X269" s="50" t="str">
        <f>IF($AB269="","",IF($AD269,X$3,INDEX('ORDER Form'!$S$1:$S$355,$AB269))&amp;"")</f>
        <v/>
      </c>
      <c r="Y269" s="50" t="str">
        <f>IF($AB269="","",IF($AD269,Y$3,INDEX('ORDER Form'!$T$1:$T$355,$AB269))&amp;"")</f>
        <v/>
      </c>
      <c r="Z269" s="50" t="str">
        <f>IF($AB269="","",IF($AD269,Z$3,INDEX('ORDER Form'!$U$1:$U$355,$AB269))&amp;"")</f>
        <v/>
      </c>
      <c r="AB269" s="51" t="str">
        <f>IFERROR(MATCH(265,$AC$5:$AC$354,0)+5,"")</f>
        <v/>
      </c>
      <c r="AC269" s="51" t="str">
        <f>IF('ORDER Form'!$V270="OK",COUNTIF('ORDER Form'!$V$6:$V270,"OK"),"")</f>
        <v/>
      </c>
      <c r="AD269" s="51" t="str">
        <f>IF($AB269="","",(LEN(TRIM(INDEX('ORDER Form'!$O$1:$O$355,$AB269)))+LEN(TRIM(INDEX('ORDER Form'!$P$1:$P$355,$AB269)))+LEN(TRIM(INDEX('ORDER Form'!$Q$1:$Q$355,$AB269)))+LEN(TRIM(INDEX('ORDER Form'!$R$1:$R$355,$AB269)))+LEN(TRIM(INDEX('ORDER Form'!$S$1:$S$355,$AB269)))+LEN(TRIM(INDEX('ORDER Form'!$T$1:$T$355,$AB269)))+LEN(TRIM(INDEX('ORDER Form'!$U$1:$U$355,$AB269))))=0)</f>
        <v/>
      </c>
    </row>
    <row r="270" spans="1:30" ht="15" customHeight="1" x14ac:dyDescent="0.25">
      <c r="A270" s="50" t="str">
        <f>IF($AB270="","",IFERROR(IF(AND(INDEX('ORDER Form'!$N$1:$N$355,$AB270)="GB",LEFT(UPPER(TRIM(INDEX('ORDER Form'!$L$1:$L$355,$AB270))),2)="BT"),INDEX('ORDER Form'!$AC$1:$AC$355,$AB270),IFERROR(VLOOKUP(INDEX('ORDER Form'!$AC$1:$AC$355,$AB270)&amp;"|"&amp;INDEX('PRODUCT DATA'!$A$2:$A$58,MATCH(INDEX('ORDER Form'!$N$1:$N$355,$AB270),'PRODUCT DATA'!$B$2:$B$58,0)),'PRODUCT DATA'!$NO$2:$NP$25,2,FALSE()),INDEX('ORDER Form'!$AC$1:$AC$355,$AB270)))&amp;"",""))</f>
        <v/>
      </c>
      <c r="B270" s="49"/>
      <c r="C270" s="51" t="str">
        <f>IF($AB270="","",INDEX('ORDER Form'!$C$1:$C$355,$AB270))</f>
        <v/>
      </c>
      <c r="D270" s="49"/>
      <c r="E270" s="49"/>
      <c r="F270" s="49"/>
      <c r="G270" s="49"/>
      <c r="H270" s="49"/>
      <c r="I270" s="49"/>
      <c r="J270" s="50" t="str">
        <f>IF($AB270="","",INDEX('ORDER Form'!$D$1:$D$355,$AB270)&amp;"")</f>
        <v/>
      </c>
      <c r="K270" s="50" t="str">
        <f>IF($AB270="","",INDEX('ORDER Form'!$E$1:$E$355,$AB270)&amp;"")</f>
        <v/>
      </c>
      <c r="L270" s="50" t="str">
        <f>IF($AB270="","",INDEX('ORDER Form'!$F$1:$F$355,$AB270)&amp;"")</f>
        <v/>
      </c>
      <c r="M270" s="50" t="str">
        <f>IF($AB270="","",INDEX('ORDER Form'!$G$1:$G$355,$AB270)&amp;"")</f>
        <v/>
      </c>
      <c r="N270" s="50" t="str">
        <f>IF($AB270="","",INDEX('ORDER Form'!$H$1:$H$355,$AB270)&amp;"")</f>
        <v/>
      </c>
      <c r="O270" s="50" t="str">
        <f>IF($AB270="","",INDEX('ORDER Form'!$I$1:$I$355,$AB270)&amp;"")</f>
        <v/>
      </c>
      <c r="P270" s="50" t="str">
        <f>IF($AB270="","",INDEX('ORDER Form'!$J$1:$J$355,$AB270)&amp;"")</f>
        <v/>
      </c>
      <c r="Q270" s="50" t="str">
        <f>IF($AB270="","",INDEX('ORDER Form'!$AB$1:$AB$355,$AB270)&amp;"")</f>
        <v/>
      </c>
      <c r="R270" s="50" t="str">
        <f>IF($AB270="","",INDEX('ORDER Form'!$L$1:$L$355,$AB270)&amp;"")</f>
        <v/>
      </c>
      <c r="S270" s="50" t="str">
        <f>IF($AB270="","",INDEX('ORDER Form'!$N$1:$N$355,$AB270)&amp;"")</f>
        <v/>
      </c>
      <c r="T270" s="50" t="str">
        <f>IF($AB270="","",IF($AD270,T$3,INDEX('ORDER Form'!$O$1:$O$355,$AB270))&amp;"")</f>
        <v/>
      </c>
      <c r="U270" s="50" t="str">
        <f>IF($AB270="","",IF($AD270,U$3,INDEX('ORDER Form'!$P$1:$P$355,$AB270))&amp;"")</f>
        <v/>
      </c>
      <c r="V270" s="50" t="str">
        <f>IF($AB270="","",IF($AD270,V$3,INDEX('ORDER Form'!$Q$1:$Q$355,$AB270))&amp;"")</f>
        <v/>
      </c>
      <c r="W270" s="50" t="str">
        <f>IF($AB270="","",IF($AD270,W$3,INDEX('ORDER Form'!$R$1:$R$355,$AB270))&amp;"")</f>
        <v/>
      </c>
      <c r="X270" s="50" t="str">
        <f>IF($AB270="","",IF($AD270,X$3,INDEX('ORDER Form'!$S$1:$S$355,$AB270))&amp;"")</f>
        <v/>
      </c>
      <c r="Y270" s="50" t="str">
        <f>IF($AB270="","",IF($AD270,Y$3,INDEX('ORDER Form'!$T$1:$T$355,$AB270))&amp;"")</f>
        <v/>
      </c>
      <c r="Z270" s="50" t="str">
        <f>IF($AB270="","",IF($AD270,Z$3,INDEX('ORDER Form'!$U$1:$U$355,$AB270))&amp;"")</f>
        <v/>
      </c>
      <c r="AB270" s="51" t="str">
        <f>IFERROR(MATCH(266,$AC$5:$AC$354,0)+5,"")</f>
        <v/>
      </c>
      <c r="AC270" s="51" t="str">
        <f>IF('ORDER Form'!$V271="OK",COUNTIF('ORDER Form'!$V$6:$V271,"OK"),"")</f>
        <v/>
      </c>
      <c r="AD270" s="51" t="str">
        <f>IF($AB270="","",(LEN(TRIM(INDEX('ORDER Form'!$O$1:$O$355,$AB270)))+LEN(TRIM(INDEX('ORDER Form'!$P$1:$P$355,$AB270)))+LEN(TRIM(INDEX('ORDER Form'!$Q$1:$Q$355,$AB270)))+LEN(TRIM(INDEX('ORDER Form'!$R$1:$R$355,$AB270)))+LEN(TRIM(INDEX('ORDER Form'!$S$1:$S$355,$AB270)))+LEN(TRIM(INDEX('ORDER Form'!$T$1:$T$355,$AB270)))+LEN(TRIM(INDEX('ORDER Form'!$U$1:$U$355,$AB270))))=0)</f>
        <v/>
      </c>
    </row>
    <row r="271" spans="1:30" ht="15" customHeight="1" x14ac:dyDescent="0.25">
      <c r="A271" s="50" t="str">
        <f>IF($AB271="","",IFERROR(IF(AND(INDEX('ORDER Form'!$N$1:$N$355,$AB271)="GB",LEFT(UPPER(TRIM(INDEX('ORDER Form'!$L$1:$L$355,$AB271))),2)="BT"),INDEX('ORDER Form'!$AC$1:$AC$355,$AB271),IFERROR(VLOOKUP(INDEX('ORDER Form'!$AC$1:$AC$355,$AB271)&amp;"|"&amp;INDEX('PRODUCT DATA'!$A$2:$A$58,MATCH(INDEX('ORDER Form'!$N$1:$N$355,$AB271),'PRODUCT DATA'!$B$2:$B$58,0)),'PRODUCT DATA'!$NO$2:$NP$25,2,FALSE()),INDEX('ORDER Form'!$AC$1:$AC$355,$AB271)))&amp;"",""))</f>
        <v/>
      </c>
      <c r="B271" s="49"/>
      <c r="C271" s="51" t="str">
        <f>IF($AB271="","",INDEX('ORDER Form'!$C$1:$C$355,$AB271))</f>
        <v/>
      </c>
      <c r="D271" s="49"/>
      <c r="E271" s="49"/>
      <c r="F271" s="49"/>
      <c r="G271" s="49"/>
      <c r="H271" s="49"/>
      <c r="I271" s="49"/>
      <c r="J271" s="50" t="str">
        <f>IF($AB271="","",INDEX('ORDER Form'!$D$1:$D$355,$AB271)&amp;"")</f>
        <v/>
      </c>
      <c r="K271" s="50" t="str">
        <f>IF($AB271="","",INDEX('ORDER Form'!$E$1:$E$355,$AB271)&amp;"")</f>
        <v/>
      </c>
      <c r="L271" s="50" t="str">
        <f>IF($AB271="","",INDEX('ORDER Form'!$F$1:$F$355,$AB271)&amp;"")</f>
        <v/>
      </c>
      <c r="M271" s="50" t="str">
        <f>IF($AB271="","",INDEX('ORDER Form'!$G$1:$G$355,$AB271)&amp;"")</f>
        <v/>
      </c>
      <c r="N271" s="50" t="str">
        <f>IF($AB271="","",INDEX('ORDER Form'!$H$1:$H$355,$AB271)&amp;"")</f>
        <v/>
      </c>
      <c r="O271" s="50" t="str">
        <f>IF($AB271="","",INDEX('ORDER Form'!$I$1:$I$355,$AB271)&amp;"")</f>
        <v/>
      </c>
      <c r="P271" s="50" t="str">
        <f>IF($AB271="","",INDEX('ORDER Form'!$J$1:$J$355,$AB271)&amp;"")</f>
        <v/>
      </c>
      <c r="Q271" s="50" t="str">
        <f>IF($AB271="","",INDEX('ORDER Form'!$AB$1:$AB$355,$AB271)&amp;"")</f>
        <v/>
      </c>
      <c r="R271" s="50" t="str">
        <f>IF($AB271="","",INDEX('ORDER Form'!$L$1:$L$355,$AB271)&amp;"")</f>
        <v/>
      </c>
      <c r="S271" s="50" t="str">
        <f>IF($AB271="","",INDEX('ORDER Form'!$N$1:$N$355,$AB271)&amp;"")</f>
        <v/>
      </c>
      <c r="T271" s="50" t="str">
        <f>IF($AB271="","",IF($AD271,T$3,INDEX('ORDER Form'!$O$1:$O$355,$AB271))&amp;"")</f>
        <v/>
      </c>
      <c r="U271" s="50" t="str">
        <f>IF($AB271="","",IF($AD271,U$3,INDEX('ORDER Form'!$P$1:$P$355,$AB271))&amp;"")</f>
        <v/>
      </c>
      <c r="V271" s="50" t="str">
        <f>IF($AB271="","",IF($AD271,V$3,INDEX('ORDER Form'!$Q$1:$Q$355,$AB271))&amp;"")</f>
        <v/>
      </c>
      <c r="W271" s="50" t="str">
        <f>IF($AB271="","",IF($AD271,W$3,INDEX('ORDER Form'!$R$1:$R$355,$AB271))&amp;"")</f>
        <v/>
      </c>
      <c r="X271" s="50" t="str">
        <f>IF($AB271="","",IF($AD271,X$3,INDEX('ORDER Form'!$S$1:$S$355,$AB271))&amp;"")</f>
        <v/>
      </c>
      <c r="Y271" s="50" t="str">
        <f>IF($AB271="","",IF($AD271,Y$3,INDEX('ORDER Form'!$T$1:$T$355,$AB271))&amp;"")</f>
        <v/>
      </c>
      <c r="Z271" s="50" t="str">
        <f>IF($AB271="","",IF($AD271,Z$3,INDEX('ORDER Form'!$U$1:$U$355,$AB271))&amp;"")</f>
        <v/>
      </c>
      <c r="AB271" s="51" t="str">
        <f>IFERROR(MATCH(267,$AC$5:$AC$354,0)+5,"")</f>
        <v/>
      </c>
      <c r="AC271" s="51" t="str">
        <f>IF('ORDER Form'!$V272="OK",COUNTIF('ORDER Form'!$V$6:$V272,"OK"),"")</f>
        <v/>
      </c>
      <c r="AD271" s="51" t="str">
        <f>IF($AB271="","",(LEN(TRIM(INDEX('ORDER Form'!$O$1:$O$355,$AB271)))+LEN(TRIM(INDEX('ORDER Form'!$P$1:$P$355,$AB271)))+LEN(TRIM(INDEX('ORDER Form'!$Q$1:$Q$355,$AB271)))+LEN(TRIM(INDEX('ORDER Form'!$R$1:$R$355,$AB271)))+LEN(TRIM(INDEX('ORDER Form'!$S$1:$S$355,$AB271)))+LEN(TRIM(INDEX('ORDER Form'!$T$1:$T$355,$AB271)))+LEN(TRIM(INDEX('ORDER Form'!$U$1:$U$355,$AB271))))=0)</f>
        <v/>
      </c>
    </row>
    <row r="272" spans="1:30" ht="15" customHeight="1" x14ac:dyDescent="0.25">
      <c r="A272" s="50" t="str">
        <f>IF($AB272="","",IFERROR(IF(AND(INDEX('ORDER Form'!$N$1:$N$355,$AB272)="GB",LEFT(UPPER(TRIM(INDEX('ORDER Form'!$L$1:$L$355,$AB272))),2)="BT"),INDEX('ORDER Form'!$AC$1:$AC$355,$AB272),IFERROR(VLOOKUP(INDEX('ORDER Form'!$AC$1:$AC$355,$AB272)&amp;"|"&amp;INDEX('PRODUCT DATA'!$A$2:$A$58,MATCH(INDEX('ORDER Form'!$N$1:$N$355,$AB272),'PRODUCT DATA'!$B$2:$B$58,0)),'PRODUCT DATA'!$NO$2:$NP$25,2,FALSE()),INDEX('ORDER Form'!$AC$1:$AC$355,$AB272)))&amp;"",""))</f>
        <v/>
      </c>
      <c r="B272" s="49"/>
      <c r="C272" s="51" t="str">
        <f>IF($AB272="","",INDEX('ORDER Form'!$C$1:$C$355,$AB272))</f>
        <v/>
      </c>
      <c r="D272" s="49"/>
      <c r="E272" s="49"/>
      <c r="F272" s="49"/>
      <c r="G272" s="49"/>
      <c r="H272" s="49"/>
      <c r="I272" s="49"/>
      <c r="J272" s="50" t="str">
        <f>IF($AB272="","",INDEX('ORDER Form'!$D$1:$D$355,$AB272)&amp;"")</f>
        <v/>
      </c>
      <c r="K272" s="50" t="str">
        <f>IF($AB272="","",INDEX('ORDER Form'!$E$1:$E$355,$AB272)&amp;"")</f>
        <v/>
      </c>
      <c r="L272" s="50" t="str">
        <f>IF($AB272="","",INDEX('ORDER Form'!$F$1:$F$355,$AB272)&amp;"")</f>
        <v/>
      </c>
      <c r="M272" s="50" t="str">
        <f>IF($AB272="","",INDEX('ORDER Form'!$G$1:$G$355,$AB272)&amp;"")</f>
        <v/>
      </c>
      <c r="N272" s="50" t="str">
        <f>IF($AB272="","",INDEX('ORDER Form'!$H$1:$H$355,$AB272)&amp;"")</f>
        <v/>
      </c>
      <c r="O272" s="50" t="str">
        <f>IF($AB272="","",INDEX('ORDER Form'!$I$1:$I$355,$AB272)&amp;"")</f>
        <v/>
      </c>
      <c r="P272" s="50" t="str">
        <f>IF($AB272="","",INDEX('ORDER Form'!$J$1:$J$355,$AB272)&amp;"")</f>
        <v/>
      </c>
      <c r="Q272" s="50" t="str">
        <f>IF($AB272="","",INDEX('ORDER Form'!$AB$1:$AB$355,$AB272)&amp;"")</f>
        <v/>
      </c>
      <c r="R272" s="50" t="str">
        <f>IF($AB272="","",INDEX('ORDER Form'!$L$1:$L$355,$AB272)&amp;"")</f>
        <v/>
      </c>
      <c r="S272" s="50" t="str">
        <f>IF($AB272="","",INDEX('ORDER Form'!$N$1:$N$355,$AB272)&amp;"")</f>
        <v/>
      </c>
      <c r="T272" s="50" t="str">
        <f>IF($AB272="","",IF($AD272,T$3,INDEX('ORDER Form'!$O$1:$O$355,$AB272))&amp;"")</f>
        <v/>
      </c>
      <c r="U272" s="50" t="str">
        <f>IF($AB272="","",IF($AD272,U$3,INDEX('ORDER Form'!$P$1:$P$355,$AB272))&amp;"")</f>
        <v/>
      </c>
      <c r="V272" s="50" t="str">
        <f>IF($AB272="","",IF($AD272,V$3,INDEX('ORDER Form'!$Q$1:$Q$355,$AB272))&amp;"")</f>
        <v/>
      </c>
      <c r="W272" s="50" t="str">
        <f>IF($AB272="","",IF($AD272,W$3,INDEX('ORDER Form'!$R$1:$R$355,$AB272))&amp;"")</f>
        <v/>
      </c>
      <c r="X272" s="50" t="str">
        <f>IF($AB272="","",IF($AD272,X$3,INDEX('ORDER Form'!$S$1:$S$355,$AB272))&amp;"")</f>
        <v/>
      </c>
      <c r="Y272" s="50" t="str">
        <f>IF($AB272="","",IF($AD272,Y$3,INDEX('ORDER Form'!$T$1:$T$355,$AB272))&amp;"")</f>
        <v/>
      </c>
      <c r="Z272" s="50" t="str">
        <f>IF($AB272="","",IF($AD272,Z$3,INDEX('ORDER Form'!$U$1:$U$355,$AB272))&amp;"")</f>
        <v/>
      </c>
      <c r="AB272" s="51" t="str">
        <f>IFERROR(MATCH(268,$AC$5:$AC$354,0)+5,"")</f>
        <v/>
      </c>
      <c r="AC272" s="51" t="str">
        <f>IF('ORDER Form'!$V273="OK",COUNTIF('ORDER Form'!$V$6:$V273,"OK"),"")</f>
        <v/>
      </c>
      <c r="AD272" s="51" t="str">
        <f>IF($AB272="","",(LEN(TRIM(INDEX('ORDER Form'!$O$1:$O$355,$AB272)))+LEN(TRIM(INDEX('ORDER Form'!$P$1:$P$355,$AB272)))+LEN(TRIM(INDEX('ORDER Form'!$Q$1:$Q$355,$AB272)))+LEN(TRIM(INDEX('ORDER Form'!$R$1:$R$355,$AB272)))+LEN(TRIM(INDEX('ORDER Form'!$S$1:$S$355,$AB272)))+LEN(TRIM(INDEX('ORDER Form'!$T$1:$T$355,$AB272)))+LEN(TRIM(INDEX('ORDER Form'!$U$1:$U$355,$AB272))))=0)</f>
        <v/>
      </c>
    </row>
    <row r="273" spans="1:30" ht="15" customHeight="1" x14ac:dyDescent="0.25">
      <c r="A273" s="50" t="str">
        <f>IF($AB273="","",IFERROR(IF(AND(INDEX('ORDER Form'!$N$1:$N$355,$AB273)="GB",LEFT(UPPER(TRIM(INDEX('ORDER Form'!$L$1:$L$355,$AB273))),2)="BT"),INDEX('ORDER Form'!$AC$1:$AC$355,$AB273),IFERROR(VLOOKUP(INDEX('ORDER Form'!$AC$1:$AC$355,$AB273)&amp;"|"&amp;INDEX('PRODUCT DATA'!$A$2:$A$58,MATCH(INDEX('ORDER Form'!$N$1:$N$355,$AB273),'PRODUCT DATA'!$B$2:$B$58,0)),'PRODUCT DATA'!$NO$2:$NP$25,2,FALSE()),INDEX('ORDER Form'!$AC$1:$AC$355,$AB273)))&amp;"",""))</f>
        <v/>
      </c>
      <c r="B273" s="49"/>
      <c r="C273" s="51" t="str">
        <f>IF($AB273="","",INDEX('ORDER Form'!$C$1:$C$355,$AB273))</f>
        <v/>
      </c>
      <c r="D273" s="49"/>
      <c r="E273" s="49"/>
      <c r="F273" s="49"/>
      <c r="G273" s="49"/>
      <c r="H273" s="49"/>
      <c r="I273" s="49"/>
      <c r="J273" s="50" t="str">
        <f>IF($AB273="","",INDEX('ORDER Form'!$D$1:$D$355,$AB273)&amp;"")</f>
        <v/>
      </c>
      <c r="K273" s="50" t="str">
        <f>IF($AB273="","",INDEX('ORDER Form'!$E$1:$E$355,$AB273)&amp;"")</f>
        <v/>
      </c>
      <c r="L273" s="50" t="str">
        <f>IF($AB273="","",INDEX('ORDER Form'!$F$1:$F$355,$AB273)&amp;"")</f>
        <v/>
      </c>
      <c r="M273" s="50" t="str">
        <f>IF($AB273="","",INDEX('ORDER Form'!$G$1:$G$355,$AB273)&amp;"")</f>
        <v/>
      </c>
      <c r="N273" s="50" t="str">
        <f>IF($AB273="","",INDEX('ORDER Form'!$H$1:$H$355,$AB273)&amp;"")</f>
        <v/>
      </c>
      <c r="O273" s="50" t="str">
        <f>IF($AB273="","",INDEX('ORDER Form'!$I$1:$I$355,$AB273)&amp;"")</f>
        <v/>
      </c>
      <c r="P273" s="50" t="str">
        <f>IF($AB273="","",INDEX('ORDER Form'!$J$1:$J$355,$AB273)&amp;"")</f>
        <v/>
      </c>
      <c r="Q273" s="50" t="str">
        <f>IF($AB273="","",INDEX('ORDER Form'!$AB$1:$AB$355,$AB273)&amp;"")</f>
        <v/>
      </c>
      <c r="R273" s="50" t="str">
        <f>IF($AB273="","",INDEX('ORDER Form'!$L$1:$L$355,$AB273)&amp;"")</f>
        <v/>
      </c>
      <c r="S273" s="50" t="str">
        <f>IF($AB273="","",INDEX('ORDER Form'!$N$1:$N$355,$AB273)&amp;"")</f>
        <v/>
      </c>
      <c r="T273" s="50" t="str">
        <f>IF($AB273="","",IF($AD273,T$3,INDEX('ORDER Form'!$O$1:$O$355,$AB273))&amp;"")</f>
        <v/>
      </c>
      <c r="U273" s="50" t="str">
        <f>IF($AB273="","",IF($AD273,U$3,INDEX('ORDER Form'!$P$1:$P$355,$AB273))&amp;"")</f>
        <v/>
      </c>
      <c r="V273" s="50" t="str">
        <f>IF($AB273="","",IF($AD273,V$3,INDEX('ORDER Form'!$Q$1:$Q$355,$AB273))&amp;"")</f>
        <v/>
      </c>
      <c r="W273" s="50" t="str">
        <f>IF($AB273="","",IF($AD273,W$3,INDEX('ORDER Form'!$R$1:$R$355,$AB273))&amp;"")</f>
        <v/>
      </c>
      <c r="X273" s="50" t="str">
        <f>IF($AB273="","",IF($AD273,X$3,INDEX('ORDER Form'!$S$1:$S$355,$AB273))&amp;"")</f>
        <v/>
      </c>
      <c r="Y273" s="50" t="str">
        <f>IF($AB273="","",IF($AD273,Y$3,INDEX('ORDER Form'!$T$1:$T$355,$AB273))&amp;"")</f>
        <v/>
      </c>
      <c r="Z273" s="50" t="str">
        <f>IF($AB273="","",IF($AD273,Z$3,INDEX('ORDER Form'!$U$1:$U$355,$AB273))&amp;"")</f>
        <v/>
      </c>
      <c r="AB273" s="51" t="str">
        <f>IFERROR(MATCH(269,$AC$5:$AC$354,0)+5,"")</f>
        <v/>
      </c>
      <c r="AC273" s="51" t="str">
        <f>IF('ORDER Form'!$V274="OK",COUNTIF('ORDER Form'!$V$6:$V274,"OK"),"")</f>
        <v/>
      </c>
      <c r="AD273" s="51" t="str">
        <f>IF($AB273="","",(LEN(TRIM(INDEX('ORDER Form'!$O$1:$O$355,$AB273)))+LEN(TRIM(INDEX('ORDER Form'!$P$1:$P$355,$AB273)))+LEN(TRIM(INDEX('ORDER Form'!$Q$1:$Q$355,$AB273)))+LEN(TRIM(INDEX('ORDER Form'!$R$1:$R$355,$AB273)))+LEN(TRIM(INDEX('ORDER Form'!$S$1:$S$355,$AB273)))+LEN(TRIM(INDEX('ORDER Form'!$T$1:$T$355,$AB273)))+LEN(TRIM(INDEX('ORDER Form'!$U$1:$U$355,$AB273))))=0)</f>
        <v/>
      </c>
    </row>
    <row r="274" spans="1:30" ht="15" customHeight="1" x14ac:dyDescent="0.25">
      <c r="A274" s="50" t="str">
        <f>IF($AB274="","",IFERROR(IF(AND(INDEX('ORDER Form'!$N$1:$N$355,$AB274)="GB",LEFT(UPPER(TRIM(INDEX('ORDER Form'!$L$1:$L$355,$AB274))),2)="BT"),INDEX('ORDER Form'!$AC$1:$AC$355,$AB274),IFERROR(VLOOKUP(INDEX('ORDER Form'!$AC$1:$AC$355,$AB274)&amp;"|"&amp;INDEX('PRODUCT DATA'!$A$2:$A$58,MATCH(INDEX('ORDER Form'!$N$1:$N$355,$AB274),'PRODUCT DATA'!$B$2:$B$58,0)),'PRODUCT DATA'!$NO$2:$NP$25,2,FALSE()),INDEX('ORDER Form'!$AC$1:$AC$355,$AB274)))&amp;"",""))</f>
        <v/>
      </c>
      <c r="B274" s="49"/>
      <c r="C274" s="51" t="str">
        <f>IF($AB274="","",INDEX('ORDER Form'!$C$1:$C$355,$AB274))</f>
        <v/>
      </c>
      <c r="D274" s="49"/>
      <c r="E274" s="49"/>
      <c r="F274" s="49"/>
      <c r="G274" s="49"/>
      <c r="H274" s="49"/>
      <c r="I274" s="49"/>
      <c r="J274" s="50" t="str">
        <f>IF($AB274="","",INDEX('ORDER Form'!$D$1:$D$355,$AB274)&amp;"")</f>
        <v/>
      </c>
      <c r="K274" s="50" t="str">
        <f>IF($AB274="","",INDEX('ORDER Form'!$E$1:$E$355,$AB274)&amp;"")</f>
        <v/>
      </c>
      <c r="L274" s="50" t="str">
        <f>IF($AB274="","",INDEX('ORDER Form'!$F$1:$F$355,$AB274)&amp;"")</f>
        <v/>
      </c>
      <c r="M274" s="50" t="str">
        <f>IF($AB274="","",INDEX('ORDER Form'!$G$1:$G$355,$AB274)&amp;"")</f>
        <v/>
      </c>
      <c r="N274" s="50" t="str">
        <f>IF($AB274="","",INDEX('ORDER Form'!$H$1:$H$355,$AB274)&amp;"")</f>
        <v/>
      </c>
      <c r="O274" s="50" t="str">
        <f>IF($AB274="","",INDEX('ORDER Form'!$I$1:$I$355,$AB274)&amp;"")</f>
        <v/>
      </c>
      <c r="P274" s="50" t="str">
        <f>IF($AB274="","",INDEX('ORDER Form'!$J$1:$J$355,$AB274)&amp;"")</f>
        <v/>
      </c>
      <c r="Q274" s="50" t="str">
        <f>IF($AB274="","",INDEX('ORDER Form'!$AB$1:$AB$355,$AB274)&amp;"")</f>
        <v/>
      </c>
      <c r="R274" s="50" t="str">
        <f>IF($AB274="","",INDEX('ORDER Form'!$L$1:$L$355,$AB274)&amp;"")</f>
        <v/>
      </c>
      <c r="S274" s="50" t="str">
        <f>IF($AB274="","",INDEX('ORDER Form'!$N$1:$N$355,$AB274)&amp;"")</f>
        <v/>
      </c>
      <c r="T274" s="50" t="str">
        <f>IF($AB274="","",IF($AD274,T$3,INDEX('ORDER Form'!$O$1:$O$355,$AB274))&amp;"")</f>
        <v/>
      </c>
      <c r="U274" s="50" t="str">
        <f>IF($AB274="","",IF($AD274,U$3,INDEX('ORDER Form'!$P$1:$P$355,$AB274))&amp;"")</f>
        <v/>
      </c>
      <c r="V274" s="50" t="str">
        <f>IF($AB274="","",IF($AD274,V$3,INDEX('ORDER Form'!$Q$1:$Q$355,$AB274))&amp;"")</f>
        <v/>
      </c>
      <c r="W274" s="50" t="str">
        <f>IF($AB274="","",IF($AD274,W$3,INDEX('ORDER Form'!$R$1:$R$355,$AB274))&amp;"")</f>
        <v/>
      </c>
      <c r="X274" s="50" t="str">
        <f>IF($AB274="","",IF($AD274,X$3,INDEX('ORDER Form'!$S$1:$S$355,$AB274))&amp;"")</f>
        <v/>
      </c>
      <c r="Y274" s="50" t="str">
        <f>IF($AB274="","",IF($AD274,Y$3,INDEX('ORDER Form'!$T$1:$T$355,$AB274))&amp;"")</f>
        <v/>
      </c>
      <c r="Z274" s="50" t="str">
        <f>IF($AB274="","",IF($AD274,Z$3,INDEX('ORDER Form'!$U$1:$U$355,$AB274))&amp;"")</f>
        <v/>
      </c>
      <c r="AB274" s="51" t="str">
        <f>IFERROR(MATCH(270,$AC$5:$AC$354,0)+5,"")</f>
        <v/>
      </c>
      <c r="AC274" s="51" t="str">
        <f>IF('ORDER Form'!$V275="OK",COUNTIF('ORDER Form'!$V$6:$V275,"OK"),"")</f>
        <v/>
      </c>
      <c r="AD274" s="51" t="str">
        <f>IF($AB274="","",(LEN(TRIM(INDEX('ORDER Form'!$O$1:$O$355,$AB274)))+LEN(TRIM(INDEX('ORDER Form'!$P$1:$P$355,$AB274)))+LEN(TRIM(INDEX('ORDER Form'!$Q$1:$Q$355,$AB274)))+LEN(TRIM(INDEX('ORDER Form'!$R$1:$R$355,$AB274)))+LEN(TRIM(INDEX('ORDER Form'!$S$1:$S$355,$AB274)))+LEN(TRIM(INDEX('ORDER Form'!$T$1:$T$355,$AB274)))+LEN(TRIM(INDEX('ORDER Form'!$U$1:$U$355,$AB274))))=0)</f>
        <v/>
      </c>
    </row>
    <row r="275" spans="1:30" ht="15" customHeight="1" x14ac:dyDescent="0.25">
      <c r="A275" s="50" t="str">
        <f>IF($AB275="","",IFERROR(IF(AND(INDEX('ORDER Form'!$N$1:$N$355,$AB275)="GB",LEFT(UPPER(TRIM(INDEX('ORDER Form'!$L$1:$L$355,$AB275))),2)="BT"),INDEX('ORDER Form'!$AC$1:$AC$355,$AB275),IFERROR(VLOOKUP(INDEX('ORDER Form'!$AC$1:$AC$355,$AB275)&amp;"|"&amp;INDEX('PRODUCT DATA'!$A$2:$A$58,MATCH(INDEX('ORDER Form'!$N$1:$N$355,$AB275),'PRODUCT DATA'!$B$2:$B$58,0)),'PRODUCT DATA'!$NO$2:$NP$25,2,FALSE()),INDEX('ORDER Form'!$AC$1:$AC$355,$AB275)))&amp;"",""))</f>
        <v/>
      </c>
      <c r="B275" s="49"/>
      <c r="C275" s="51" t="str">
        <f>IF($AB275="","",INDEX('ORDER Form'!$C$1:$C$355,$AB275))</f>
        <v/>
      </c>
      <c r="D275" s="49"/>
      <c r="E275" s="49"/>
      <c r="F275" s="49"/>
      <c r="G275" s="49"/>
      <c r="H275" s="49"/>
      <c r="I275" s="49"/>
      <c r="J275" s="50" t="str">
        <f>IF($AB275="","",INDEX('ORDER Form'!$D$1:$D$355,$AB275)&amp;"")</f>
        <v/>
      </c>
      <c r="K275" s="50" t="str">
        <f>IF($AB275="","",INDEX('ORDER Form'!$E$1:$E$355,$AB275)&amp;"")</f>
        <v/>
      </c>
      <c r="L275" s="50" t="str">
        <f>IF($AB275="","",INDEX('ORDER Form'!$F$1:$F$355,$AB275)&amp;"")</f>
        <v/>
      </c>
      <c r="M275" s="50" t="str">
        <f>IF($AB275="","",INDEX('ORDER Form'!$G$1:$G$355,$AB275)&amp;"")</f>
        <v/>
      </c>
      <c r="N275" s="50" t="str">
        <f>IF($AB275="","",INDEX('ORDER Form'!$H$1:$H$355,$AB275)&amp;"")</f>
        <v/>
      </c>
      <c r="O275" s="50" t="str">
        <f>IF($AB275="","",INDEX('ORDER Form'!$I$1:$I$355,$AB275)&amp;"")</f>
        <v/>
      </c>
      <c r="P275" s="50" t="str">
        <f>IF($AB275="","",INDEX('ORDER Form'!$J$1:$J$355,$AB275)&amp;"")</f>
        <v/>
      </c>
      <c r="Q275" s="50" t="str">
        <f>IF($AB275="","",INDEX('ORDER Form'!$AB$1:$AB$355,$AB275)&amp;"")</f>
        <v/>
      </c>
      <c r="R275" s="50" t="str">
        <f>IF($AB275="","",INDEX('ORDER Form'!$L$1:$L$355,$AB275)&amp;"")</f>
        <v/>
      </c>
      <c r="S275" s="50" t="str">
        <f>IF($AB275="","",INDEX('ORDER Form'!$N$1:$N$355,$AB275)&amp;"")</f>
        <v/>
      </c>
      <c r="T275" s="50" t="str">
        <f>IF($AB275="","",IF($AD275,T$3,INDEX('ORDER Form'!$O$1:$O$355,$AB275))&amp;"")</f>
        <v/>
      </c>
      <c r="U275" s="50" t="str">
        <f>IF($AB275="","",IF($AD275,U$3,INDEX('ORDER Form'!$P$1:$P$355,$AB275))&amp;"")</f>
        <v/>
      </c>
      <c r="V275" s="50" t="str">
        <f>IF($AB275="","",IF($AD275,V$3,INDEX('ORDER Form'!$Q$1:$Q$355,$AB275))&amp;"")</f>
        <v/>
      </c>
      <c r="W275" s="50" t="str">
        <f>IF($AB275="","",IF($AD275,W$3,INDEX('ORDER Form'!$R$1:$R$355,$AB275))&amp;"")</f>
        <v/>
      </c>
      <c r="X275" s="50" t="str">
        <f>IF($AB275="","",IF($AD275,X$3,INDEX('ORDER Form'!$S$1:$S$355,$AB275))&amp;"")</f>
        <v/>
      </c>
      <c r="Y275" s="50" t="str">
        <f>IF($AB275="","",IF($AD275,Y$3,INDEX('ORDER Form'!$T$1:$T$355,$AB275))&amp;"")</f>
        <v/>
      </c>
      <c r="Z275" s="50" t="str">
        <f>IF($AB275="","",IF($AD275,Z$3,INDEX('ORDER Form'!$U$1:$U$355,$AB275))&amp;"")</f>
        <v/>
      </c>
      <c r="AB275" s="51" t="str">
        <f>IFERROR(MATCH(271,$AC$5:$AC$354,0)+5,"")</f>
        <v/>
      </c>
      <c r="AC275" s="51" t="str">
        <f>IF('ORDER Form'!$V276="OK",COUNTIF('ORDER Form'!$V$6:$V276,"OK"),"")</f>
        <v/>
      </c>
      <c r="AD275" s="51" t="str">
        <f>IF($AB275="","",(LEN(TRIM(INDEX('ORDER Form'!$O$1:$O$355,$AB275)))+LEN(TRIM(INDEX('ORDER Form'!$P$1:$P$355,$AB275)))+LEN(TRIM(INDEX('ORDER Form'!$Q$1:$Q$355,$AB275)))+LEN(TRIM(INDEX('ORDER Form'!$R$1:$R$355,$AB275)))+LEN(TRIM(INDEX('ORDER Form'!$S$1:$S$355,$AB275)))+LEN(TRIM(INDEX('ORDER Form'!$T$1:$T$355,$AB275)))+LEN(TRIM(INDEX('ORDER Form'!$U$1:$U$355,$AB275))))=0)</f>
        <v/>
      </c>
    </row>
    <row r="276" spans="1:30" ht="15" customHeight="1" x14ac:dyDescent="0.25">
      <c r="A276" s="50" t="str">
        <f>IF($AB276="","",IFERROR(IF(AND(INDEX('ORDER Form'!$N$1:$N$355,$AB276)="GB",LEFT(UPPER(TRIM(INDEX('ORDER Form'!$L$1:$L$355,$AB276))),2)="BT"),INDEX('ORDER Form'!$AC$1:$AC$355,$AB276),IFERROR(VLOOKUP(INDEX('ORDER Form'!$AC$1:$AC$355,$AB276)&amp;"|"&amp;INDEX('PRODUCT DATA'!$A$2:$A$58,MATCH(INDEX('ORDER Form'!$N$1:$N$355,$AB276),'PRODUCT DATA'!$B$2:$B$58,0)),'PRODUCT DATA'!$NO$2:$NP$25,2,FALSE()),INDEX('ORDER Form'!$AC$1:$AC$355,$AB276)))&amp;"",""))</f>
        <v/>
      </c>
      <c r="B276" s="49"/>
      <c r="C276" s="51" t="str">
        <f>IF($AB276="","",INDEX('ORDER Form'!$C$1:$C$355,$AB276))</f>
        <v/>
      </c>
      <c r="D276" s="49"/>
      <c r="E276" s="49"/>
      <c r="F276" s="49"/>
      <c r="G276" s="49"/>
      <c r="H276" s="49"/>
      <c r="I276" s="49"/>
      <c r="J276" s="50" t="str">
        <f>IF($AB276="","",INDEX('ORDER Form'!$D$1:$D$355,$AB276)&amp;"")</f>
        <v/>
      </c>
      <c r="K276" s="50" t="str">
        <f>IF($AB276="","",INDEX('ORDER Form'!$E$1:$E$355,$AB276)&amp;"")</f>
        <v/>
      </c>
      <c r="L276" s="50" t="str">
        <f>IF($AB276="","",INDEX('ORDER Form'!$F$1:$F$355,$AB276)&amp;"")</f>
        <v/>
      </c>
      <c r="M276" s="50" t="str">
        <f>IF($AB276="","",INDEX('ORDER Form'!$G$1:$G$355,$AB276)&amp;"")</f>
        <v/>
      </c>
      <c r="N276" s="50" t="str">
        <f>IF($AB276="","",INDEX('ORDER Form'!$H$1:$H$355,$AB276)&amp;"")</f>
        <v/>
      </c>
      <c r="O276" s="50" t="str">
        <f>IF($AB276="","",INDEX('ORDER Form'!$I$1:$I$355,$AB276)&amp;"")</f>
        <v/>
      </c>
      <c r="P276" s="50" t="str">
        <f>IF($AB276="","",INDEX('ORDER Form'!$J$1:$J$355,$AB276)&amp;"")</f>
        <v/>
      </c>
      <c r="Q276" s="50" t="str">
        <f>IF($AB276="","",INDEX('ORDER Form'!$AB$1:$AB$355,$AB276)&amp;"")</f>
        <v/>
      </c>
      <c r="R276" s="50" t="str">
        <f>IF($AB276="","",INDEX('ORDER Form'!$L$1:$L$355,$AB276)&amp;"")</f>
        <v/>
      </c>
      <c r="S276" s="50" t="str">
        <f>IF($AB276="","",INDEX('ORDER Form'!$N$1:$N$355,$AB276)&amp;"")</f>
        <v/>
      </c>
      <c r="T276" s="50" t="str">
        <f>IF($AB276="","",IF($AD276,T$3,INDEX('ORDER Form'!$O$1:$O$355,$AB276))&amp;"")</f>
        <v/>
      </c>
      <c r="U276" s="50" t="str">
        <f>IF($AB276="","",IF($AD276,U$3,INDEX('ORDER Form'!$P$1:$P$355,$AB276))&amp;"")</f>
        <v/>
      </c>
      <c r="V276" s="50" t="str">
        <f>IF($AB276="","",IF($AD276,V$3,INDEX('ORDER Form'!$Q$1:$Q$355,$AB276))&amp;"")</f>
        <v/>
      </c>
      <c r="W276" s="50" t="str">
        <f>IF($AB276="","",IF($AD276,W$3,INDEX('ORDER Form'!$R$1:$R$355,$AB276))&amp;"")</f>
        <v/>
      </c>
      <c r="X276" s="50" t="str">
        <f>IF($AB276="","",IF($AD276,X$3,INDEX('ORDER Form'!$S$1:$S$355,$AB276))&amp;"")</f>
        <v/>
      </c>
      <c r="Y276" s="50" t="str">
        <f>IF($AB276="","",IF($AD276,Y$3,INDEX('ORDER Form'!$T$1:$T$355,$AB276))&amp;"")</f>
        <v/>
      </c>
      <c r="Z276" s="50" t="str">
        <f>IF($AB276="","",IF($AD276,Z$3,INDEX('ORDER Form'!$U$1:$U$355,$AB276))&amp;"")</f>
        <v/>
      </c>
      <c r="AB276" s="51" t="str">
        <f>IFERROR(MATCH(272,$AC$5:$AC$354,0)+5,"")</f>
        <v/>
      </c>
      <c r="AC276" s="51" t="str">
        <f>IF('ORDER Form'!$V277="OK",COUNTIF('ORDER Form'!$V$6:$V277,"OK"),"")</f>
        <v/>
      </c>
      <c r="AD276" s="51" t="str">
        <f>IF($AB276="","",(LEN(TRIM(INDEX('ORDER Form'!$O$1:$O$355,$AB276)))+LEN(TRIM(INDEX('ORDER Form'!$P$1:$P$355,$AB276)))+LEN(TRIM(INDEX('ORDER Form'!$Q$1:$Q$355,$AB276)))+LEN(TRIM(INDEX('ORDER Form'!$R$1:$R$355,$AB276)))+LEN(TRIM(INDEX('ORDER Form'!$S$1:$S$355,$AB276)))+LEN(TRIM(INDEX('ORDER Form'!$T$1:$T$355,$AB276)))+LEN(TRIM(INDEX('ORDER Form'!$U$1:$U$355,$AB276))))=0)</f>
        <v/>
      </c>
    </row>
    <row r="277" spans="1:30" ht="15" customHeight="1" x14ac:dyDescent="0.25">
      <c r="A277" s="50" t="str">
        <f>IF($AB277="","",IFERROR(IF(AND(INDEX('ORDER Form'!$N$1:$N$355,$AB277)="GB",LEFT(UPPER(TRIM(INDEX('ORDER Form'!$L$1:$L$355,$AB277))),2)="BT"),INDEX('ORDER Form'!$AC$1:$AC$355,$AB277),IFERROR(VLOOKUP(INDEX('ORDER Form'!$AC$1:$AC$355,$AB277)&amp;"|"&amp;INDEX('PRODUCT DATA'!$A$2:$A$58,MATCH(INDEX('ORDER Form'!$N$1:$N$355,$AB277),'PRODUCT DATA'!$B$2:$B$58,0)),'PRODUCT DATA'!$NO$2:$NP$25,2,FALSE()),INDEX('ORDER Form'!$AC$1:$AC$355,$AB277)))&amp;"",""))</f>
        <v/>
      </c>
      <c r="B277" s="49"/>
      <c r="C277" s="51" t="str">
        <f>IF($AB277="","",INDEX('ORDER Form'!$C$1:$C$355,$AB277))</f>
        <v/>
      </c>
      <c r="D277" s="49"/>
      <c r="E277" s="49"/>
      <c r="F277" s="49"/>
      <c r="G277" s="49"/>
      <c r="H277" s="49"/>
      <c r="I277" s="49"/>
      <c r="J277" s="50" t="str">
        <f>IF($AB277="","",INDEX('ORDER Form'!$D$1:$D$355,$AB277)&amp;"")</f>
        <v/>
      </c>
      <c r="K277" s="50" t="str">
        <f>IF($AB277="","",INDEX('ORDER Form'!$E$1:$E$355,$AB277)&amp;"")</f>
        <v/>
      </c>
      <c r="L277" s="50" t="str">
        <f>IF($AB277="","",INDEX('ORDER Form'!$F$1:$F$355,$AB277)&amp;"")</f>
        <v/>
      </c>
      <c r="M277" s="50" t="str">
        <f>IF($AB277="","",INDEX('ORDER Form'!$G$1:$G$355,$AB277)&amp;"")</f>
        <v/>
      </c>
      <c r="N277" s="50" t="str">
        <f>IF($AB277="","",INDEX('ORDER Form'!$H$1:$H$355,$AB277)&amp;"")</f>
        <v/>
      </c>
      <c r="O277" s="50" t="str">
        <f>IF($AB277="","",INDEX('ORDER Form'!$I$1:$I$355,$AB277)&amp;"")</f>
        <v/>
      </c>
      <c r="P277" s="50" t="str">
        <f>IF($AB277="","",INDEX('ORDER Form'!$J$1:$J$355,$AB277)&amp;"")</f>
        <v/>
      </c>
      <c r="Q277" s="50" t="str">
        <f>IF($AB277="","",INDEX('ORDER Form'!$AB$1:$AB$355,$AB277)&amp;"")</f>
        <v/>
      </c>
      <c r="R277" s="50" t="str">
        <f>IF($AB277="","",INDEX('ORDER Form'!$L$1:$L$355,$AB277)&amp;"")</f>
        <v/>
      </c>
      <c r="S277" s="50" t="str">
        <f>IF($AB277="","",INDEX('ORDER Form'!$N$1:$N$355,$AB277)&amp;"")</f>
        <v/>
      </c>
      <c r="T277" s="50" t="str">
        <f>IF($AB277="","",IF($AD277,T$3,INDEX('ORDER Form'!$O$1:$O$355,$AB277))&amp;"")</f>
        <v/>
      </c>
      <c r="U277" s="50" t="str">
        <f>IF($AB277="","",IF($AD277,U$3,INDEX('ORDER Form'!$P$1:$P$355,$AB277))&amp;"")</f>
        <v/>
      </c>
      <c r="V277" s="50" t="str">
        <f>IF($AB277="","",IF($AD277,V$3,INDEX('ORDER Form'!$Q$1:$Q$355,$AB277))&amp;"")</f>
        <v/>
      </c>
      <c r="W277" s="50" t="str">
        <f>IF($AB277="","",IF($AD277,W$3,INDEX('ORDER Form'!$R$1:$R$355,$AB277))&amp;"")</f>
        <v/>
      </c>
      <c r="X277" s="50" t="str">
        <f>IF($AB277="","",IF($AD277,X$3,INDEX('ORDER Form'!$S$1:$S$355,$AB277))&amp;"")</f>
        <v/>
      </c>
      <c r="Y277" s="50" t="str">
        <f>IF($AB277="","",IF($AD277,Y$3,INDEX('ORDER Form'!$T$1:$T$355,$AB277))&amp;"")</f>
        <v/>
      </c>
      <c r="Z277" s="50" t="str">
        <f>IF($AB277="","",IF($AD277,Z$3,INDEX('ORDER Form'!$U$1:$U$355,$AB277))&amp;"")</f>
        <v/>
      </c>
      <c r="AB277" s="51" t="str">
        <f>IFERROR(MATCH(273,$AC$5:$AC$354,0)+5,"")</f>
        <v/>
      </c>
      <c r="AC277" s="51" t="str">
        <f>IF('ORDER Form'!$V278="OK",COUNTIF('ORDER Form'!$V$6:$V278,"OK"),"")</f>
        <v/>
      </c>
      <c r="AD277" s="51" t="str">
        <f>IF($AB277="","",(LEN(TRIM(INDEX('ORDER Form'!$O$1:$O$355,$AB277)))+LEN(TRIM(INDEX('ORDER Form'!$P$1:$P$355,$AB277)))+LEN(TRIM(INDEX('ORDER Form'!$Q$1:$Q$355,$AB277)))+LEN(TRIM(INDEX('ORDER Form'!$R$1:$R$355,$AB277)))+LEN(TRIM(INDEX('ORDER Form'!$S$1:$S$355,$AB277)))+LEN(TRIM(INDEX('ORDER Form'!$T$1:$T$355,$AB277)))+LEN(TRIM(INDEX('ORDER Form'!$U$1:$U$355,$AB277))))=0)</f>
        <v/>
      </c>
    </row>
    <row r="278" spans="1:30" ht="15" customHeight="1" x14ac:dyDescent="0.25">
      <c r="A278" s="50" t="str">
        <f>IF($AB278="","",IFERROR(IF(AND(INDEX('ORDER Form'!$N$1:$N$355,$AB278)="GB",LEFT(UPPER(TRIM(INDEX('ORDER Form'!$L$1:$L$355,$AB278))),2)="BT"),INDEX('ORDER Form'!$AC$1:$AC$355,$AB278),IFERROR(VLOOKUP(INDEX('ORDER Form'!$AC$1:$AC$355,$AB278)&amp;"|"&amp;INDEX('PRODUCT DATA'!$A$2:$A$58,MATCH(INDEX('ORDER Form'!$N$1:$N$355,$AB278),'PRODUCT DATA'!$B$2:$B$58,0)),'PRODUCT DATA'!$NO$2:$NP$25,2,FALSE()),INDEX('ORDER Form'!$AC$1:$AC$355,$AB278)))&amp;"",""))</f>
        <v/>
      </c>
      <c r="B278" s="49"/>
      <c r="C278" s="51" t="str">
        <f>IF($AB278="","",INDEX('ORDER Form'!$C$1:$C$355,$AB278))</f>
        <v/>
      </c>
      <c r="D278" s="49"/>
      <c r="E278" s="49"/>
      <c r="F278" s="49"/>
      <c r="G278" s="49"/>
      <c r="H278" s="49"/>
      <c r="I278" s="49"/>
      <c r="J278" s="50" t="str">
        <f>IF($AB278="","",INDEX('ORDER Form'!$D$1:$D$355,$AB278)&amp;"")</f>
        <v/>
      </c>
      <c r="K278" s="50" t="str">
        <f>IF($AB278="","",INDEX('ORDER Form'!$E$1:$E$355,$AB278)&amp;"")</f>
        <v/>
      </c>
      <c r="L278" s="50" t="str">
        <f>IF($AB278="","",INDEX('ORDER Form'!$F$1:$F$355,$AB278)&amp;"")</f>
        <v/>
      </c>
      <c r="M278" s="50" t="str">
        <f>IF($AB278="","",INDEX('ORDER Form'!$G$1:$G$355,$AB278)&amp;"")</f>
        <v/>
      </c>
      <c r="N278" s="50" t="str">
        <f>IF($AB278="","",INDEX('ORDER Form'!$H$1:$H$355,$AB278)&amp;"")</f>
        <v/>
      </c>
      <c r="O278" s="50" t="str">
        <f>IF($AB278="","",INDEX('ORDER Form'!$I$1:$I$355,$AB278)&amp;"")</f>
        <v/>
      </c>
      <c r="P278" s="50" t="str">
        <f>IF($AB278="","",INDEX('ORDER Form'!$J$1:$J$355,$AB278)&amp;"")</f>
        <v/>
      </c>
      <c r="Q278" s="50" t="str">
        <f>IF($AB278="","",INDEX('ORDER Form'!$AB$1:$AB$355,$AB278)&amp;"")</f>
        <v/>
      </c>
      <c r="R278" s="50" t="str">
        <f>IF($AB278="","",INDEX('ORDER Form'!$L$1:$L$355,$AB278)&amp;"")</f>
        <v/>
      </c>
      <c r="S278" s="50" t="str">
        <f>IF($AB278="","",INDEX('ORDER Form'!$N$1:$N$355,$AB278)&amp;"")</f>
        <v/>
      </c>
      <c r="T278" s="50" t="str">
        <f>IF($AB278="","",IF($AD278,T$3,INDEX('ORDER Form'!$O$1:$O$355,$AB278))&amp;"")</f>
        <v/>
      </c>
      <c r="U278" s="50" t="str">
        <f>IF($AB278="","",IF($AD278,U$3,INDEX('ORDER Form'!$P$1:$P$355,$AB278))&amp;"")</f>
        <v/>
      </c>
      <c r="V278" s="50" t="str">
        <f>IF($AB278="","",IF($AD278,V$3,INDEX('ORDER Form'!$Q$1:$Q$355,$AB278))&amp;"")</f>
        <v/>
      </c>
      <c r="W278" s="50" t="str">
        <f>IF($AB278="","",IF($AD278,W$3,INDEX('ORDER Form'!$R$1:$R$355,$AB278))&amp;"")</f>
        <v/>
      </c>
      <c r="X278" s="50" t="str">
        <f>IF($AB278="","",IF($AD278,X$3,INDEX('ORDER Form'!$S$1:$S$355,$AB278))&amp;"")</f>
        <v/>
      </c>
      <c r="Y278" s="50" t="str">
        <f>IF($AB278="","",IF($AD278,Y$3,INDEX('ORDER Form'!$T$1:$T$355,$AB278))&amp;"")</f>
        <v/>
      </c>
      <c r="Z278" s="50" t="str">
        <f>IF($AB278="","",IF($AD278,Z$3,INDEX('ORDER Form'!$U$1:$U$355,$AB278))&amp;"")</f>
        <v/>
      </c>
      <c r="AB278" s="51" t="str">
        <f>IFERROR(MATCH(274,$AC$5:$AC$354,0)+5,"")</f>
        <v/>
      </c>
      <c r="AC278" s="51" t="str">
        <f>IF('ORDER Form'!$V279="OK",COUNTIF('ORDER Form'!$V$6:$V279,"OK"),"")</f>
        <v/>
      </c>
      <c r="AD278" s="51" t="str">
        <f>IF($AB278="","",(LEN(TRIM(INDEX('ORDER Form'!$O$1:$O$355,$AB278)))+LEN(TRIM(INDEX('ORDER Form'!$P$1:$P$355,$AB278)))+LEN(TRIM(INDEX('ORDER Form'!$Q$1:$Q$355,$AB278)))+LEN(TRIM(INDEX('ORDER Form'!$R$1:$R$355,$AB278)))+LEN(TRIM(INDEX('ORDER Form'!$S$1:$S$355,$AB278)))+LEN(TRIM(INDEX('ORDER Form'!$T$1:$T$355,$AB278)))+LEN(TRIM(INDEX('ORDER Form'!$U$1:$U$355,$AB278))))=0)</f>
        <v/>
      </c>
    </row>
    <row r="279" spans="1:30" ht="15" customHeight="1" x14ac:dyDescent="0.25">
      <c r="A279" s="50" t="str">
        <f>IF($AB279="","",IFERROR(IF(AND(INDEX('ORDER Form'!$N$1:$N$355,$AB279)="GB",LEFT(UPPER(TRIM(INDEX('ORDER Form'!$L$1:$L$355,$AB279))),2)="BT"),INDEX('ORDER Form'!$AC$1:$AC$355,$AB279),IFERROR(VLOOKUP(INDEX('ORDER Form'!$AC$1:$AC$355,$AB279)&amp;"|"&amp;INDEX('PRODUCT DATA'!$A$2:$A$58,MATCH(INDEX('ORDER Form'!$N$1:$N$355,$AB279),'PRODUCT DATA'!$B$2:$B$58,0)),'PRODUCT DATA'!$NO$2:$NP$25,2,FALSE()),INDEX('ORDER Form'!$AC$1:$AC$355,$AB279)))&amp;"",""))</f>
        <v/>
      </c>
      <c r="B279" s="49"/>
      <c r="C279" s="51" t="str">
        <f>IF($AB279="","",INDEX('ORDER Form'!$C$1:$C$355,$AB279))</f>
        <v/>
      </c>
      <c r="D279" s="49"/>
      <c r="E279" s="49"/>
      <c r="F279" s="49"/>
      <c r="G279" s="49"/>
      <c r="H279" s="49"/>
      <c r="I279" s="49"/>
      <c r="J279" s="50" t="str">
        <f>IF($AB279="","",INDEX('ORDER Form'!$D$1:$D$355,$AB279)&amp;"")</f>
        <v/>
      </c>
      <c r="K279" s="50" t="str">
        <f>IF($AB279="","",INDEX('ORDER Form'!$E$1:$E$355,$AB279)&amp;"")</f>
        <v/>
      </c>
      <c r="L279" s="50" t="str">
        <f>IF($AB279="","",INDEX('ORDER Form'!$F$1:$F$355,$AB279)&amp;"")</f>
        <v/>
      </c>
      <c r="M279" s="50" t="str">
        <f>IF($AB279="","",INDEX('ORDER Form'!$G$1:$G$355,$AB279)&amp;"")</f>
        <v/>
      </c>
      <c r="N279" s="50" t="str">
        <f>IF($AB279="","",INDEX('ORDER Form'!$H$1:$H$355,$AB279)&amp;"")</f>
        <v/>
      </c>
      <c r="O279" s="50" t="str">
        <f>IF($AB279="","",INDEX('ORDER Form'!$I$1:$I$355,$AB279)&amp;"")</f>
        <v/>
      </c>
      <c r="P279" s="50" t="str">
        <f>IF($AB279="","",INDEX('ORDER Form'!$J$1:$J$355,$AB279)&amp;"")</f>
        <v/>
      </c>
      <c r="Q279" s="50" t="str">
        <f>IF($AB279="","",INDEX('ORDER Form'!$AB$1:$AB$355,$AB279)&amp;"")</f>
        <v/>
      </c>
      <c r="R279" s="50" t="str">
        <f>IF($AB279="","",INDEX('ORDER Form'!$L$1:$L$355,$AB279)&amp;"")</f>
        <v/>
      </c>
      <c r="S279" s="50" t="str">
        <f>IF($AB279="","",INDEX('ORDER Form'!$N$1:$N$355,$AB279)&amp;"")</f>
        <v/>
      </c>
      <c r="T279" s="50" t="str">
        <f>IF($AB279="","",IF($AD279,T$3,INDEX('ORDER Form'!$O$1:$O$355,$AB279))&amp;"")</f>
        <v/>
      </c>
      <c r="U279" s="50" t="str">
        <f>IF($AB279="","",IF($AD279,U$3,INDEX('ORDER Form'!$P$1:$P$355,$AB279))&amp;"")</f>
        <v/>
      </c>
      <c r="V279" s="50" t="str">
        <f>IF($AB279="","",IF($AD279,V$3,INDEX('ORDER Form'!$Q$1:$Q$355,$AB279))&amp;"")</f>
        <v/>
      </c>
      <c r="W279" s="50" t="str">
        <f>IF($AB279="","",IF($AD279,W$3,INDEX('ORDER Form'!$R$1:$R$355,$AB279))&amp;"")</f>
        <v/>
      </c>
      <c r="X279" s="50" t="str">
        <f>IF($AB279="","",IF($AD279,X$3,INDEX('ORDER Form'!$S$1:$S$355,$AB279))&amp;"")</f>
        <v/>
      </c>
      <c r="Y279" s="50" t="str">
        <f>IF($AB279="","",IF($AD279,Y$3,INDEX('ORDER Form'!$T$1:$T$355,$AB279))&amp;"")</f>
        <v/>
      </c>
      <c r="Z279" s="50" t="str">
        <f>IF($AB279="","",IF($AD279,Z$3,INDEX('ORDER Form'!$U$1:$U$355,$AB279))&amp;"")</f>
        <v/>
      </c>
      <c r="AB279" s="51" t="str">
        <f>IFERROR(MATCH(275,$AC$5:$AC$354,0)+5,"")</f>
        <v/>
      </c>
      <c r="AC279" s="51" t="str">
        <f>IF('ORDER Form'!$V280="OK",COUNTIF('ORDER Form'!$V$6:$V280,"OK"),"")</f>
        <v/>
      </c>
      <c r="AD279" s="51" t="str">
        <f>IF($AB279="","",(LEN(TRIM(INDEX('ORDER Form'!$O$1:$O$355,$AB279)))+LEN(TRIM(INDEX('ORDER Form'!$P$1:$P$355,$AB279)))+LEN(TRIM(INDEX('ORDER Form'!$Q$1:$Q$355,$AB279)))+LEN(TRIM(INDEX('ORDER Form'!$R$1:$R$355,$AB279)))+LEN(TRIM(INDEX('ORDER Form'!$S$1:$S$355,$AB279)))+LEN(TRIM(INDEX('ORDER Form'!$T$1:$T$355,$AB279)))+LEN(TRIM(INDEX('ORDER Form'!$U$1:$U$355,$AB279))))=0)</f>
        <v/>
      </c>
    </row>
    <row r="280" spans="1:30" ht="15" customHeight="1" x14ac:dyDescent="0.25">
      <c r="A280" s="50" t="str">
        <f>IF($AB280="","",IFERROR(IF(AND(INDEX('ORDER Form'!$N$1:$N$355,$AB280)="GB",LEFT(UPPER(TRIM(INDEX('ORDER Form'!$L$1:$L$355,$AB280))),2)="BT"),INDEX('ORDER Form'!$AC$1:$AC$355,$AB280),IFERROR(VLOOKUP(INDEX('ORDER Form'!$AC$1:$AC$355,$AB280)&amp;"|"&amp;INDEX('PRODUCT DATA'!$A$2:$A$58,MATCH(INDEX('ORDER Form'!$N$1:$N$355,$AB280),'PRODUCT DATA'!$B$2:$B$58,0)),'PRODUCT DATA'!$NO$2:$NP$25,2,FALSE()),INDEX('ORDER Form'!$AC$1:$AC$355,$AB280)))&amp;"",""))</f>
        <v/>
      </c>
      <c r="B280" s="49"/>
      <c r="C280" s="51" t="str">
        <f>IF($AB280="","",INDEX('ORDER Form'!$C$1:$C$355,$AB280))</f>
        <v/>
      </c>
      <c r="D280" s="49"/>
      <c r="E280" s="49"/>
      <c r="F280" s="49"/>
      <c r="G280" s="49"/>
      <c r="H280" s="49"/>
      <c r="I280" s="49"/>
      <c r="J280" s="50" t="str">
        <f>IF($AB280="","",INDEX('ORDER Form'!$D$1:$D$355,$AB280)&amp;"")</f>
        <v/>
      </c>
      <c r="K280" s="50" t="str">
        <f>IF($AB280="","",INDEX('ORDER Form'!$E$1:$E$355,$AB280)&amp;"")</f>
        <v/>
      </c>
      <c r="L280" s="50" t="str">
        <f>IF($AB280="","",INDEX('ORDER Form'!$F$1:$F$355,$AB280)&amp;"")</f>
        <v/>
      </c>
      <c r="M280" s="50" t="str">
        <f>IF($AB280="","",INDEX('ORDER Form'!$G$1:$G$355,$AB280)&amp;"")</f>
        <v/>
      </c>
      <c r="N280" s="50" t="str">
        <f>IF($AB280="","",INDEX('ORDER Form'!$H$1:$H$355,$AB280)&amp;"")</f>
        <v/>
      </c>
      <c r="O280" s="50" t="str">
        <f>IF($AB280="","",INDEX('ORDER Form'!$I$1:$I$355,$AB280)&amp;"")</f>
        <v/>
      </c>
      <c r="P280" s="50" t="str">
        <f>IF($AB280="","",INDEX('ORDER Form'!$J$1:$J$355,$AB280)&amp;"")</f>
        <v/>
      </c>
      <c r="Q280" s="50" t="str">
        <f>IF($AB280="","",INDEX('ORDER Form'!$AB$1:$AB$355,$AB280)&amp;"")</f>
        <v/>
      </c>
      <c r="R280" s="50" t="str">
        <f>IF($AB280="","",INDEX('ORDER Form'!$L$1:$L$355,$AB280)&amp;"")</f>
        <v/>
      </c>
      <c r="S280" s="50" t="str">
        <f>IF($AB280="","",INDEX('ORDER Form'!$N$1:$N$355,$AB280)&amp;"")</f>
        <v/>
      </c>
      <c r="T280" s="50" t="str">
        <f>IF($AB280="","",IF($AD280,T$3,INDEX('ORDER Form'!$O$1:$O$355,$AB280))&amp;"")</f>
        <v/>
      </c>
      <c r="U280" s="50" t="str">
        <f>IF($AB280="","",IF($AD280,U$3,INDEX('ORDER Form'!$P$1:$P$355,$AB280))&amp;"")</f>
        <v/>
      </c>
      <c r="V280" s="50" t="str">
        <f>IF($AB280="","",IF($AD280,V$3,INDEX('ORDER Form'!$Q$1:$Q$355,$AB280))&amp;"")</f>
        <v/>
      </c>
      <c r="W280" s="50" t="str">
        <f>IF($AB280="","",IF($AD280,W$3,INDEX('ORDER Form'!$R$1:$R$355,$AB280))&amp;"")</f>
        <v/>
      </c>
      <c r="X280" s="50" t="str">
        <f>IF($AB280="","",IF($AD280,X$3,INDEX('ORDER Form'!$S$1:$S$355,$AB280))&amp;"")</f>
        <v/>
      </c>
      <c r="Y280" s="50" t="str">
        <f>IF($AB280="","",IF($AD280,Y$3,INDEX('ORDER Form'!$T$1:$T$355,$AB280))&amp;"")</f>
        <v/>
      </c>
      <c r="Z280" s="50" t="str">
        <f>IF($AB280="","",IF($AD280,Z$3,INDEX('ORDER Form'!$U$1:$U$355,$AB280))&amp;"")</f>
        <v/>
      </c>
      <c r="AB280" s="51" t="str">
        <f>IFERROR(MATCH(276,$AC$5:$AC$354,0)+5,"")</f>
        <v/>
      </c>
      <c r="AC280" s="51" t="str">
        <f>IF('ORDER Form'!$V281="OK",COUNTIF('ORDER Form'!$V$6:$V281,"OK"),"")</f>
        <v/>
      </c>
      <c r="AD280" s="51" t="str">
        <f>IF($AB280="","",(LEN(TRIM(INDEX('ORDER Form'!$O$1:$O$355,$AB280)))+LEN(TRIM(INDEX('ORDER Form'!$P$1:$P$355,$AB280)))+LEN(TRIM(INDEX('ORDER Form'!$Q$1:$Q$355,$AB280)))+LEN(TRIM(INDEX('ORDER Form'!$R$1:$R$355,$AB280)))+LEN(TRIM(INDEX('ORDER Form'!$S$1:$S$355,$AB280)))+LEN(TRIM(INDEX('ORDER Form'!$T$1:$T$355,$AB280)))+LEN(TRIM(INDEX('ORDER Form'!$U$1:$U$355,$AB280))))=0)</f>
        <v/>
      </c>
    </row>
    <row r="281" spans="1:30" ht="15" customHeight="1" x14ac:dyDescent="0.25">
      <c r="A281" s="50" t="str">
        <f>IF($AB281="","",IFERROR(IF(AND(INDEX('ORDER Form'!$N$1:$N$355,$AB281)="GB",LEFT(UPPER(TRIM(INDEX('ORDER Form'!$L$1:$L$355,$AB281))),2)="BT"),INDEX('ORDER Form'!$AC$1:$AC$355,$AB281),IFERROR(VLOOKUP(INDEX('ORDER Form'!$AC$1:$AC$355,$AB281)&amp;"|"&amp;INDEX('PRODUCT DATA'!$A$2:$A$58,MATCH(INDEX('ORDER Form'!$N$1:$N$355,$AB281),'PRODUCT DATA'!$B$2:$B$58,0)),'PRODUCT DATA'!$NO$2:$NP$25,2,FALSE()),INDEX('ORDER Form'!$AC$1:$AC$355,$AB281)))&amp;"",""))</f>
        <v/>
      </c>
      <c r="B281" s="49"/>
      <c r="C281" s="51" t="str">
        <f>IF($AB281="","",INDEX('ORDER Form'!$C$1:$C$355,$AB281))</f>
        <v/>
      </c>
      <c r="D281" s="49"/>
      <c r="E281" s="49"/>
      <c r="F281" s="49"/>
      <c r="G281" s="49"/>
      <c r="H281" s="49"/>
      <c r="I281" s="49"/>
      <c r="J281" s="50" t="str">
        <f>IF($AB281="","",INDEX('ORDER Form'!$D$1:$D$355,$AB281)&amp;"")</f>
        <v/>
      </c>
      <c r="K281" s="50" t="str">
        <f>IF($AB281="","",INDEX('ORDER Form'!$E$1:$E$355,$AB281)&amp;"")</f>
        <v/>
      </c>
      <c r="L281" s="50" t="str">
        <f>IF($AB281="","",INDEX('ORDER Form'!$F$1:$F$355,$AB281)&amp;"")</f>
        <v/>
      </c>
      <c r="M281" s="50" t="str">
        <f>IF($AB281="","",INDEX('ORDER Form'!$G$1:$G$355,$AB281)&amp;"")</f>
        <v/>
      </c>
      <c r="N281" s="50" t="str">
        <f>IF($AB281="","",INDEX('ORDER Form'!$H$1:$H$355,$AB281)&amp;"")</f>
        <v/>
      </c>
      <c r="O281" s="50" t="str">
        <f>IF($AB281="","",INDEX('ORDER Form'!$I$1:$I$355,$AB281)&amp;"")</f>
        <v/>
      </c>
      <c r="P281" s="50" t="str">
        <f>IF($AB281="","",INDEX('ORDER Form'!$J$1:$J$355,$AB281)&amp;"")</f>
        <v/>
      </c>
      <c r="Q281" s="50" t="str">
        <f>IF($AB281="","",INDEX('ORDER Form'!$AB$1:$AB$355,$AB281)&amp;"")</f>
        <v/>
      </c>
      <c r="R281" s="50" t="str">
        <f>IF($AB281="","",INDEX('ORDER Form'!$L$1:$L$355,$AB281)&amp;"")</f>
        <v/>
      </c>
      <c r="S281" s="50" t="str">
        <f>IF($AB281="","",INDEX('ORDER Form'!$N$1:$N$355,$AB281)&amp;"")</f>
        <v/>
      </c>
      <c r="T281" s="50" t="str">
        <f>IF($AB281="","",IF($AD281,T$3,INDEX('ORDER Form'!$O$1:$O$355,$AB281))&amp;"")</f>
        <v/>
      </c>
      <c r="U281" s="50" t="str">
        <f>IF($AB281="","",IF($AD281,U$3,INDEX('ORDER Form'!$P$1:$P$355,$AB281))&amp;"")</f>
        <v/>
      </c>
      <c r="V281" s="50" t="str">
        <f>IF($AB281="","",IF($AD281,V$3,INDEX('ORDER Form'!$Q$1:$Q$355,$AB281))&amp;"")</f>
        <v/>
      </c>
      <c r="W281" s="50" t="str">
        <f>IF($AB281="","",IF($AD281,W$3,INDEX('ORDER Form'!$R$1:$R$355,$AB281))&amp;"")</f>
        <v/>
      </c>
      <c r="X281" s="50" t="str">
        <f>IF($AB281="","",IF($AD281,X$3,INDEX('ORDER Form'!$S$1:$S$355,$AB281))&amp;"")</f>
        <v/>
      </c>
      <c r="Y281" s="50" t="str">
        <f>IF($AB281="","",IF($AD281,Y$3,INDEX('ORDER Form'!$T$1:$T$355,$AB281))&amp;"")</f>
        <v/>
      </c>
      <c r="Z281" s="50" t="str">
        <f>IF($AB281="","",IF($AD281,Z$3,INDEX('ORDER Form'!$U$1:$U$355,$AB281))&amp;"")</f>
        <v/>
      </c>
      <c r="AB281" s="51" t="str">
        <f>IFERROR(MATCH(277,$AC$5:$AC$354,0)+5,"")</f>
        <v/>
      </c>
      <c r="AC281" s="51" t="str">
        <f>IF('ORDER Form'!$V282="OK",COUNTIF('ORDER Form'!$V$6:$V282,"OK"),"")</f>
        <v/>
      </c>
      <c r="AD281" s="51" t="str">
        <f>IF($AB281="","",(LEN(TRIM(INDEX('ORDER Form'!$O$1:$O$355,$AB281)))+LEN(TRIM(INDEX('ORDER Form'!$P$1:$P$355,$AB281)))+LEN(TRIM(INDEX('ORDER Form'!$Q$1:$Q$355,$AB281)))+LEN(TRIM(INDEX('ORDER Form'!$R$1:$R$355,$AB281)))+LEN(TRIM(INDEX('ORDER Form'!$S$1:$S$355,$AB281)))+LEN(TRIM(INDEX('ORDER Form'!$T$1:$T$355,$AB281)))+LEN(TRIM(INDEX('ORDER Form'!$U$1:$U$355,$AB281))))=0)</f>
        <v/>
      </c>
    </row>
    <row r="282" spans="1:30" ht="15" customHeight="1" x14ac:dyDescent="0.25">
      <c r="A282" s="50" t="str">
        <f>IF($AB282="","",IFERROR(IF(AND(INDEX('ORDER Form'!$N$1:$N$355,$AB282)="GB",LEFT(UPPER(TRIM(INDEX('ORDER Form'!$L$1:$L$355,$AB282))),2)="BT"),INDEX('ORDER Form'!$AC$1:$AC$355,$AB282),IFERROR(VLOOKUP(INDEX('ORDER Form'!$AC$1:$AC$355,$AB282)&amp;"|"&amp;INDEX('PRODUCT DATA'!$A$2:$A$58,MATCH(INDEX('ORDER Form'!$N$1:$N$355,$AB282),'PRODUCT DATA'!$B$2:$B$58,0)),'PRODUCT DATA'!$NO$2:$NP$25,2,FALSE()),INDEX('ORDER Form'!$AC$1:$AC$355,$AB282)))&amp;"",""))</f>
        <v/>
      </c>
      <c r="B282" s="49"/>
      <c r="C282" s="51" t="str">
        <f>IF($AB282="","",INDEX('ORDER Form'!$C$1:$C$355,$AB282))</f>
        <v/>
      </c>
      <c r="D282" s="49"/>
      <c r="E282" s="49"/>
      <c r="F282" s="49"/>
      <c r="G282" s="49"/>
      <c r="H282" s="49"/>
      <c r="I282" s="49"/>
      <c r="J282" s="50" t="str">
        <f>IF($AB282="","",INDEX('ORDER Form'!$D$1:$D$355,$AB282)&amp;"")</f>
        <v/>
      </c>
      <c r="K282" s="50" t="str">
        <f>IF($AB282="","",INDEX('ORDER Form'!$E$1:$E$355,$AB282)&amp;"")</f>
        <v/>
      </c>
      <c r="L282" s="50" t="str">
        <f>IF($AB282="","",INDEX('ORDER Form'!$F$1:$F$355,$AB282)&amp;"")</f>
        <v/>
      </c>
      <c r="M282" s="50" t="str">
        <f>IF($AB282="","",INDEX('ORDER Form'!$G$1:$G$355,$AB282)&amp;"")</f>
        <v/>
      </c>
      <c r="N282" s="50" t="str">
        <f>IF($AB282="","",INDEX('ORDER Form'!$H$1:$H$355,$AB282)&amp;"")</f>
        <v/>
      </c>
      <c r="O282" s="50" t="str">
        <f>IF($AB282="","",INDEX('ORDER Form'!$I$1:$I$355,$AB282)&amp;"")</f>
        <v/>
      </c>
      <c r="P282" s="50" t="str">
        <f>IF($AB282="","",INDEX('ORDER Form'!$J$1:$J$355,$AB282)&amp;"")</f>
        <v/>
      </c>
      <c r="Q282" s="50" t="str">
        <f>IF($AB282="","",INDEX('ORDER Form'!$AB$1:$AB$355,$AB282)&amp;"")</f>
        <v/>
      </c>
      <c r="R282" s="50" t="str">
        <f>IF($AB282="","",INDEX('ORDER Form'!$L$1:$L$355,$AB282)&amp;"")</f>
        <v/>
      </c>
      <c r="S282" s="50" t="str">
        <f>IF($AB282="","",INDEX('ORDER Form'!$N$1:$N$355,$AB282)&amp;"")</f>
        <v/>
      </c>
      <c r="T282" s="50" t="str">
        <f>IF($AB282="","",IF($AD282,T$3,INDEX('ORDER Form'!$O$1:$O$355,$AB282))&amp;"")</f>
        <v/>
      </c>
      <c r="U282" s="50" t="str">
        <f>IF($AB282="","",IF($AD282,U$3,INDEX('ORDER Form'!$P$1:$P$355,$AB282))&amp;"")</f>
        <v/>
      </c>
      <c r="V282" s="50" t="str">
        <f>IF($AB282="","",IF($AD282,V$3,INDEX('ORDER Form'!$Q$1:$Q$355,$AB282))&amp;"")</f>
        <v/>
      </c>
      <c r="W282" s="50" t="str">
        <f>IF($AB282="","",IF($AD282,W$3,INDEX('ORDER Form'!$R$1:$R$355,$AB282))&amp;"")</f>
        <v/>
      </c>
      <c r="X282" s="50" t="str">
        <f>IF($AB282="","",IF($AD282,X$3,INDEX('ORDER Form'!$S$1:$S$355,$AB282))&amp;"")</f>
        <v/>
      </c>
      <c r="Y282" s="50" t="str">
        <f>IF($AB282="","",IF($AD282,Y$3,INDEX('ORDER Form'!$T$1:$T$355,$AB282))&amp;"")</f>
        <v/>
      </c>
      <c r="Z282" s="50" t="str">
        <f>IF($AB282="","",IF($AD282,Z$3,INDEX('ORDER Form'!$U$1:$U$355,$AB282))&amp;"")</f>
        <v/>
      </c>
      <c r="AB282" s="51" t="str">
        <f>IFERROR(MATCH(278,$AC$5:$AC$354,0)+5,"")</f>
        <v/>
      </c>
      <c r="AC282" s="51" t="str">
        <f>IF('ORDER Form'!$V283="OK",COUNTIF('ORDER Form'!$V$6:$V283,"OK"),"")</f>
        <v/>
      </c>
      <c r="AD282" s="51" t="str">
        <f>IF($AB282="","",(LEN(TRIM(INDEX('ORDER Form'!$O$1:$O$355,$AB282)))+LEN(TRIM(INDEX('ORDER Form'!$P$1:$P$355,$AB282)))+LEN(TRIM(INDEX('ORDER Form'!$Q$1:$Q$355,$AB282)))+LEN(TRIM(INDEX('ORDER Form'!$R$1:$R$355,$AB282)))+LEN(TRIM(INDEX('ORDER Form'!$S$1:$S$355,$AB282)))+LEN(TRIM(INDEX('ORDER Form'!$T$1:$T$355,$AB282)))+LEN(TRIM(INDEX('ORDER Form'!$U$1:$U$355,$AB282))))=0)</f>
        <v/>
      </c>
    </row>
    <row r="283" spans="1:30" ht="15" customHeight="1" x14ac:dyDescent="0.25">
      <c r="A283" s="50" t="str">
        <f>IF($AB283="","",IFERROR(IF(AND(INDEX('ORDER Form'!$N$1:$N$355,$AB283)="GB",LEFT(UPPER(TRIM(INDEX('ORDER Form'!$L$1:$L$355,$AB283))),2)="BT"),INDEX('ORDER Form'!$AC$1:$AC$355,$AB283),IFERROR(VLOOKUP(INDEX('ORDER Form'!$AC$1:$AC$355,$AB283)&amp;"|"&amp;INDEX('PRODUCT DATA'!$A$2:$A$58,MATCH(INDEX('ORDER Form'!$N$1:$N$355,$AB283),'PRODUCT DATA'!$B$2:$B$58,0)),'PRODUCT DATA'!$NO$2:$NP$25,2,FALSE()),INDEX('ORDER Form'!$AC$1:$AC$355,$AB283)))&amp;"",""))</f>
        <v/>
      </c>
      <c r="B283" s="49"/>
      <c r="C283" s="51" t="str">
        <f>IF($AB283="","",INDEX('ORDER Form'!$C$1:$C$355,$AB283))</f>
        <v/>
      </c>
      <c r="D283" s="49"/>
      <c r="E283" s="49"/>
      <c r="F283" s="49"/>
      <c r="G283" s="49"/>
      <c r="H283" s="49"/>
      <c r="I283" s="49"/>
      <c r="J283" s="50" t="str">
        <f>IF($AB283="","",INDEX('ORDER Form'!$D$1:$D$355,$AB283)&amp;"")</f>
        <v/>
      </c>
      <c r="K283" s="50" t="str">
        <f>IF($AB283="","",INDEX('ORDER Form'!$E$1:$E$355,$AB283)&amp;"")</f>
        <v/>
      </c>
      <c r="L283" s="50" t="str">
        <f>IF($AB283="","",INDEX('ORDER Form'!$F$1:$F$355,$AB283)&amp;"")</f>
        <v/>
      </c>
      <c r="M283" s="50" t="str">
        <f>IF($AB283="","",INDEX('ORDER Form'!$G$1:$G$355,$AB283)&amp;"")</f>
        <v/>
      </c>
      <c r="N283" s="50" t="str">
        <f>IF($AB283="","",INDEX('ORDER Form'!$H$1:$H$355,$AB283)&amp;"")</f>
        <v/>
      </c>
      <c r="O283" s="50" t="str">
        <f>IF($AB283="","",INDEX('ORDER Form'!$I$1:$I$355,$AB283)&amp;"")</f>
        <v/>
      </c>
      <c r="P283" s="50" t="str">
        <f>IF($AB283="","",INDEX('ORDER Form'!$J$1:$J$355,$AB283)&amp;"")</f>
        <v/>
      </c>
      <c r="Q283" s="50" t="str">
        <f>IF($AB283="","",INDEX('ORDER Form'!$AB$1:$AB$355,$AB283)&amp;"")</f>
        <v/>
      </c>
      <c r="R283" s="50" t="str">
        <f>IF($AB283="","",INDEX('ORDER Form'!$L$1:$L$355,$AB283)&amp;"")</f>
        <v/>
      </c>
      <c r="S283" s="50" t="str">
        <f>IF($AB283="","",INDEX('ORDER Form'!$N$1:$N$355,$AB283)&amp;"")</f>
        <v/>
      </c>
      <c r="T283" s="50" t="str">
        <f>IF($AB283="","",IF($AD283,T$3,INDEX('ORDER Form'!$O$1:$O$355,$AB283))&amp;"")</f>
        <v/>
      </c>
      <c r="U283" s="50" t="str">
        <f>IF($AB283="","",IF($AD283,U$3,INDEX('ORDER Form'!$P$1:$P$355,$AB283))&amp;"")</f>
        <v/>
      </c>
      <c r="V283" s="50" t="str">
        <f>IF($AB283="","",IF($AD283,V$3,INDEX('ORDER Form'!$Q$1:$Q$355,$AB283))&amp;"")</f>
        <v/>
      </c>
      <c r="W283" s="50" t="str">
        <f>IF($AB283="","",IF($AD283,W$3,INDEX('ORDER Form'!$R$1:$R$355,$AB283))&amp;"")</f>
        <v/>
      </c>
      <c r="X283" s="50" t="str">
        <f>IF($AB283="","",IF($AD283,X$3,INDEX('ORDER Form'!$S$1:$S$355,$AB283))&amp;"")</f>
        <v/>
      </c>
      <c r="Y283" s="50" t="str">
        <f>IF($AB283="","",IF($AD283,Y$3,INDEX('ORDER Form'!$T$1:$T$355,$AB283))&amp;"")</f>
        <v/>
      </c>
      <c r="Z283" s="50" t="str">
        <f>IF($AB283="","",IF($AD283,Z$3,INDEX('ORDER Form'!$U$1:$U$355,$AB283))&amp;"")</f>
        <v/>
      </c>
      <c r="AB283" s="51" t="str">
        <f>IFERROR(MATCH(279,$AC$5:$AC$354,0)+5,"")</f>
        <v/>
      </c>
      <c r="AC283" s="51" t="str">
        <f>IF('ORDER Form'!$V284="OK",COUNTIF('ORDER Form'!$V$6:$V284,"OK"),"")</f>
        <v/>
      </c>
      <c r="AD283" s="51" t="str">
        <f>IF($AB283="","",(LEN(TRIM(INDEX('ORDER Form'!$O$1:$O$355,$AB283)))+LEN(TRIM(INDEX('ORDER Form'!$P$1:$P$355,$AB283)))+LEN(TRIM(INDEX('ORDER Form'!$Q$1:$Q$355,$AB283)))+LEN(TRIM(INDEX('ORDER Form'!$R$1:$R$355,$AB283)))+LEN(TRIM(INDEX('ORDER Form'!$S$1:$S$355,$AB283)))+LEN(TRIM(INDEX('ORDER Form'!$T$1:$T$355,$AB283)))+LEN(TRIM(INDEX('ORDER Form'!$U$1:$U$355,$AB283))))=0)</f>
        <v/>
      </c>
    </row>
    <row r="284" spans="1:30" ht="15" customHeight="1" x14ac:dyDescent="0.25">
      <c r="A284" s="50" t="str">
        <f>IF($AB284="","",IFERROR(IF(AND(INDEX('ORDER Form'!$N$1:$N$355,$AB284)="GB",LEFT(UPPER(TRIM(INDEX('ORDER Form'!$L$1:$L$355,$AB284))),2)="BT"),INDEX('ORDER Form'!$AC$1:$AC$355,$AB284),IFERROR(VLOOKUP(INDEX('ORDER Form'!$AC$1:$AC$355,$AB284)&amp;"|"&amp;INDEX('PRODUCT DATA'!$A$2:$A$58,MATCH(INDEX('ORDER Form'!$N$1:$N$355,$AB284),'PRODUCT DATA'!$B$2:$B$58,0)),'PRODUCT DATA'!$NO$2:$NP$25,2,FALSE()),INDEX('ORDER Form'!$AC$1:$AC$355,$AB284)))&amp;"",""))</f>
        <v/>
      </c>
      <c r="B284" s="49"/>
      <c r="C284" s="51" t="str">
        <f>IF($AB284="","",INDEX('ORDER Form'!$C$1:$C$355,$AB284))</f>
        <v/>
      </c>
      <c r="D284" s="49"/>
      <c r="E284" s="49"/>
      <c r="F284" s="49"/>
      <c r="G284" s="49"/>
      <c r="H284" s="49"/>
      <c r="I284" s="49"/>
      <c r="J284" s="50" t="str">
        <f>IF($AB284="","",INDEX('ORDER Form'!$D$1:$D$355,$AB284)&amp;"")</f>
        <v/>
      </c>
      <c r="K284" s="50" t="str">
        <f>IF($AB284="","",INDEX('ORDER Form'!$E$1:$E$355,$AB284)&amp;"")</f>
        <v/>
      </c>
      <c r="L284" s="50" t="str">
        <f>IF($AB284="","",INDEX('ORDER Form'!$F$1:$F$355,$AB284)&amp;"")</f>
        <v/>
      </c>
      <c r="M284" s="50" t="str">
        <f>IF($AB284="","",INDEX('ORDER Form'!$G$1:$G$355,$AB284)&amp;"")</f>
        <v/>
      </c>
      <c r="N284" s="50" t="str">
        <f>IF($AB284="","",INDEX('ORDER Form'!$H$1:$H$355,$AB284)&amp;"")</f>
        <v/>
      </c>
      <c r="O284" s="50" t="str">
        <f>IF($AB284="","",INDEX('ORDER Form'!$I$1:$I$355,$AB284)&amp;"")</f>
        <v/>
      </c>
      <c r="P284" s="50" t="str">
        <f>IF($AB284="","",INDEX('ORDER Form'!$J$1:$J$355,$AB284)&amp;"")</f>
        <v/>
      </c>
      <c r="Q284" s="50" t="str">
        <f>IF($AB284="","",INDEX('ORDER Form'!$AB$1:$AB$355,$AB284)&amp;"")</f>
        <v/>
      </c>
      <c r="R284" s="50" t="str">
        <f>IF($AB284="","",INDEX('ORDER Form'!$L$1:$L$355,$AB284)&amp;"")</f>
        <v/>
      </c>
      <c r="S284" s="50" t="str">
        <f>IF($AB284="","",INDEX('ORDER Form'!$N$1:$N$355,$AB284)&amp;"")</f>
        <v/>
      </c>
      <c r="T284" s="50" t="str">
        <f>IF($AB284="","",IF($AD284,T$3,INDEX('ORDER Form'!$O$1:$O$355,$AB284))&amp;"")</f>
        <v/>
      </c>
      <c r="U284" s="50" t="str">
        <f>IF($AB284="","",IF($AD284,U$3,INDEX('ORDER Form'!$P$1:$P$355,$AB284))&amp;"")</f>
        <v/>
      </c>
      <c r="V284" s="50" t="str">
        <f>IF($AB284="","",IF($AD284,V$3,INDEX('ORDER Form'!$Q$1:$Q$355,$AB284))&amp;"")</f>
        <v/>
      </c>
      <c r="W284" s="50" t="str">
        <f>IF($AB284="","",IF($AD284,W$3,INDEX('ORDER Form'!$R$1:$R$355,$AB284))&amp;"")</f>
        <v/>
      </c>
      <c r="X284" s="50" t="str">
        <f>IF($AB284="","",IF($AD284,X$3,INDEX('ORDER Form'!$S$1:$S$355,$AB284))&amp;"")</f>
        <v/>
      </c>
      <c r="Y284" s="50" t="str">
        <f>IF($AB284="","",IF($AD284,Y$3,INDEX('ORDER Form'!$T$1:$T$355,$AB284))&amp;"")</f>
        <v/>
      </c>
      <c r="Z284" s="50" t="str">
        <f>IF($AB284="","",IF($AD284,Z$3,INDEX('ORDER Form'!$U$1:$U$355,$AB284))&amp;"")</f>
        <v/>
      </c>
      <c r="AB284" s="51" t="str">
        <f>IFERROR(MATCH(280,$AC$5:$AC$354,0)+5,"")</f>
        <v/>
      </c>
      <c r="AC284" s="51" t="str">
        <f>IF('ORDER Form'!$V285="OK",COUNTIF('ORDER Form'!$V$6:$V285,"OK"),"")</f>
        <v/>
      </c>
      <c r="AD284" s="51" t="str">
        <f>IF($AB284="","",(LEN(TRIM(INDEX('ORDER Form'!$O$1:$O$355,$AB284)))+LEN(TRIM(INDEX('ORDER Form'!$P$1:$P$355,$AB284)))+LEN(TRIM(INDEX('ORDER Form'!$Q$1:$Q$355,$AB284)))+LEN(TRIM(INDEX('ORDER Form'!$R$1:$R$355,$AB284)))+LEN(TRIM(INDEX('ORDER Form'!$S$1:$S$355,$AB284)))+LEN(TRIM(INDEX('ORDER Form'!$T$1:$T$355,$AB284)))+LEN(TRIM(INDEX('ORDER Form'!$U$1:$U$355,$AB284))))=0)</f>
        <v/>
      </c>
    </row>
    <row r="285" spans="1:30" ht="15" customHeight="1" x14ac:dyDescent="0.25">
      <c r="A285" s="50" t="str">
        <f>IF($AB285="","",IFERROR(IF(AND(INDEX('ORDER Form'!$N$1:$N$355,$AB285)="GB",LEFT(UPPER(TRIM(INDEX('ORDER Form'!$L$1:$L$355,$AB285))),2)="BT"),INDEX('ORDER Form'!$AC$1:$AC$355,$AB285),IFERROR(VLOOKUP(INDEX('ORDER Form'!$AC$1:$AC$355,$AB285)&amp;"|"&amp;INDEX('PRODUCT DATA'!$A$2:$A$58,MATCH(INDEX('ORDER Form'!$N$1:$N$355,$AB285),'PRODUCT DATA'!$B$2:$B$58,0)),'PRODUCT DATA'!$NO$2:$NP$25,2,FALSE()),INDEX('ORDER Form'!$AC$1:$AC$355,$AB285)))&amp;"",""))</f>
        <v/>
      </c>
      <c r="B285" s="49"/>
      <c r="C285" s="51" t="str">
        <f>IF($AB285="","",INDEX('ORDER Form'!$C$1:$C$355,$AB285))</f>
        <v/>
      </c>
      <c r="D285" s="49"/>
      <c r="E285" s="49"/>
      <c r="F285" s="49"/>
      <c r="G285" s="49"/>
      <c r="H285" s="49"/>
      <c r="I285" s="49"/>
      <c r="J285" s="50" t="str">
        <f>IF($AB285="","",INDEX('ORDER Form'!$D$1:$D$355,$AB285)&amp;"")</f>
        <v/>
      </c>
      <c r="K285" s="50" t="str">
        <f>IF($AB285="","",INDEX('ORDER Form'!$E$1:$E$355,$AB285)&amp;"")</f>
        <v/>
      </c>
      <c r="L285" s="50" t="str">
        <f>IF($AB285="","",INDEX('ORDER Form'!$F$1:$F$355,$AB285)&amp;"")</f>
        <v/>
      </c>
      <c r="M285" s="50" t="str">
        <f>IF($AB285="","",INDEX('ORDER Form'!$G$1:$G$355,$AB285)&amp;"")</f>
        <v/>
      </c>
      <c r="N285" s="50" t="str">
        <f>IF($AB285="","",INDEX('ORDER Form'!$H$1:$H$355,$AB285)&amp;"")</f>
        <v/>
      </c>
      <c r="O285" s="50" t="str">
        <f>IF($AB285="","",INDEX('ORDER Form'!$I$1:$I$355,$AB285)&amp;"")</f>
        <v/>
      </c>
      <c r="P285" s="50" t="str">
        <f>IF($AB285="","",INDEX('ORDER Form'!$J$1:$J$355,$AB285)&amp;"")</f>
        <v/>
      </c>
      <c r="Q285" s="50" t="str">
        <f>IF($AB285="","",INDEX('ORDER Form'!$AB$1:$AB$355,$AB285)&amp;"")</f>
        <v/>
      </c>
      <c r="R285" s="50" t="str">
        <f>IF($AB285="","",INDEX('ORDER Form'!$L$1:$L$355,$AB285)&amp;"")</f>
        <v/>
      </c>
      <c r="S285" s="50" t="str">
        <f>IF($AB285="","",INDEX('ORDER Form'!$N$1:$N$355,$AB285)&amp;"")</f>
        <v/>
      </c>
      <c r="T285" s="50" t="str">
        <f>IF($AB285="","",IF($AD285,T$3,INDEX('ORDER Form'!$O$1:$O$355,$AB285))&amp;"")</f>
        <v/>
      </c>
      <c r="U285" s="50" t="str">
        <f>IF($AB285="","",IF($AD285,U$3,INDEX('ORDER Form'!$P$1:$P$355,$AB285))&amp;"")</f>
        <v/>
      </c>
      <c r="V285" s="50" t="str">
        <f>IF($AB285="","",IF($AD285,V$3,INDEX('ORDER Form'!$Q$1:$Q$355,$AB285))&amp;"")</f>
        <v/>
      </c>
      <c r="W285" s="50" t="str">
        <f>IF($AB285="","",IF($AD285,W$3,INDEX('ORDER Form'!$R$1:$R$355,$AB285))&amp;"")</f>
        <v/>
      </c>
      <c r="X285" s="50" t="str">
        <f>IF($AB285="","",IF($AD285,X$3,INDEX('ORDER Form'!$S$1:$S$355,$AB285))&amp;"")</f>
        <v/>
      </c>
      <c r="Y285" s="50" t="str">
        <f>IF($AB285="","",IF($AD285,Y$3,INDEX('ORDER Form'!$T$1:$T$355,$AB285))&amp;"")</f>
        <v/>
      </c>
      <c r="Z285" s="50" t="str">
        <f>IF($AB285="","",IF($AD285,Z$3,INDEX('ORDER Form'!$U$1:$U$355,$AB285))&amp;"")</f>
        <v/>
      </c>
      <c r="AB285" s="51" t="str">
        <f>IFERROR(MATCH(281,$AC$5:$AC$354,0)+5,"")</f>
        <v/>
      </c>
      <c r="AC285" s="51" t="str">
        <f>IF('ORDER Form'!$V286="OK",COUNTIF('ORDER Form'!$V$6:$V286,"OK"),"")</f>
        <v/>
      </c>
      <c r="AD285" s="51" t="str">
        <f>IF($AB285="","",(LEN(TRIM(INDEX('ORDER Form'!$O$1:$O$355,$AB285)))+LEN(TRIM(INDEX('ORDER Form'!$P$1:$P$355,$AB285)))+LEN(TRIM(INDEX('ORDER Form'!$Q$1:$Q$355,$AB285)))+LEN(TRIM(INDEX('ORDER Form'!$R$1:$R$355,$AB285)))+LEN(TRIM(INDEX('ORDER Form'!$S$1:$S$355,$AB285)))+LEN(TRIM(INDEX('ORDER Form'!$T$1:$T$355,$AB285)))+LEN(TRIM(INDEX('ORDER Form'!$U$1:$U$355,$AB285))))=0)</f>
        <v/>
      </c>
    </row>
    <row r="286" spans="1:30" ht="15" customHeight="1" x14ac:dyDescent="0.25">
      <c r="A286" s="50" t="str">
        <f>IF($AB286="","",IFERROR(IF(AND(INDEX('ORDER Form'!$N$1:$N$355,$AB286)="GB",LEFT(UPPER(TRIM(INDEX('ORDER Form'!$L$1:$L$355,$AB286))),2)="BT"),INDEX('ORDER Form'!$AC$1:$AC$355,$AB286),IFERROR(VLOOKUP(INDEX('ORDER Form'!$AC$1:$AC$355,$AB286)&amp;"|"&amp;INDEX('PRODUCT DATA'!$A$2:$A$58,MATCH(INDEX('ORDER Form'!$N$1:$N$355,$AB286),'PRODUCT DATA'!$B$2:$B$58,0)),'PRODUCT DATA'!$NO$2:$NP$25,2,FALSE()),INDEX('ORDER Form'!$AC$1:$AC$355,$AB286)))&amp;"",""))</f>
        <v/>
      </c>
      <c r="B286" s="49"/>
      <c r="C286" s="51" t="str">
        <f>IF($AB286="","",INDEX('ORDER Form'!$C$1:$C$355,$AB286))</f>
        <v/>
      </c>
      <c r="D286" s="49"/>
      <c r="E286" s="49"/>
      <c r="F286" s="49"/>
      <c r="G286" s="49"/>
      <c r="H286" s="49"/>
      <c r="I286" s="49"/>
      <c r="J286" s="50" t="str">
        <f>IF($AB286="","",INDEX('ORDER Form'!$D$1:$D$355,$AB286)&amp;"")</f>
        <v/>
      </c>
      <c r="K286" s="50" t="str">
        <f>IF($AB286="","",INDEX('ORDER Form'!$E$1:$E$355,$AB286)&amp;"")</f>
        <v/>
      </c>
      <c r="L286" s="50" t="str">
        <f>IF($AB286="","",INDEX('ORDER Form'!$F$1:$F$355,$AB286)&amp;"")</f>
        <v/>
      </c>
      <c r="M286" s="50" t="str">
        <f>IF($AB286="","",INDEX('ORDER Form'!$G$1:$G$355,$AB286)&amp;"")</f>
        <v/>
      </c>
      <c r="N286" s="50" t="str">
        <f>IF($AB286="","",INDEX('ORDER Form'!$H$1:$H$355,$AB286)&amp;"")</f>
        <v/>
      </c>
      <c r="O286" s="50" t="str">
        <f>IF($AB286="","",INDEX('ORDER Form'!$I$1:$I$355,$AB286)&amp;"")</f>
        <v/>
      </c>
      <c r="P286" s="50" t="str">
        <f>IF($AB286="","",INDEX('ORDER Form'!$J$1:$J$355,$AB286)&amp;"")</f>
        <v/>
      </c>
      <c r="Q286" s="50" t="str">
        <f>IF($AB286="","",INDEX('ORDER Form'!$AB$1:$AB$355,$AB286)&amp;"")</f>
        <v/>
      </c>
      <c r="R286" s="50" t="str">
        <f>IF($AB286="","",INDEX('ORDER Form'!$L$1:$L$355,$AB286)&amp;"")</f>
        <v/>
      </c>
      <c r="S286" s="50" t="str">
        <f>IF($AB286="","",INDEX('ORDER Form'!$N$1:$N$355,$AB286)&amp;"")</f>
        <v/>
      </c>
      <c r="T286" s="50" t="str">
        <f>IF($AB286="","",IF($AD286,T$3,INDEX('ORDER Form'!$O$1:$O$355,$AB286))&amp;"")</f>
        <v/>
      </c>
      <c r="U286" s="50" t="str">
        <f>IF($AB286="","",IF($AD286,U$3,INDEX('ORDER Form'!$P$1:$P$355,$AB286))&amp;"")</f>
        <v/>
      </c>
      <c r="V286" s="50" t="str">
        <f>IF($AB286="","",IF($AD286,V$3,INDEX('ORDER Form'!$Q$1:$Q$355,$AB286))&amp;"")</f>
        <v/>
      </c>
      <c r="W286" s="50" t="str">
        <f>IF($AB286="","",IF($AD286,W$3,INDEX('ORDER Form'!$R$1:$R$355,$AB286))&amp;"")</f>
        <v/>
      </c>
      <c r="X286" s="50" t="str">
        <f>IF($AB286="","",IF($AD286,X$3,INDEX('ORDER Form'!$S$1:$S$355,$AB286))&amp;"")</f>
        <v/>
      </c>
      <c r="Y286" s="50" t="str">
        <f>IF($AB286="","",IF($AD286,Y$3,INDEX('ORDER Form'!$T$1:$T$355,$AB286))&amp;"")</f>
        <v/>
      </c>
      <c r="Z286" s="50" t="str">
        <f>IF($AB286="","",IF($AD286,Z$3,INDEX('ORDER Form'!$U$1:$U$355,$AB286))&amp;"")</f>
        <v/>
      </c>
      <c r="AB286" s="51" t="str">
        <f>IFERROR(MATCH(282,$AC$5:$AC$354,0)+5,"")</f>
        <v/>
      </c>
      <c r="AC286" s="51" t="str">
        <f>IF('ORDER Form'!$V287="OK",COUNTIF('ORDER Form'!$V$6:$V287,"OK"),"")</f>
        <v/>
      </c>
      <c r="AD286" s="51" t="str">
        <f>IF($AB286="","",(LEN(TRIM(INDEX('ORDER Form'!$O$1:$O$355,$AB286)))+LEN(TRIM(INDEX('ORDER Form'!$P$1:$P$355,$AB286)))+LEN(TRIM(INDEX('ORDER Form'!$Q$1:$Q$355,$AB286)))+LEN(TRIM(INDEX('ORDER Form'!$R$1:$R$355,$AB286)))+LEN(TRIM(INDEX('ORDER Form'!$S$1:$S$355,$AB286)))+LEN(TRIM(INDEX('ORDER Form'!$T$1:$T$355,$AB286)))+LEN(TRIM(INDEX('ORDER Form'!$U$1:$U$355,$AB286))))=0)</f>
        <v/>
      </c>
    </row>
    <row r="287" spans="1:30" ht="15" customHeight="1" x14ac:dyDescent="0.25">
      <c r="A287" s="50" t="str">
        <f>IF($AB287="","",IFERROR(IF(AND(INDEX('ORDER Form'!$N$1:$N$355,$AB287)="GB",LEFT(UPPER(TRIM(INDEX('ORDER Form'!$L$1:$L$355,$AB287))),2)="BT"),INDEX('ORDER Form'!$AC$1:$AC$355,$AB287),IFERROR(VLOOKUP(INDEX('ORDER Form'!$AC$1:$AC$355,$AB287)&amp;"|"&amp;INDEX('PRODUCT DATA'!$A$2:$A$58,MATCH(INDEX('ORDER Form'!$N$1:$N$355,$AB287),'PRODUCT DATA'!$B$2:$B$58,0)),'PRODUCT DATA'!$NO$2:$NP$25,2,FALSE()),INDEX('ORDER Form'!$AC$1:$AC$355,$AB287)))&amp;"",""))</f>
        <v/>
      </c>
      <c r="B287" s="49"/>
      <c r="C287" s="51" t="str">
        <f>IF($AB287="","",INDEX('ORDER Form'!$C$1:$C$355,$AB287))</f>
        <v/>
      </c>
      <c r="D287" s="49"/>
      <c r="E287" s="49"/>
      <c r="F287" s="49"/>
      <c r="G287" s="49"/>
      <c r="H287" s="49"/>
      <c r="I287" s="49"/>
      <c r="J287" s="50" t="str">
        <f>IF($AB287="","",INDEX('ORDER Form'!$D$1:$D$355,$AB287)&amp;"")</f>
        <v/>
      </c>
      <c r="K287" s="50" t="str">
        <f>IF($AB287="","",INDEX('ORDER Form'!$E$1:$E$355,$AB287)&amp;"")</f>
        <v/>
      </c>
      <c r="L287" s="50" t="str">
        <f>IF($AB287="","",INDEX('ORDER Form'!$F$1:$F$355,$AB287)&amp;"")</f>
        <v/>
      </c>
      <c r="M287" s="50" t="str">
        <f>IF($AB287="","",INDEX('ORDER Form'!$G$1:$G$355,$AB287)&amp;"")</f>
        <v/>
      </c>
      <c r="N287" s="50" t="str">
        <f>IF($AB287="","",INDEX('ORDER Form'!$H$1:$H$355,$AB287)&amp;"")</f>
        <v/>
      </c>
      <c r="O287" s="50" t="str">
        <f>IF($AB287="","",INDEX('ORDER Form'!$I$1:$I$355,$AB287)&amp;"")</f>
        <v/>
      </c>
      <c r="P287" s="50" t="str">
        <f>IF($AB287="","",INDEX('ORDER Form'!$J$1:$J$355,$AB287)&amp;"")</f>
        <v/>
      </c>
      <c r="Q287" s="50" t="str">
        <f>IF($AB287="","",INDEX('ORDER Form'!$AB$1:$AB$355,$AB287)&amp;"")</f>
        <v/>
      </c>
      <c r="R287" s="50" t="str">
        <f>IF($AB287="","",INDEX('ORDER Form'!$L$1:$L$355,$AB287)&amp;"")</f>
        <v/>
      </c>
      <c r="S287" s="50" t="str">
        <f>IF($AB287="","",INDEX('ORDER Form'!$N$1:$N$355,$AB287)&amp;"")</f>
        <v/>
      </c>
      <c r="T287" s="50" t="str">
        <f>IF($AB287="","",IF($AD287,T$3,INDEX('ORDER Form'!$O$1:$O$355,$AB287))&amp;"")</f>
        <v/>
      </c>
      <c r="U287" s="50" t="str">
        <f>IF($AB287="","",IF($AD287,U$3,INDEX('ORDER Form'!$P$1:$P$355,$AB287))&amp;"")</f>
        <v/>
      </c>
      <c r="V287" s="50" t="str">
        <f>IF($AB287="","",IF($AD287,V$3,INDEX('ORDER Form'!$Q$1:$Q$355,$AB287))&amp;"")</f>
        <v/>
      </c>
      <c r="W287" s="50" t="str">
        <f>IF($AB287="","",IF($AD287,W$3,INDEX('ORDER Form'!$R$1:$R$355,$AB287))&amp;"")</f>
        <v/>
      </c>
      <c r="X287" s="50" t="str">
        <f>IF($AB287="","",IF($AD287,X$3,INDEX('ORDER Form'!$S$1:$S$355,$AB287))&amp;"")</f>
        <v/>
      </c>
      <c r="Y287" s="50" t="str">
        <f>IF($AB287="","",IF($AD287,Y$3,INDEX('ORDER Form'!$T$1:$T$355,$AB287))&amp;"")</f>
        <v/>
      </c>
      <c r="Z287" s="50" t="str">
        <f>IF($AB287="","",IF($AD287,Z$3,INDEX('ORDER Form'!$U$1:$U$355,$AB287))&amp;"")</f>
        <v/>
      </c>
      <c r="AB287" s="51" t="str">
        <f>IFERROR(MATCH(283,$AC$5:$AC$354,0)+5,"")</f>
        <v/>
      </c>
      <c r="AC287" s="51" t="str">
        <f>IF('ORDER Form'!$V288="OK",COUNTIF('ORDER Form'!$V$6:$V288,"OK"),"")</f>
        <v/>
      </c>
      <c r="AD287" s="51" t="str">
        <f>IF($AB287="","",(LEN(TRIM(INDEX('ORDER Form'!$O$1:$O$355,$AB287)))+LEN(TRIM(INDEX('ORDER Form'!$P$1:$P$355,$AB287)))+LEN(TRIM(INDEX('ORDER Form'!$Q$1:$Q$355,$AB287)))+LEN(TRIM(INDEX('ORDER Form'!$R$1:$R$355,$AB287)))+LEN(TRIM(INDEX('ORDER Form'!$S$1:$S$355,$AB287)))+LEN(TRIM(INDEX('ORDER Form'!$T$1:$T$355,$AB287)))+LEN(TRIM(INDEX('ORDER Form'!$U$1:$U$355,$AB287))))=0)</f>
        <v/>
      </c>
    </row>
    <row r="288" spans="1:30" ht="15" customHeight="1" x14ac:dyDescent="0.25">
      <c r="A288" s="50" t="str">
        <f>IF($AB288="","",IFERROR(IF(AND(INDEX('ORDER Form'!$N$1:$N$355,$AB288)="GB",LEFT(UPPER(TRIM(INDEX('ORDER Form'!$L$1:$L$355,$AB288))),2)="BT"),INDEX('ORDER Form'!$AC$1:$AC$355,$AB288),IFERROR(VLOOKUP(INDEX('ORDER Form'!$AC$1:$AC$355,$AB288)&amp;"|"&amp;INDEX('PRODUCT DATA'!$A$2:$A$58,MATCH(INDEX('ORDER Form'!$N$1:$N$355,$AB288),'PRODUCT DATA'!$B$2:$B$58,0)),'PRODUCT DATA'!$NO$2:$NP$25,2,FALSE()),INDEX('ORDER Form'!$AC$1:$AC$355,$AB288)))&amp;"",""))</f>
        <v/>
      </c>
      <c r="B288" s="49"/>
      <c r="C288" s="51" t="str">
        <f>IF($AB288="","",INDEX('ORDER Form'!$C$1:$C$355,$AB288))</f>
        <v/>
      </c>
      <c r="D288" s="49"/>
      <c r="E288" s="49"/>
      <c r="F288" s="49"/>
      <c r="G288" s="49"/>
      <c r="H288" s="49"/>
      <c r="I288" s="49"/>
      <c r="J288" s="50" t="str">
        <f>IF($AB288="","",INDEX('ORDER Form'!$D$1:$D$355,$AB288)&amp;"")</f>
        <v/>
      </c>
      <c r="K288" s="50" t="str">
        <f>IF($AB288="","",INDEX('ORDER Form'!$E$1:$E$355,$AB288)&amp;"")</f>
        <v/>
      </c>
      <c r="L288" s="50" t="str">
        <f>IF($AB288="","",INDEX('ORDER Form'!$F$1:$F$355,$AB288)&amp;"")</f>
        <v/>
      </c>
      <c r="M288" s="50" t="str">
        <f>IF($AB288="","",INDEX('ORDER Form'!$G$1:$G$355,$AB288)&amp;"")</f>
        <v/>
      </c>
      <c r="N288" s="50" t="str">
        <f>IF($AB288="","",INDEX('ORDER Form'!$H$1:$H$355,$AB288)&amp;"")</f>
        <v/>
      </c>
      <c r="O288" s="50" t="str">
        <f>IF($AB288="","",INDEX('ORDER Form'!$I$1:$I$355,$AB288)&amp;"")</f>
        <v/>
      </c>
      <c r="P288" s="50" t="str">
        <f>IF($AB288="","",INDEX('ORDER Form'!$J$1:$J$355,$AB288)&amp;"")</f>
        <v/>
      </c>
      <c r="Q288" s="50" t="str">
        <f>IF($AB288="","",INDEX('ORDER Form'!$AB$1:$AB$355,$AB288)&amp;"")</f>
        <v/>
      </c>
      <c r="R288" s="50" t="str">
        <f>IF($AB288="","",INDEX('ORDER Form'!$L$1:$L$355,$AB288)&amp;"")</f>
        <v/>
      </c>
      <c r="S288" s="50" t="str">
        <f>IF($AB288="","",INDEX('ORDER Form'!$N$1:$N$355,$AB288)&amp;"")</f>
        <v/>
      </c>
      <c r="T288" s="50" t="str">
        <f>IF($AB288="","",IF($AD288,T$3,INDEX('ORDER Form'!$O$1:$O$355,$AB288))&amp;"")</f>
        <v/>
      </c>
      <c r="U288" s="50" t="str">
        <f>IF($AB288="","",IF($AD288,U$3,INDEX('ORDER Form'!$P$1:$P$355,$AB288))&amp;"")</f>
        <v/>
      </c>
      <c r="V288" s="50" t="str">
        <f>IF($AB288="","",IF($AD288,V$3,INDEX('ORDER Form'!$Q$1:$Q$355,$AB288))&amp;"")</f>
        <v/>
      </c>
      <c r="W288" s="50" t="str">
        <f>IF($AB288="","",IF($AD288,W$3,INDEX('ORDER Form'!$R$1:$R$355,$AB288))&amp;"")</f>
        <v/>
      </c>
      <c r="X288" s="50" t="str">
        <f>IF($AB288="","",IF($AD288,X$3,INDEX('ORDER Form'!$S$1:$S$355,$AB288))&amp;"")</f>
        <v/>
      </c>
      <c r="Y288" s="50" t="str">
        <f>IF($AB288="","",IF($AD288,Y$3,INDEX('ORDER Form'!$T$1:$T$355,$AB288))&amp;"")</f>
        <v/>
      </c>
      <c r="Z288" s="50" t="str">
        <f>IF($AB288="","",IF($AD288,Z$3,INDEX('ORDER Form'!$U$1:$U$355,$AB288))&amp;"")</f>
        <v/>
      </c>
      <c r="AB288" s="51" t="str">
        <f>IFERROR(MATCH(284,$AC$5:$AC$354,0)+5,"")</f>
        <v/>
      </c>
      <c r="AC288" s="51" t="str">
        <f>IF('ORDER Form'!$V289="OK",COUNTIF('ORDER Form'!$V$6:$V289,"OK"),"")</f>
        <v/>
      </c>
      <c r="AD288" s="51" t="str">
        <f>IF($AB288="","",(LEN(TRIM(INDEX('ORDER Form'!$O$1:$O$355,$AB288)))+LEN(TRIM(INDEX('ORDER Form'!$P$1:$P$355,$AB288)))+LEN(TRIM(INDEX('ORDER Form'!$Q$1:$Q$355,$AB288)))+LEN(TRIM(INDEX('ORDER Form'!$R$1:$R$355,$AB288)))+LEN(TRIM(INDEX('ORDER Form'!$S$1:$S$355,$AB288)))+LEN(TRIM(INDEX('ORDER Form'!$T$1:$T$355,$AB288)))+LEN(TRIM(INDEX('ORDER Form'!$U$1:$U$355,$AB288))))=0)</f>
        <v/>
      </c>
    </row>
    <row r="289" spans="1:30" ht="15" customHeight="1" x14ac:dyDescent="0.25">
      <c r="A289" s="50" t="str">
        <f>IF($AB289="","",IFERROR(IF(AND(INDEX('ORDER Form'!$N$1:$N$355,$AB289)="GB",LEFT(UPPER(TRIM(INDEX('ORDER Form'!$L$1:$L$355,$AB289))),2)="BT"),INDEX('ORDER Form'!$AC$1:$AC$355,$AB289),IFERROR(VLOOKUP(INDEX('ORDER Form'!$AC$1:$AC$355,$AB289)&amp;"|"&amp;INDEX('PRODUCT DATA'!$A$2:$A$58,MATCH(INDEX('ORDER Form'!$N$1:$N$355,$AB289),'PRODUCT DATA'!$B$2:$B$58,0)),'PRODUCT DATA'!$NO$2:$NP$25,2,FALSE()),INDEX('ORDER Form'!$AC$1:$AC$355,$AB289)))&amp;"",""))</f>
        <v/>
      </c>
      <c r="B289" s="49"/>
      <c r="C289" s="51" t="str">
        <f>IF($AB289="","",INDEX('ORDER Form'!$C$1:$C$355,$AB289))</f>
        <v/>
      </c>
      <c r="D289" s="49"/>
      <c r="E289" s="49"/>
      <c r="F289" s="49"/>
      <c r="G289" s="49"/>
      <c r="H289" s="49"/>
      <c r="I289" s="49"/>
      <c r="J289" s="50" t="str">
        <f>IF($AB289="","",INDEX('ORDER Form'!$D$1:$D$355,$AB289)&amp;"")</f>
        <v/>
      </c>
      <c r="K289" s="50" t="str">
        <f>IF($AB289="","",INDEX('ORDER Form'!$E$1:$E$355,$AB289)&amp;"")</f>
        <v/>
      </c>
      <c r="L289" s="50" t="str">
        <f>IF($AB289="","",INDEX('ORDER Form'!$F$1:$F$355,$AB289)&amp;"")</f>
        <v/>
      </c>
      <c r="M289" s="50" t="str">
        <f>IF($AB289="","",INDEX('ORDER Form'!$G$1:$G$355,$AB289)&amp;"")</f>
        <v/>
      </c>
      <c r="N289" s="50" t="str">
        <f>IF($AB289="","",INDEX('ORDER Form'!$H$1:$H$355,$AB289)&amp;"")</f>
        <v/>
      </c>
      <c r="O289" s="50" t="str">
        <f>IF($AB289="","",INDEX('ORDER Form'!$I$1:$I$355,$AB289)&amp;"")</f>
        <v/>
      </c>
      <c r="P289" s="50" t="str">
        <f>IF($AB289="","",INDEX('ORDER Form'!$J$1:$J$355,$AB289)&amp;"")</f>
        <v/>
      </c>
      <c r="Q289" s="50" t="str">
        <f>IF($AB289="","",INDEX('ORDER Form'!$AB$1:$AB$355,$AB289)&amp;"")</f>
        <v/>
      </c>
      <c r="R289" s="50" t="str">
        <f>IF($AB289="","",INDEX('ORDER Form'!$L$1:$L$355,$AB289)&amp;"")</f>
        <v/>
      </c>
      <c r="S289" s="50" t="str">
        <f>IF($AB289="","",INDEX('ORDER Form'!$N$1:$N$355,$AB289)&amp;"")</f>
        <v/>
      </c>
      <c r="T289" s="50" t="str">
        <f>IF($AB289="","",IF($AD289,T$3,INDEX('ORDER Form'!$O$1:$O$355,$AB289))&amp;"")</f>
        <v/>
      </c>
      <c r="U289" s="50" t="str">
        <f>IF($AB289="","",IF($AD289,U$3,INDEX('ORDER Form'!$P$1:$P$355,$AB289))&amp;"")</f>
        <v/>
      </c>
      <c r="V289" s="50" t="str">
        <f>IF($AB289="","",IF($AD289,V$3,INDEX('ORDER Form'!$Q$1:$Q$355,$AB289))&amp;"")</f>
        <v/>
      </c>
      <c r="W289" s="50" t="str">
        <f>IF($AB289="","",IF($AD289,W$3,INDEX('ORDER Form'!$R$1:$R$355,$AB289))&amp;"")</f>
        <v/>
      </c>
      <c r="X289" s="50" t="str">
        <f>IF($AB289="","",IF($AD289,X$3,INDEX('ORDER Form'!$S$1:$S$355,$AB289))&amp;"")</f>
        <v/>
      </c>
      <c r="Y289" s="50" t="str">
        <f>IF($AB289="","",IF($AD289,Y$3,INDEX('ORDER Form'!$T$1:$T$355,$AB289))&amp;"")</f>
        <v/>
      </c>
      <c r="Z289" s="50" t="str">
        <f>IF($AB289="","",IF($AD289,Z$3,INDEX('ORDER Form'!$U$1:$U$355,$AB289))&amp;"")</f>
        <v/>
      </c>
      <c r="AB289" s="51" t="str">
        <f>IFERROR(MATCH(285,$AC$5:$AC$354,0)+5,"")</f>
        <v/>
      </c>
      <c r="AC289" s="51" t="str">
        <f>IF('ORDER Form'!$V290="OK",COUNTIF('ORDER Form'!$V$6:$V290,"OK"),"")</f>
        <v/>
      </c>
      <c r="AD289" s="51" t="str">
        <f>IF($AB289="","",(LEN(TRIM(INDEX('ORDER Form'!$O$1:$O$355,$AB289)))+LEN(TRIM(INDEX('ORDER Form'!$P$1:$P$355,$AB289)))+LEN(TRIM(INDEX('ORDER Form'!$Q$1:$Q$355,$AB289)))+LEN(TRIM(INDEX('ORDER Form'!$R$1:$R$355,$AB289)))+LEN(TRIM(INDEX('ORDER Form'!$S$1:$S$355,$AB289)))+LEN(TRIM(INDEX('ORDER Form'!$T$1:$T$355,$AB289)))+LEN(TRIM(INDEX('ORDER Form'!$U$1:$U$355,$AB289))))=0)</f>
        <v/>
      </c>
    </row>
    <row r="290" spans="1:30" ht="15" customHeight="1" x14ac:dyDescent="0.25">
      <c r="A290" s="50" t="str">
        <f>IF($AB290="","",IFERROR(IF(AND(INDEX('ORDER Form'!$N$1:$N$355,$AB290)="GB",LEFT(UPPER(TRIM(INDEX('ORDER Form'!$L$1:$L$355,$AB290))),2)="BT"),INDEX('ORDER Form'!$AC$1:$AC$355,$AB290),IFERROR(VLOOKUP(INDEX('ORDER Form'!$AC$1:$AC$355,$AB290)&amp;"|"&amp;INDEX('PRODUCT DATA'!$A$2:$A$58,MATCH(INDEX('ORDER Form'!$N$1:$N$355,$AB290),'PRODUCT DATA'!$B$2:$B$58,0)),'PRODUCT DATA'!$NO$2:$NP$25,2,FALSE()),INDEX('ORDER Form'!$AC$1:$AC$355,$AB290)))&amp;"",""))</f>
        <v/>
      </c>
      <c r="B290" s="49"/>
      <c r="C290" s="51" t="str">
        <f>IF($AB290="","",INDEX('ORDER Form'!$C$1:$C$355,$AB290))</f>
        <v/>
      </c>
      <c r="D290" s="49"/>
      <c r="E290" s="49"/>
      <c r="F290" s="49"/>
      <c r="G290" s="49"/>
      <c r="H290" s="49"/>
      <c r="I290" s="49"/>
      <c r="J290" s="50" t="str">
        <f>IF($AB290="","",INDEX('ORDER Form'!$D$1:$D$355,$AB290)&amp;"")</f>
        <v/>
      </c>
      <c r="K290" s="50" t="str">
        <f>IF($AB290="","",INDEX('ORDER Form'!$E$1:$E$355,$AB290)&amp;"")</f>
        <v/>
      </c>
      <c r="L290" s="50" t="str">
        <f>IF($AB290="","",INDEX('ORDER Form'!$F$1:$F$355,$AB290)&amp;"")</f>
        <v/>
      </c>
      <c r="M290" s="50" t="str">
        <f>IF($AB290="","",INDEX('ORDER Form'!$G$1:$G$355,$AB290)&amp;"")</f>
        <v/>
      </c>
      <c r="N290" s="50" t="str">
        <f>IF($AB290="","",INDEX('ORDER Form'!$H$1:$H$355,$AB290)&amp;"")</f>
        <v/>
      </c>
      <c r="O290" s="50" t="str">
        <f>IF($AB290="","",INDEX('ORDER Form'!$I$1:$I$355,$AB290)&amp;"")</f>
        <v/>
      </c>
      <c r="P290" s="50" t="str">
        <f>IF($AB290="","",INDEX('ORDER Form'!$J$1:$J$355,$AB290)&amp;"")</f>
        <v/>
      </c>
      <c r="Q290" s="50" t="str">
        <f>IF($AB290="","",INDEX('ORDER Form'!$AB$1:$AB$355,$AB290)&amp;"")</f>
        <v/>
      </c>
      <c r="R290" s="50" t="str">
        <f>IF($AB290="","",INDEX('ORDER Form'!$L$1:$L$355,$AB290)&amp;"")</f>
        <v/>
      </c>
      <c r="S290" s="50" t="str">
        <f>IF($AB290="","",INDEX('ORDER Form'!$N$1:$N$355,$AB290)&amp;"")</f>
        <v/>
      </c>
      <c r="T290" s="50" t="str">
        <f>IF($AB290="","",IF($AD290,T$3,INDEX('ORDER Form'!$O$1:$O$355,$AB290))&amp;"")</f>
        <v/>
      </c>
      <c r="U290" s="50" t="str">
        <f>IF($AB290="","",IF($AD290,U$3,INDEX('ORDER Form'!$P$1:$P$355,$AB290))&amp;"")</f>
        <v/>
      </c>
      <c r="V290" s="50" t="str">
        <f>IF($AB290="","",IF($AD290,V$3,INDEX('ORDER Form'!$Q$1:$Q$355,$AB290))&amp;"")</f>
        <v/>
      </c>
      <c r="W290" s="50" t="str">
        <f>IF($AB290="","",IF($AD290,W$3,INDEX('ORDER Form'!$R$1:$R$355,$AB290))&amp;"")</f>
        <v/>
      </c>
      <c r="X290" s="50" t="str">
        <f>IF($AB290="","",IF($AD290,X$3,INDEX('ORDER Form'!$S$1:$S$355,$AB290))&amp;"")</f>
        <v/>
      </c>
      <c r="Y290" s="50" t="str">
        <f>IF($AB290="","",IF($AD290,Y$3,INDEX('ORDER Form'!$T$1:$T$355,$AB290))&amp;"")</f>
        <v/>
      </c>
      <c r="Z290" s="50" t="str">
        <f>IF($AB290="","",IF($AD290,Z$3,INDEX('ORDER Form'!$U$1:$U$355,$AB290))&amp;"")</f>
        <v/>
      </c>
      <c r="AB290" s="51" t="str">
        <f>IFERROR(MATCH(286,$AC$5:$AC$354,0)+5,"")</f>
        <v/>
      </c>
      <c r="AC290" s="51" t="str">
        <f>IF('ORDER Form'!$V291="OK",COUNTIF('ORDER Form'!$V$6:$V291,"OK"),"")</f>
        <v/>
      </c>
      <c r="AD290" s="51" t="str">
        <f>IF($AB290="","",(LEN(TRIM(INDEX('ORDER Form'!$O$1:$O$355,$AB290)))+LEN(TRIM(INDEX('ORDER Form'!$P$1:$P$355,$AB290)))+LEN(TRIM(INDEX('ORDER Form'!$Q$1:$Q$355,$AB290)))+LEN(TRIM(INDEX('ORDER Form'!$R$1:$R$355,$AB290)))+LEN(TRIM(INDEX('ORDER Form'!$S$1:$S$355,$AB290)))+LEN(TRIM(INDEX('ORDER Form'!$T$1:$T$355,$AB290)))+LEN(TRIM(INDEX('ORDER Form'!$U$1:$U$355,$AB290))))=0)</f>
        <v/>
      </c>
    </row>
    <row r="291" spans="1:30" ht="15" customHeight="1" x14ac:dyDescent="0.25">
      <c r="A291" s="50" t="str">
        <f>IF($AB291="","",IFERROR(IF(AND(INDEX('ORDER Form'!$N$1:$N$355,$AB291)="GB",LEFT(UPPER(TRIM(INDEX('ORDER Form'!$L$1:$L$355,$AB291))),2)="BT"),INDEX('ORDER Form'!$AC$1:$AC$355,$AB291),IFERROR(VLOOKUP(INDEX('ORDER Form'!$AC$1:$AC$355,$AB291)&amp;"|"&amp;INDEX('PRODUCT DATA'!$A$2:$A$58,MATCH(INDEX('ORDER Form'!$N$1:$N$355,$AB291),'PRODUCT DATA'!$B$2:$B$58,0)),'PRODUCT DATA'!$NO$2:$NP$25,2,FALSE()),INDEX('ORDER Form'!$AC$1:$AC$355,$AB291)))&amp;"",""))</f>
        <v/>
      </c>
      <c r="B291" s="49"/>
      <c r="C291" s="51" t="str">
        <f>IF($AB291="","",INDEX('ORDER Form'!$C$1:$C$355,$AB291))</f>
        <v/>
      </c>
      <c r="D291" s="49"/>
      <c r="E291" s="49"/>
      <c r="F291" s="49"/>
      <c r="G291" s="49"/>
      <c r="H291" s="49"/>
      <c r="I291" s="49"/>
      <c r="J291" s="50" t="str">
        <f>IF($AB291="","",INDEX('ORDER Form'!$D$1:$D$355,$AB291)&amp;"")</f>
        <v/>
      </c>
      <c r="K291" s="50" t="str">
        <f>IF($AB291="","",INDEX('ORDER Form'!$E$1:$E$355,$AB291)&amp;"")</f>
        <v/>
      </c>
      <c r="L291" s="50" t="str">
        <f>IF($AB291="","",INDEX('ORDER Form'!$F$1:$F$355,$AB291)&amp;"")</f>
        <v/>
      </c>
      <c r="M291" s="50" t="str">
        <f>IF($AB291="","",INDEX('ORDER Form'!$G$1:$G$355,$AB291)&amp;"")</f>
        <v/>
      </c>
      <c r="N291" s="50" t="str">
        <f>IF($AB291="","",INDEX('ORDER Form'!$H$1:$H$355,$AB291)&amp;"")</f>
        <v/>
      </c>
      <c r="O291" s="50" t="str">
        <f>IF($AB291="","",INDEX('ORDER Form'!$I$1:$I$355,$AB291)&amp;"")</f>
        <v/>
      </c>
      <c r="P291" s="50" t="str">
        <f>IF($AB291="","",INDEX('ORDER Form'!$J$1:$J$355,$AB291)&amp;"")</f>
        <v/>
      </c>
      <c r="Q291" s="50" t="str">
        <f>IF($AB291="","",INDEX('ORDER Form'!$AB$1:$AB$355,$AB291)&amp;"")</f>
        <v/>
      </c>
      <c r="R291" s="50" t="str">
        <f>IF($AB291="","",INDEX('ORDER Form'!$L$1:$L$355,$AB291)&amp;"")</f>
        <v/>
      </c>
      <c r="S291" s="50" t="str">
        <f>IF($AB291="","",INDEX('ORDER Form'!$N$1:$N$355,$AB291)&amp;"")</f>
        <v/>
      </c>
      <c r="T291" s="50" t="str">
        <f>IF($AB291="","",IF($AD291,T$3,INDEX('ORDER Form'!$O$1:$O$355,$AB291))&amp;"")</f>
        <v/>
      </c>
      <c r="U291" s="50" t="str">
        <f>IF($AB291="","",IF($AD291,U$3,INDEX('ORDER Form'!$P$1:$P$355,$AB291))&amp;"")</f>
        <v/>
      </c>
      <c r="V291" s="50" t="str">
        <f>IF($AB291="","",IF($AD291,V$3,INDEX('ORDER Form'!$Q$1:$Q$355,$AB291))&amp;"")</f>
        <v/>
      </c>
      <c r="W291" s="50" t="str">
        <f>IF($AB291="","",IF($AD291,W$3,INDEX('ORDER Form'!$R$1:$R$355,$AB291))&amp;"")</f>
        <v/>
      </c>
      <c r="X291" s="50" t="str">
        <f>IF($AB291="","",IF($AD291,X$3,INDEX('ORDER Form'!$S$1:$S$355,$AB291))&amp;"")</f>
        <v/>
      </c>
      <c r="Y291" s="50" t="str">
        <f>IF($AB291="","",IF($AD291,Y$3,INDEX('ORDER Form'!$T$1:$T$355,$AB291))&amp;"")</f>
        <v/>
      </c>
      <c r="Z291" s="50" t="str">
        <f>IF($AB291="","",IF($AD291,Z$3,INDEX('ORDER Form'!$U$1:$U$355,$AB291))&amp;"")</f>
        <v/>
      </c>
      <c r="AB291" s="51" t="str">
        <f>IFERROR(MATCH(287,$AC$5:$AC$354,0)+5,"")</f>
        <v/>
      </c>
      <c r="AC291" s="51" t="str">
        <f>IF('ORDER Form'!$V292="OK",COUNTIF('ORDER Form'!$V$6:$V292,"OK"),"")</f>
        <v/>
      </c>
      <c r="AD291" s="51" t="str">
        <f>IF($AB291="","",(LEN(TRIM(INDEX('ORDER Form'!$O$1:$O$355,$AB291)))+LEN(TRIM(INDEX('ORDER Form'!$P$1:$P$355,$AB291)))+LEN(TRIM(INDEX('ORDER Form'!$Q$1:$Q$355,$AB291)))+LEN(TRIM(INDEX('ORDER Form'!$R$1:$R$355,$AB291)))+LEN(TRIM(INDEX('ORDER Form'!$S$1:$S$355,$AB291)))+LEN(TRIM(INDEX('ORDER Form'!$T$1:$T$355,$AB291)))+LEN(TRIM(INDEX('ORDER Form'!$U$1:$U$355,$AB291))))=0)</f>
        <v/>
      </c>
    </row>
    <row r="292" spans="1:30" ht="15" customHeight="1" x14ac:dyDescent="0.25">
      <c r="A292" s="50" t="str">
        <f>IF($AB292="","",IFERROR(IF(AND(INDEX('ORDER Form'!$N$1:$N$355,$AB292)="GB",LEFT(UPPER(TRIM(INDEX('ORDER Form'!$L$1:$L$355,$AB292))),2)="BT"),INDEX('ORDER Form'!$AC$1:$AC$355,$AB292),IFERROR(VLOOKUP(INDEX('ORDER Form'!$AC$1:$AC$355,$AB292)&amp;"|"&amp;INDEX('PRODUCT DATA'!$A$2:$A$58,MATCH(INDEX('ORDER Form'!$N$1:$N$355,$AB292),'PRODUCT DATA'!$B$2:$B$58,0)),'PRODUCT DATA'!$NO$2:$NP$25,2,FALSE()),INDEX('ORDER Form'!$AC$1:$AC$355,$AB292)))&amp;"",""))</f>
        <v/>
      </c>
      <c r="B292" s="49"/>
      <c r="C292" s="51" t="str">
        <f>IF($AB292="","",INDEX('ORDER Form'!$C$1:$C$355,$AB292))</f>
        <v/>
      </c>
      <c r="D292" s="49"/>
      <c r="E292" s="49"/>
      <c r="F292" s="49"/>
      <c r="G292" s="49"/>
      <c r="H292" s="49"/>
      <c r="I292" s="49"/>
      <c r="J292" s="50" t="str">
        <f>IF($AB292="","",INDEX('ORDER Form'!$D$1:$D$355,$AB292)&amp;"")</f>
        <v/>
      </c>
      <c r="K292" s="50" t="str">
        <f>IF($AB292="","",INDEX('ORDER Form'!$E$1:$E$355,$AB292)&amp;"")</f>
        <v/>
      </c>
      <c r="L292" s="50" t="str">
        <f>IF($AB292="","",INDEX('ORDER Form'!$F$1:$F$355,$AB292)&amp;"")</f>
        <v/>
      </c>
      <c r="M292" s="50" t="str">
        <f>IF($AB292="","",INDEX('ORDER Form'!$G$1:$G$355,$AB292)&amp;"")</f>
        <v/>
      </c>
      <c r="N292" s="50" t="str">
        <f>IF($AB292="","",INDEX('ORDER Form'!$H$1:$H$355,$AB292)&amp;"")</f>
        <v/>
      </c>
      <c r="O292" s="50" t="str">
        <f>IF($AB292="","",INDEX('ORDER Form'!$I$1:$I$355,$AB292)&amp;"")</f>
        <v/>
      </c>
      <c r="P292" s="50" t="str">
        <f>IF($AB292="","",INDEX('ORDER Form'!$J$1:$J$355,$AB292)&amp;"")</f>
        <v/>
      </c>
      <c r="Q292" s="50" t="str">
        <f>IF($AB292="","",INDEX('ORDER Form'!$AB$1:$AB$355,$AB292)&amp;"")</f>
        <v/>
      </c>
      <c r="R292" s="50" t="str">
        <f>IF($AB292="","",INDEX('ORDER Form'!$L$1:$L$355,$AB292)&amp;"")</f>
        <v/>
      </c>
      <c r="S292" s="50" t="str">
        <f>IF($AB292="","",INDEX('ORDER Form'!$N$1:$N$355,$AB292)&amp;"")</f>
        <v/>
      </c>
      <c r="T292" s="50" t="str">
        <f>IF($AB292="","",IF($AD292,T$3,INDEX('ORDER Form'!$O$1:$O$355,$AB292))&amp;"")</f>
        <v/>
      </c>
      <c r="U292" s="50" t="str">
        <f>IF($AB292="","",IF($AD292,U$3,INDEX('ORDER Form'!$P$1:$P$355,$AB292))&amp;"")</f>
        <v/>
      </c>
      <c r="V292" s="50" t="str">
        <f>IF($AB292="","",IF($AD292,V$3,INDEX('ORDER Form'!$Q$1:$Q$355,$AB292))&amp;"")</f>
        <v/>
      </c>
      <c r="W292" s="50" t="str">
        <f>IF($AB292="","",IF($AD292,W$3,INDEX('ORDER Form'!$R$1:$R$355,$AB292))&amp;"")</f>
        <v/>
      </c>
      <c r="X292" s="50" t="str">
        <f>IF($AB292="","",IF($AD292,X$3,INDEX('ORDER Form'!$S$1:$S$355,$AB292))&amp;"")</f>
        <v/>
      </c>
      <c r="Y292" s="50" t="str">
        <f>IF($AB292="","",IF($AD292,Y$3,INDEX('ORDER Form'!$T$1:$T$355,$AB292))&amp;"")</f>
        <v/>
      </c>
      <c r="Z292" s="50" t="str">
        <f>IF($AB292="","",IF($AD292,Z$3,INDEX('ORDER Form'!$U$1:$U$355,$AB292))&amp;"")</f>
        <v/>
      </c>
      <c r="AB292" s="51" t="str">
        <f>IFERROR(MATCH(288,$AC$5:$AC$354,0)+5,"")</f>
        <v/>
      </c>
      <c r="AC292" s="51" t="str">
        <f>IF('ORDER Form'!$V293="OK",COUNTIF('ORDER Form'!$V$6:$V293,"OK"),"")</f>
        <v/>
      </c>
      <c r="AD292" s="51" t="str">
        <f>IF($AB292="","",(LEN(TRIM(INDEX('ORDER Form'!$O$1:$O$355,$AB292)))+LEN(TRIM(INDEX('ORDER Form'!$P$1:$P$355,$AB292)))+LEN(TRIM(INDEX('ORDER Form'!$Q$1:$Q$355,$AB292)))+LEN(TRIM(INDEX('ORDER Form'!$R$1:$R$355,$AB292)))+LEN(TRIM(INDEX('ORDER Form'!$S$1:$S$355,$AB292)))+LEN(TRIM(INDEX('ORDER Form'!$T$1:$T$355,$AB292)))+LEN(TRIM(INDEX('ORDER Form'!$U$1:$U$355,$AB292))))=0)</f>
        <v/>
      </c>
    </row>
    <row r="293" spans="1:30" ht="15" customHeight="1" x14ac:dyDescent="0.25">
      <c r="A293" s="50" t="str">
        <f>IF($AB293="","",IFERROR(IF(AND(INDEX('ORDER Form'!$N$1:$N$355,$AB293)="GB",LEFT(UPPER(TRIM(INDEX('ORDER Form'!$L$1:$L$355,$AB293))),2)="BT"),INDEX('ORDER Form'!$AC$1:$AC$355,$AB293),IFERROR(VLOOKUP(INDEX('ORDER Form'!$AC$1:$AC$355,$AB293)&amp;"|"&amp;INDEX('PRODUCT DATA'!$A$2:$A$58,MATCH(INDEX('ORDER Form'!$N$1:$N$355,$AB293),'PRODUCT DATA'!$B$2:$B$58,0)),'PRODUCT DATA'!$NO$2:$NP$25,2,FALSE()),INDEX('ORDER Form'!$AC$1:$AC$355,$AB293)))&amp;"",""))</f>
        <v/>
      </c>
      <c r="B293" s="49"/>
      <c r="C293" s="51" t="str">
        <f>IF($AB293="","",INDEX('ORDER Form'!$C$1:$C$355,$AB293))</f>
        <v/>
      </c>
      <c r="D293" s="49"/>
      <c r="E293" s="49"/>
      <c r="F293" s="49"/>
      <c r="G293" s="49"/>
      <c r="H293" s="49"/>
      <c r="I293" s="49"/>
      <c r="J293" s="50" t="str">
        <f>IF($AB293="","",INDEX('ORDER Form'!$D$1:$D$355,$AB293)&amp;"")</f>
        <v/>
      </c>
      <c r="K293" s="50" t="str">
        <f>IF($AB293="","",INDEX('ORDER Form'!$E$1:$E$355,$AB293)&amp;"")</f>
        <v/>
      </c>
      <c r="L293" s="50" t="str">
        <f>IF($AB293="","",INDEX('ORDER Form'!$F$1:$F$355,$AB293)&amp;"")</f>
        <v/>
      </c>
      <c r="M293" s="50" t="str">
        <f>IF($AB293="","",INDEX('ORDER Form'!$G$1:$G$355,$AB293)&amp;"")</f>
        <v/>
      </c>
      <c r="N293" s="50" t="str">
        <f>IF($AB293="","",INDEX('ORDER Form'!$H$1:$H$355,$AB293)&amp;"")</f>
        <v/>
      </c>
      <c r="O293" s="50" t="str">
        <f>IF($AB293="","",INDEX('ORDER Form'!$I$1:$I$355,$AB293)&amp;"")</f>
        <v/>
      </c>
      <c r="P293" s="50" t="str">
        <f>IF($AB293="","",INDEX('ORDER Form'!$J$1:$J$355,$AB293)&amp;"")</f>
        <v/>
      </c>
      <c r="Q293" s="50" t="str">
        <f>IF($AB293="","",INDEX('ORDER Form'!$AB$1:$AB$355,$AB293)&amp;"")</f>
        <v/>
      </c>
      <c r="R293" s="50" t="str">
        <f>IF($AB293="","",INDEX('ORDER Form'!$L$1:$L$355,$AB293)&amp;"")</f>
        <v/>
      </c>
      <c r="S293" s="50" t="str">
        <f>IF($AB293="","",INDEX('ORDER Form'!$N$1:$N$355,$AB293)&amp;"")</f>
        <v/>
      </c>
      <c r="T293" s="50" t="str">
        <f>IF($AB293="","",IF($AD293,T$3,INDEX('ORDER Form'!$O$1:$O$355,$AB293))&amp;"")</f>
        <v/>
      </c>
      <c r="U293" s="50" t="str">
        <f>IF($AB293="","",IF($AD293,U$3,INDEX('ORDER Form'!$P$1:$P$355,$AB293))&amp;"")</f>
        <v/>
      </c>
      <c r="V293" s="50" t="str">
        <f>IF($AB293="","",IF($AD293,V$3,INDEX('ORDER Form'!$Q$1:$Q$355,$AB293))&amp;"")</f>
        <v/>
      </c>
      <c r="W293" s="50" t="str">
        <f>IF($AB293="","",IF($AD293,W$3,INDEX('ORDER Form'!$R$1:$R$355,$AB293))&amp;"")</f>
        <v/>
      </c>
      <c r="X293" s="50" t="str">
        <f>IF($AB293="","",IF($AD293,X$3,INDEX('ORDER Form'!$S$1:$S$355,$AB293))&amp;"")</f>
        <v/>
      </c>
      <c r="Y293" s="50" t="str">
        <f>IF($AB293="","",IF($AD293,Y$3,INDEX('ORDER Form'!$T$1:$T$355,$AB293))&amp;"")</f>
        <v/>
      </c>
      <c r="Z293" s="50" t="str">
        <f>IF($AB293="","",IF($AD293,Z$3,INDEX('ORDER Form'!$U$1:$U$355,$AB293))&amp;"")</f>
        <v/>
      </c>
      <c r="AB293" s="51" t="str">
        <f>IFERROR(MATCH(289,$AC$5:$AC$354,0)+5,"")</f>
        <v/>
      </c>
      <c r="AC293" s="51" t="str">
        <f>IF('ORDER Form'!$V294="OK",COUNTIF('ORDER Form'!$V$6:$V294,"OK"),"")</f>
        <v/>
      </c>
      <c r="AD293" s="51" t="str">
        <f>IF($AB293="","",(LEN(TRIM(INDEX('ORDER Form'!$O$1:$O$355,$AB293)))+LEN(TRIM(INDEX('ORDER Form'!$P$1:$P$355,$AB293)))+LEN(TRIM(INDEX('ORDER Form'!$Q$1:$Q$355,$AB293)))+LEN(TRIM(INDEX('ORDER Form'!$R$1:$R$355,$AB293)))+LEN(TRIM(INDEX('ORDER Form'!$S$1:$S$355,$AB293)))+LEN(TRIM(INDEX('ORDER Form'!$T$1:$T$355,$AB293)))+LEN(TRIM(INDEX('ORDER Form'!$U$1:$U$355,$AB293))))=0)</f>
        <v/>
      </c>
    </row>
    <row r="294" spans="1:30" ht="15" customHeight="1" x14ac:dyDescent="0.25">
      <c r="A294" s="50" t="str">
        <f>IF($AB294="","",IFERROR(IF(AND(INDEX('ORDER Form'!$N$1:$N$355,$AB294)="GB",LEFT(UPPER(TRIM(INDEX('ORDER Form'!$L$1:$L$355,$AB294))),2)="BT"),INDEX('ORDER Form'!$AC$1:$AC$355,$AB294),IFERROR(VLOOKUP(INDEX('ORDER Form'!$AC$1:$AC$355,$AB294)&amp;"|"&amp;INDEX('PRODUCT DATA'!$A$2:$A$58,MATCH(INDEX('ORDER Form'!$N$1:$N$355,$AB294),'PRODUCT DATA'!$B$2:$B$58,0)),'PRODUCT DATA'!$NO$2:$NP$25,2,FALSE()),INDEX('ORDER Form'!$AC$1:$AC$355,$AB294)))&amp;"",""))</f>
        <v/>
      </c>
      <c r="B294" s="49"/>
      <c r="C294" s="51" t="str">
        <f>IF($AB294="","",INDEX('ORDER Form'!$C$1:$C$355,$AB294))</f>
        <v/>
      </c>
      <c r="D294" s="49"/>
      <c r="E294" s="49"/>
      <c r="F294" s="49"/>
      <c r="G294" s="49"/>
      <c r="H294" s="49"/>
      <c r="I294" s="49"/>
      <c r="J294" s="50" t="str">
        <f>IF($AB294="","",INDEX('ORDER Form'!$D$1:$D$355,$AB294)&amp;"")</f>
        <v/>
      </c>
      <c r="K294" s="50" t="str">
        <f>IF($AB294="","",INDEX('ORDER Form'!$E$1:$E$355,$AB294)&amp;"")</f>
        <v/>
      </c>
      <c r="L294" s="50" t="str">
        <f>IF($AB294="","",INDEX('ORDER Form'!$F$1:$F$355,$AB294)&amp;"")</f>
        <v/>
      </c>
      <c r="M294" s="50" t="str">
        <f>IF($AB294="","",INDEX('ORDER Form'!$G$1:$G$355,$AB294)&amp;"")</f>
        <v/>
      </c>
      <c r="N294" s="50" t="str">
        <f>IF($AB294="","",INDEX('ORDER Form'!$H$1:$H$355,$AB294)&amp;"")</f>
        <v/>
      </c>
      <c r="O294" s="50" t="str">
        <f>IF($AB294="","",INDEX('ORDER Form'!$I$1:$I$355,$AB294)&amp;"")</f>
        <v/>
      </c>
      <c r="P294" s="50" t="str">
        <f>IF($AB294="","",INDEX('ORDER Form'!$J$1:$J$355,$AB294)&amp;"")</f>
        <v/>
      </c>
      <c r="Q294" s="50" t="str">
        <f>IF($AB294="","",INDEX('ORDER Form'!$AB$1:$AB$355,$AB294)&amp;"")</f>
        <v/>
      </c>
      <c r="R294" s="50" t="str">
        <f>IF($AB294="","",INDEX('ORDER Form'!$L$1:$L$355,$AB294)&amp;"")</f>
        <v/>
      </c>
      <c r="S294" s="50" t="str">
        <f>IF($AB294="","",INDEX('ORDER Form'!$N$1:$N$355,$AB294)&amp;"")</f>
        <v/>
      </c>
      <c r="T294" s="50" t="str">
        <f>IF($AB294="","",IF($AD294,T$3,INDEX('ORDER Form'!$O$1:$O$355,$AB294))&amp;"")</f>
        <v/>
      </c>
      <c r="U294" s="50" t="str">
        <f>IF($AB294="","",IF($AD294,U$3,INDEX('ORDER Form'!$P$1:$P$355,$AB294))&amp;"")</f>
        <v/>
      </c>
      <c r="V294" s="50" t="str">
        <f>IF($AB294="","",IF($AD294,V$3,INDEX('ORDER Form'!$Q$1:$Q$355,$AB294))&amp;"")</f>
        <v/>
      </c>
      <c r="W294" s="50" t="str">
        <f>IF($AB294="","",IF($AD294,W$3,INDEX('ORDER Form'!$R$1:$R$355,$AB294))&amp;"")</f>
        <v/>
      </c>
      <c r="X294" s="50" t="str">
        <f>IF($AB294="","",IF($AD294,X$3,INDEX('ORDER Form'!$S$1:$S$355,$AB294))&amp;"")</f>
        <v/>
      </c>
      <c r="Y294" s="50" t="str">
        <f>IF($AB294="","",IF($AD294,Y$3,INDEX('ORDER Form'!$T$1:$T$355,$AB294))&amp;"")</f>
        <v/>
      </c>
      <c r="Z294" s="50" t="str">
        <f>IF($AB294="","",IF($AD294,Z$3,INDEX('ORDER Form'!$U$1:$U$355,$AB294))&amp;"")</f>
        <v/>
      </c>
      <c r="AB294" s="51" t="str">
        <f>IFERROR(MATCH(290,$AC$5:$AC$354,0)+5,"")</f>
        <v/>
      </c>
      <c r="AC294" s="51" t="str">
        <f>IF('ORDER Form'!$V295="OK",COUNTIF('ORDER Form'!$V$6:$V295,"OK"),"")</f>
        <v/>
      </c>
      <c r="AD294" s="51" t="str">
        <f>IF($AB294="","",(LEN(TRIM(INDEX('ORDER Form'!$O$1:$O$355,$AB294)))+LEN(TRIM(INDEX('ORDER Form'!$P$1:$P$355,$AB294)))+LEN(TRIM(INDEX('ORDER Form'!$Q$1:$Q$355,$AB294)))+LEN(TRIM(INDEX('ORDER Form'!$R$1:$R$355,$AB294)))+LEN(TRIM(INDEX('ORDER Form'!$S$1:$S$355,$AB294)))+LEN(TRIM(INDEX('ORDER Form'!$T$1:$T$355,$AB294)))+LEN(TRIM(INDEX('ORDER Form'!$U$1:$U$355,$AB294))))=0)</f>
        <v/>
      </c>
    </row>
    <row r="295" spans="1:30" ht="15" customHeight="1" x14ac:dyDescent="0.25">
      <c r="A295" s="50" t="str">
        <f>IF($AB295="","",IFERROR(IF(AND(INDEX('ORDER Form'!$N$1:$N$355,$AB295)="GB",LEFT(UPPER(TRIM(INDEX('ORDER Form'!$L$1:$L$355,$AB295))),2)="BT"),INDEX('ORDER Form'!$AC$1:$AC$355,$AB295),IFERROR(VLOOKUP(INDEX('ORDER Form'!$AC$1:$AC$355,$AB295)&amp;"|"&amp;INDEX('PRODUCT DATA'!$A$2:$A$58,MATCH(INDEX('ORDER Form'!$N$1:$N$355,$AB295),'PRODUCT DATA'!$B$2:$B$58,0)),'PRODUCT DATA'!$NO$2:$NP$25,2,FALSE()),INDEX('ORDER Form'!$AC$1:$AC$355,$AB295)))&amp;"",""))</f>
        <v/>
      </c>
      <c r="B295" s="49"/>
      <c r="C295" s="51" t="str">
        <f>IF($AB295="","",INDEX('ORDER Form'!$C$1:$C$355,$AB295))</f>
        <v/>
      </c>
      <c r="D295" s="49"/>
      <c r="E295" s="49"/>
      <c r="F295" s="49"/>
      <c r="G295" s="49"/>
      <c r="H295" s="49"/>
      <c r="I295" s="49"/>
      <c r="J295" s="50" t="str">
        <f>IF($AB295="","",INDEX('ORDER Form'!$D$1:$D$355,$AB295)&amp;"")</f>
        <v/>
      </c>
      <c r="K295" s="50" t="str">
        <f>IF($AB295="","",INDEX('ORDER Form'!$E$1:$E$355,$AB295)&amp;"")</f>
        <v/>
      </c>
      <c r="L295" s="50" t="str">
        <f>IF($AB295="","",INDEX('ORDER Form'!$F$1:$F$355,$AB295)&amp;"")</f>
        <v/>
      </c>
      <c r="M295" s="50" t="str">
        <f>IF($AB295="","",INDEX('ORDER Form'!$G$1:$G$355,$AB295)&amp;"")</f>
        <v/>
      </c>
      <c r="N295" s="50" t="str">
        <f>IF($AB295="","",INDEX('ORDER Form'!$H$1:$H$355,$AB295)&amp;"")</f>
        <v/>
      </c>
      <c r="O295" s="50" t="str">
        <f>IF($AB295="","",INDEX('ORDER Form'!$I$1:$I$355,$AB295)&amp;"")</f>
        <v/>
      </c>
      <c r="P295" s="50" t="str">
        <f>IF($AB295="","",INDEX('ORDER Form'!$J$1:$J$355,$AB295)&amp;"")</f>
        <v/>
      </c>
      <c r="Q295" s="50" t="str">
        <f>IF($AB295="","",INDEX('ORDER Form'!$AB$1:$AB$355,$AB295)&amp;"")</f>
        <v/>
      </c>
      <c r="R295" s="50" t="str">
        <f>IF($AB295="","",INDEX('ORDER Form'!$L$1:$L$355,$AB295)&amp;"")</f>
        <v/>
      </c>
      <c r="S295" s="50" t="str">
        <f>IF($AB295="","",INDEX('ORDER Form'!$N$1:$N$355,$AB295)&amp;"")</f>
        <v/>
      </c>
      <c r="T295" s="50" t="str">
        <f>IF($AB295="","",IF($AD295,T$3,INDEX('ORDER Form'!$O$1:$O$355,$AB295))&amp;"")</f>
        <v/>
      </c>
      <c r="U295" s="50" t="str">
        <f>IF($AB295="","",IF($AD295,U$3,INDEX('ORDER Form'!$P$1:$P$355,$AB295))&amp;"")</f>
        <v/>
      </c>
      <c r="V295" s="50" t="str">
        <f>IF($AB295="","",IF($AD295,V$3,INDEX('ORDER Form'!$Q$1:$Q$355,$AB295))&amp;"")</f>
        <v/>
      </c>
      <c r="W295" s="50" t="str">
        <f>IF($AB295="","",IF($AD295,W$3,INDEX('ORDER Form'!$R$1:$R$355,$AB295))&amp;"")</f>
        <v/>
      </c>
      <c r="X295" s="50" t="str">
        <f>IF($AB295="","",IF($AD295,X$3,INDEX('ORDER Form'!$S$1:$S$355,$AB295))&amp;"")</f>
        <v/>
      </c>
      <c r="Y295" s="50" t="str">
        <f>IF($AB295="","",IF($AD295,Y$3,INDEX('ORDER Form'!$T$1:$T$355,$AB295))&amp;"")</f>
        <v/>
      </c>
      <c r="Z295" s="50" t="str">
        <f>IF($AB295="","",IF($AD295,Z$3,INDEX('ORDER Form'!$U$1:$U$355,$AB295))&amp;"")</f>
        <v/>
      </c>
      <c r="AB295" s="51" t="str">
        <f>IFERROR(MATCH(291,$AC$5:$AC$354,0)+5,"")</f>
        <v/>
      </c>
      <c r="AC295" s="51" t="str">
        <f>IF('ORDER Form'!$V296="OK",COUNTIF('ORDER Form'!$V$6:$V296,"OK"),"")</f>
        <v/>
      </c>
      <c r="AD295" s="51" t="str">
        <f>IF($AB295="","",(LEN(TRIM(INDEX('ORDER Form'!$O$1:$O$355,$AB295)))+LEN(TRIM(INDEX('ORDER Form'!$P$1:$P$355,$AB295)))+LEN(TRIM(INDEX('ORDER Form'!$Q$1:$Q$355,$AB295)))+LEN(TRIM(INDEX('ORDER Form'!$R$1:$R$355,$AB295)))+LEN(TRIM(INDEX('ORDER Form'!$S$1:$S$355,$AB295)))+LEN(TRIM(INDEX('ORDER Form'!$T$1:$T$355,$AB295)))+LEN(TRIM(INDEX('ORDER Form'!$U$1:$U$355,$AB295))))=0)</f>
        <v/>
      </c>
    </row>
    <row r="296" spans="1:30" ht="15" customHeight="1" x14ac:dyDescent="0.25">
      <c r="A296" s="50" t="str">
        <f>IF($AB296="","",IFERROR(IF(AND(INDEX('ORDER Form'!$N$1:$N$355,$AB296)="GB",LEFT(UPPER(TRIM(INDEX('ORDER Form'!$L$1:$L$355,$AB296))),2)="BT"),INDEX('ORDER Form'!$AC$1:$AC$355,$AB296),IFERROR(VLOOKUP(INDEX('ORDER Form'!$AC$1:$AC$355,$AB296)&amp;"|"&amp;INDEX('PRODUCT DATA'!$A$2:$A$58,MATCH(INDEX('ORDER Form'!$N$1:$N$355,$AB296),'PRODUCT DATA'!$B$2:$B$58,0)),'PRODUCT DATA'!$NO$2:$NP$25,2,FALSE()),INDEX('ORDER Form'!$AC$1:$AC$355,$AB296)))&amp;"",""))</f>
        <v/>
      </c>
      <c r="B296" s="49"/>
      <c r="C296" s="51" t="str">
        <f>IF($AB296="","",INDEX('ORDER Form'!$C$1:$C$355,$AB296))</f>
        <v/>
      </c>
      <c r="D296" s="49"/>
      <c r="E296" s="49"/>
      <c r="F296" s="49"/>
      <c r="G296" s="49"/>
      <c r="H296" s="49"/>
      <c r="I296" s="49"/>
      <c r="J296" s="50" t="str">
        <f>IF($AB296="","",INDEX('ORDER Form'!$D$1:$D$355,$AB296)&amp;"")</f>
        <v/>
      </c>
      <c r="K296" s="50" t="str">
        <f>IF($AB296="","",INDEX('ORDER Form'!$E$1:$E$355,$AB296)&amp;"")</f>
        <v/>
      </c>
      <c r="L296" s="50" t="str">
        <f>IF($AB296="","",INDEX('ORDER Form'!$F$1:$F$355,$AB296)&amp;"")</f>
        <v/>
      </c>
      <c r="M296" s="50" t="str">
        <f>IF($AB296="","",INDEX('ORDER Form'!$G$1:$G$355,$AB296)&amp;"")</f>
        <v/>
      </c>
      <c r="N296" s="50" t="str">
        <f>IF($AB296="","",INDEX('ORDER Form'!$H$1:$H$355,$AB296)&amp;"")</f>
        <v/>
      </c>
      <c r="O296" s="50" t="str">
        <f>IF($AB296="","",INDEX('ORDER Form'!$I$1:$I$355,$AB296)&amp;"")</f>
        <v/>
      </c>
      <c r="P296" s="50" t="str">
        <f>IF($AB296="","",INDEX('ORDER Form'!$J$1:$J$355,$AB296)&amp;"")</f>
        <v/>
      </c>
      <c r="Q296" s="50" t="str">
        <f>IF($AB296="","",INDEX('ORDER Form'!$AB$1:$AB$355,$AB296)&amp;"")</f>
        <v/>
      </c>
      <c r="R296" s="50" t="str">
        <f>IF($AB296="","",INDEX('ORDER Form'!$L$1:$L$355,$AB296)&amp;"")</f>
        <v/>
      </c>
      <c r="S296" s="50" t="str">
        <f>IF($AB296="","",INDEX('ORDER Form'!$N$1:$N$355,$AB296)&amp;"")</f>
        <v/>
      </c>
      <c r="T296" s="50" t="str">
        <f>IF($AB296="","",IF($AD296,T$3,INDEX('ORDER Form'!$O$1:$O$355,$AB296))&amp;"")</f>
        <v/>
      </c>
      <c r="U296" s="50" t="str">
        <f>IF($AB296="","",IF($AD296,U$3,INDEX('ORDER Form'!$P$1:$P$355,$AB296))&amp;"")</f>
        <v/>
      </c>
      <c r="V296" s="50" t="str">
        <f>IF($AB296="","",IF($AD296,V$3,INDEX('ORDER Form'!$Q$1:$Q$355,$AB296))&amp;"")</f>
        <v/>
      </c>
      <c r="W296" s="50" t="str">
        <f>IF($AB296="","",IF($AD296,W$3,INDEX('ORDER Form'!$R$1:$R$355,$AB296))&amp;"")</f>
        <v/>
      </c>
      <c r="X296" s="50" t="str">
        <f>IF($AB296="","",IF($AD296,X$3,INDEX('ORDER Form'!$S$1:$S$355,$AB296))&amp;"")</f>
        <v/>
      </c>
      <c r="Y296" s="50" t="str">
        <f>IF($AB296="","",IF($AD296,Y$3,INDEX('ORDER Form'!$T$1:$T$355,$AB296))&amp;"")</f>
        <v/>
      </c>
      <c r="Z296" s="50" t="str">
        <f>IF($AB296="","",IF($AD296,Z$3,INDEX('ORDER Form'!$U$1:$U$355,$AB296))&amp;"")</f>
        <v/>
      </c>
      <c r="AB296" s="51" t="str">
        <f>IFERROR(MATCH(292,$AC$5:$AC$354,0)+5,"")</f>
        <v/>
      </c>
      <c r="AC296" s="51" t="str">
        <f>IF('ORDER Form'!$V297="OK",COUNTIF('ORDER Form'!$V$6:$V297,"OK"),"")</f>
        <v/>
      </c>
      <c r="AD296" s="51" t="str">
        <f>IF($AB296="","",(LEN(TRIM(INDEX('ORDER Form'!$O$1:$O$355,$AB296)))+LEN(TRIM(INDEX('ORDER Form'!$P$1:$P$355,$AB296)))+LEN(TRIM(INDEX('ORDER Form'!$Q$1:$Q$355,$AB296)))+LEN(TRIM(INDEX('ORDER Form'!$R$1:$R$355,$AB296)))+LEN(TRIM(INDEX('ORDER Form'!$S$1:$S$355,$AB296)))+LEN(TRIM(INDEX('ORDER Form'!$T$1:$T$355,$AB296)))+LEN(TRIM(INDEX('ORDER Form'!$U$1:$U$355,$AB296))))=0)</f>
        <v/>
      </c>
    </row>
    <row r="297" spans="1:30" ht="15" customHeight="1" x14ac:dyDescent="0.25">
      <c r="A297" s="50" t="str">
        <f>IF($AB297="","",IFERROR(IF(AND(INDEX('ORDER Form'!$N$1:$N$355,$AB297)="GB",LEFT(UPPER(TRIM(INDEX('ORDER Form'!$L$1:$L$355,$AB297))),2)="BT"),INDEX('ORDER Form'!$AC$1:$AC$355,$AB297),IFERROR(VLOOKUP(INDEX('ORDER Form'!$AC$1:$AC$355,$AB297)&amp;"|"&amp;INDEX('PRODUCT DATA'!$A$2:$A$58,MATCH(INDEX('ORDER Form'!$N$1:$N$355,$AB297),'PRODUCT DATA'!$B$2:$B$58,0)),'PRODUCT DATA'!$NO$2:$NP$25,2,FALSE()),INDEX('ORDER Form'!$AC$1:$AC$355,$AB297)))&amp;"",""))</f>
        <v/>
      </c>
      <c r="B297" s="49"/>
      <c r="C297" s="51" t="str">
        <f>IF($AB297="","",INDEX('ORDER Form'!$C$1:$C$355,$AB297))</f>
        <v/>
      </c>
      <c r="D297" s="49"/>
      <c r="E297" s="49"/>
      <c r="F297" s="49"/>
      <c r="G297" s="49"/>
      <c r="H297" s="49"/>
      <c r="I297" s="49"/>
      <c r="J297" s="50" t="str">
        <f>IF($AB297="","",INDEX('ORDER Form'!$D$1:$D$355,$AB297)&amp;"")</f>
        <v/>
      </c>
      <c r="K297" s="50" t="str">
        <f>IF($AB297="","",INDEX('ORDER Form'!$E$1:$E$355,$AB297)&amp;"")</f>
        <v/>
      </c>
      <c r="L297" s="50" t="str">
        <f>IF($AB297="","",INDEX('ORDER Form'!$F$1:$F$355,$AB297)&amp;"")</f>
        <v/>
      </c>
      <c r="M297" s="50" t="str">
        <f>IF($AB297="","",INDEX('ORDER Form'!$G$1:$G$355,$AB297)&amp;"")</f>
        <v/>
      </c>
      <c r="N297" s="50" t="str">
        <f>IF($AB297="","",INDEX('ORDER Form'!$H$1:$H$355,$AB297)&amp;"")</f>
        <v/>
      </c>
      <c r="O297" s="50" t="str">
        <f>IF($AB297="","",INDEX('ORDER Form'!$I$1:$I$355,$AB297)&amp;"")</f>
        <v/>
      </c>
      <c r="P297" s="50" t="str">
        <f>IF($AB297="","",INDEX('ORDER Form'!$J$1:$J$355,$AB297)&amp;"")</f>
        <v/>
      </c>
      <c r="Q297" s="50" t="str">
        <f>IF($AB297="","",INDEX('ORDER Form'!$AB$1:$AB$355,$AB297)&amp;"")</f>
        <v/>
      </c>
      <c r="R297" s="50" t="str">
        <f>IF($AB297="","",INDEX('ORDER Form'!$L$1:$L$355,$AB297)&amp;"")</f>
        <v/>
      </c>
      <c r="S297" s="50" t="str">
        <f>IF($AB297="","",INDEX('ORDER Form'!$N$1:$N$355,$AB297)&amp;"")</f>
        <v/>
      </c>
      <c r="T297" s="50" t="str">
        <f>IF($AB297="","",IF($AD297,T$3,INDEX('ORDER Form'!$O$1:$O$355,$AB297))&amp;"")</f>
        <v/>
      </c>
      <c r="U297" s="50" t="str">
        <f>IF($AB297="","",IF($AD297,U$3,INDEX('ORDER Form'!$P$1:$P$355,$AB297))&amp;"")</f>
        <v/>
      </c>
      <c r="V297" s="50" t="str">
        <f>IF($AB297="","",IF($AD297,V$3,INDEX('ORDER Form'!$Q$1:$Q$355,$AB297))&amp;"")</f>
        <v/>
      </c>
      <c r="W297" s="50" t="str">
        <f>IF($AB297="","",IF($AD297,W$3,INDEX('ORDER Form'!$R$1:$R$355,$AB297))&amp;"")</f>
        <v/>
      </c>
      <c r="X297" s="50" t="str">
        <f>IF($AB297="","",IF($AD297,X$3,INDEX('ORDER Form'!$S$1:$S$355,$AB297))&amp;"")</f>
        <v/>
      </c>
      <c r="Y297" s="50" t="str">
        <f>IF($AB297="","",IF($AD297,Y$3,INDEX('ORDER Form'!$T$1:$T$355,$AB297))&amp;"")</f>
        <v/>
      </c>
      <c r="Z297" s="50" t="str">
        <f>IF($AB297="","",IF($AD297,Z$3,INDEX('ORDER Form'!$U$1:$U$355,$AB297))&amp;"")</f>
        <v/>
      </c>
      <c r="AB297" s="51" t="str">
        <f>IFERROR(MATCH(293,$AC$5:$AC$354,0)+5,"")</f>
        <v/>
      </c>
      <c r="AC297" s="51" t="str">
        <f>IF('ORDER Form'!$V298="OK",COUNTIF('ORDER Form'!$V$6:$V298,"OK"),"")</f>
        <v/>
      </c>
      <c r="AD297" s="51" t="str">
        <f>IF($AB297="","",(LEN(TRIM(INDEX('ORDER Form'!$O$1:$O$355,$AB297)))+LEN(TRIM(INDEX('ORDER Form'!$P$1:$P$355,$AB297)))+LEN(TRIM(INDEX('ORDER Form'!$Q$1:$Q$355,$AB297)))+LEN(TRIM(INDEX('ORDER Form'!$R$1:$R$355,$AB297)))+LEN(TRIM(INDEX('ORDER Form'!$S$1:$S$355,$AB297)))+LEN(TRIM(INDEX('ORDER Form'!$T$1:$T$355,$AB297)))+LEN(TRIM(INDEX('ORDER Form'!$U$1:$U$355,$AB297))))=0)</f>
        <v/>
      </c>
    </row>
    <row r="298" spans="1:30" ht="15" customHeight="1" x14ac:dyDescent="0.25">
      <c r="A298" s="50" t="str">
        <f>IF($AB298="","",IFERROR(IF(AND(INDEX('ORDER Form'!$N$1:$N$355,$AB298)="GB",LEFT(UPPER(TRIM(INDEX('ORDER Form'!$L$1:$L$355,$AB298))),2)="BT"),INDEX('ORDER Form'!$AC$1:$AC$355,$AB298),IFERROR(VLOOKUP(INDEX('ORDER Form'!$AC$1:$AC$355,$AB298)&amp;"|"&amp;INDEX('PRODUCT DATA'!$A$2:$A$58,MATCH(INDEX('ORDER Form'!$N$1:$N$355,$AB298),'PRODUCT DATA'!$B$2:$B$58,0)),'PRODUCT DATA'!$NO$2:$NP$25,2,FALSE()),INDEX('ORDER Form'!$AC$1:$AC$355,$AB298)))&amp;"",""))</f>
        <v/>
      </c>
      <c r="B298" s="49"/>
      <c r="C298" s="51" t="str">
        <f>IF($AB298="","",INDEX('ORDER Form'!$C$1:$C$355,$AB298))</f>
        <v/>
      </c>
      <c r="D298" s="49"/>
      <c r="E298" s="49"/>
      <c r="F298" s="49"/>
      <c r="G298" s="49"/>
      <c r="H298" s="49"/>
      <c r="I298" s="49"/>
      <c r="J298" s="50" t="str">
        <f>IF($AB298="","",INDEX('ORDER Form'!$D$1:$D$355,$AB298)&amp;"")</f>
        <v/>
      </c>
      <c r="K298" s="50" t="str">
        <f>IF($AB298="","",INDEX('ORDER Form'!$E$1:$E$355,$AB298)&amp;"")</f>
        <v/>
      </c>
      <c r="L298" s="50" t="str">
        <f>IF($AB298="","",INDEX('ORDER Form'!$F$1:$F$355,$AB298)&amp;"")</f>
        <v/>
      </c>
      <c r="M298" s="50" t="str">
        <f>IF($AB298="","",INDEX('ORDER Form'!$G$1:$G$355,$AB298)&amp;"")</f>
        <v/>
      </c>
      <c r="N298" s="50" t="str">
        <f>IF($AB298="","",INDEX('ORDER Form'!$H$1:$H$355,$AB298)&amp;"")</f>
        <v/>
      </c>
      <c r="O298" s="50" t="str">
        <f>IF($AB298="","",INDEX('ORDER Form'!$I$1:$I$355,$AB298)&amp;"")</f>
        <v/>
      </c>
      <c r="P298" s="50" t="str">
        <f>IF($AB298="","",INDEX('ORDER Form'!$J$1:$J$355,$AB298)&amp;"")</f>
        <v/>
      </c>
      <c r="Q298" s="50" t="str">
        <f>IF($AB298="","",INDEX('ORDER Form'!$AB$1:$AB$355,$AB298)&amp;"")</f>
        <v/>
      </c>
      <c r="R298" s="50" t="str">
        <f>IF($AB298="","",INDEX('ORDER Form'!$L$1:$L$355,$AB298)&amp;"")</f>
        <v/>
      </c>
      <c r="S298" s="50" t="str">
        <f>IF($AB298="","",INDEX('ORDER Form'!$N$1:$N$355,$AB298)&amp;"")</f>
        <v/>
      </c>
      <c r="T298" s="50" t="str">
        <f>IF($AB298="","",IF($AD298,T$3,INDEX('ORDER Form'!$O$1:$O$355,$AB298))&amp;"")</f>
        <v/>
      </c>
      <c r="U298" s="50" t="str">
        <f>IF($AB298="","",IF($AD298,U$3,INDEX('ORDER Form'!$P$1:$P$355,$AB298))&amp;"")</f>
        <v/>
      </c>
      <c r="V298" s="50" t="str">
        <f>IF($AB298="","",IF($AD298,V$3,INDEX('ORDER Form'!$Q$1:$Q$355,$AB298))&amp;"")</f>
        <v/>
      </c>
      <c r="W298" s="50" t="str">
        <f>IF($AB298="","",IF($AD298,W$3,INDEX('ORDER Form'!$R$1:$R$355,$AB298))&amp;"")</f>
        <v/>
      </c>
      <c r="X298" s="50" t="str">
        <f>IF($AB298="","",IF($AD298,X$3,INDEX('ORDER Form'!$S$1:$S$355,$AB298))&amp;"")</f>
        <v/>
      </c>
      <c r="Y298" s="50" t="str">
        <f>IF($AB298="","",IF($AD298,Y$3,INDEX('ORDER Form'!$T$1:$T$355,$AB298))&amp;"")</f>
        <v/>
      </c>
      <c r="Z298" s="50" t="str">
        <f>IF($AB298="","",IF($AD298,Z$3,INDEX('ORDER Form'!$U$1:$U$355,$AB298))&amp;"")</f>
        <v/>
      </c>
      <c r="AB298" s="51" t="str">
        <f>IFERROR(MATCH(294,$AC$5:$AC$354,0)+5,"")</f>
        <v/>
      </c>
      <c r="AC298" s="51" t="str">
        <f>IF('ORDER Form'!$V299="OK",COUNTIF('ORDER Form'!$V$6:$V299,"OK"),"")</f>
        <v/>
      </c>
      <c r="AD298" s="51" t="str">
        <f>IF($AB298="","",(LEN(TRIM(INDEX('ORDER Form'!$O$1:$O$355,$AB298)))+LEN(TRIM(INDEX('ORDER Form'!$P$1:$P$355,$AB298)))+LEN(TRIM(INDEX('ORDER Form'!$Q$1:$Q$355,$AB298)))+LEN(TRIM(INDEX('ORDER Form'!$R$1:$R$355,$AB298)))+LEN(TRIM(INDEX('ORDER Form'!$S$1:$S$355,$AB298)))+LEN(TRIM(INDEX('ORDER Form'!$T$1:$T$355,$AB298)))+LEN(TRIM(INDEX('ORDER Form'!$U$1:$U$355,$AB298))))=0)</f>
        <v/>
      </c>
    </row>
    <row r="299" spans="1:30" ht="15" customHeight="1" x14ac:dyDescent="0.25">
      <c r="A299" s="50" t="str">
        <f>IF($AB299="","",IFERROR(IF(AND(INDEX('ORDER Form'!$N$1:$N$355,$AB299)="GB",LEFT(UPPER(TRIM(INDEX('ORDER Form'!$L$1:$L$355,$AB299))),2)="BT"),INDEX('ORDER Form'!$AC$1:$AC$355,$AB299),IFERROR(VLOOKUP(INDEX('ORDER Form'!$AC$1:$AC$355,$AB299)&amp;"|"&amp;INDEX('PRODUCT DATA'!$A$2:$A$58,MATCH(INDEX('ORDER Form'!$N$1:$N$355,$AB299),'PRODUCT DATA'!$B$2:$B$58,0)),'PRODUCT DATA'!$NO$2:$NP$25,2,FALSE()),INDEX('ORDER Form'!$AC$1:$AC$355,$AB299)))&amp;"",""))</f>
        <v/>
      </c>
      <c r="B299" s="49"/>
      <c r="C299" s="51" t="str">
        <f>IF($AB299="","",INDEX('ORDER Form'!$C$1:$C$355,$AB299))</f>
        <v/>
      </c>
      <c r="D299" s="49"/>
      <c r="E299" s="49"/>
      <c r="F299" s="49"/>
      <c r="G299" s="49"/>
      <c r="H299" s="49"/>
      <c r="I299" s="49"/>
      <c r="J299" s="50" t="str">
        <f>IF($AB299="","",INDEX('ORDER Form'!$D$1:$D$355,$AB299)&amp;"")</f>
        <v/>
      </c>
      <c r="K299" s="50" t="str">
        <f>IF($AB299="","",INDEX('ORDER Form'!$E$1:$E$355,$AB299)&amp;"")</f>
        <v/>
      </c>
      <c r="L299" s="50" t="str">
        <f>IF($AB299="","",INDEX('ORDER Form'!$F$1:$F$355,$AB299)&amp;"")</f>
        <v/>
      </c>
      <c r="M299" s="50" t="str">
        <f>IF($AB299="","",INDEX('ORDER Form'!$G$1:$G$355,$AB299)&amp;"")</f>
        <v/>
      </c>
      <c r="N299" s="50" t="str">
        <f>IF($AB299="","",INDEX('ORDER Form'!$H$1:$H$355,$AB299)&amp;"")</f>
        <v/>
      </c>
      <c r="O299" s="50" t="str">
        <f>IF($AB299="","",INDEX('ORDER Form'!$I$1:$I$355,$AB299)&amp;"")</f>
        <v/>
      </c>
      <c r="P299" s="50" t="str">
        <f>IF($AB299="","",INDEX('ORDER Form'!$J$1:$J$355,$AB299)&amp;"")</f>
        <v/>
      </c>
      <c r="Q299" s="50" t="str">
        <f>IF($AB299="","",INDEX('ORDER Form'!$AB$1:$AB$355,$AB299)&amp;"")</f>
        <v/>
      </c>
      <c r="R299" s="50" t="str">
        <f>IF($AB299="","",INDEX('ORDER Form'!$L$1:$L$355,$AB299)&amp;"")</f>
        <v/>
      </c>
      <c r="S299" s="50" t="str">
        <f>IF($AB299="","",INDEX('ORDER Form'!$N$1:$N$355,$AB299)&amp;"")</f>
        <v/>
      </c>
      <c r="T299" s="50" t="str">
        <f>IF($AB299="","",IF($AD299,T$3,INDEX('ORDER Form'!$O$1:$O$355,$AB299))&amp;"")</f>
        <v/>
      </c>
      <c r="U299" s="50" t="str">
        <f>IF($AB299="","",IF($AD299,U$3,INDEX('ORDER Form'!$P$1:$P$355,$AB299))&amp;"")</f>
        <v/>
      </c>
      <c r="V299" s="50" t="str">
        <f>IF($AB299="","",IF($AD299,V$3,INDEX('ORDER Form'!$Q$1:$Q$355,$AB299))&amp;"")</f>
        <v/>
      </c>
      <c r="W299" s="50" t="str">
        <f>IF($AB299="","",IF($AD299,W$3,INDEX('ORDER Form'!$R$1:$R$355,$AB299))&amp;"")</f>
        <v/>
      </c>
      <c r="X299" s="50" t="str">
        <f>IF($AB299="","",IF($AD299,X$3,INDEX('ORDER Form'!$S$1:$S$355,$AB299))&amp;"")</f>
        <v/>
      </c>
      <c r="Y299" s="50" t="str">
        <f>IF($AB299="","",IF($AD299,Y$3,INDEX('ORDER Form'!$T$1:$T$355,$AB299))&amp;"")</f>
        <v/>
      </c>
      <c r="Z299" s="50" t="str">
        <f>IF($AB299="","",IF($AD299,Z$3,INDEX('ORDER Form'!$U$1:$U$355,$AB299))&amp;"")</f>
        <v/>
      </c>
      <c r="AB299" s="51" t="str">
        <f>IFERROR(MATCH(295,$AC$5:$AC$354,0)+5,"")</f>
        <v/>
      </c>
      <c r="AC299" s="51" t="str">
        <f>IF('ORDER Form'!$V300="OK",COUNTIF('ORDER Form'!$V$6:$V300,"OK"),"")</f>
        <v/>
      </c>
      <c r="AD299" s="51" t="str">
        <f>IF($AB299="","",(LEN(TRIM(INDEX('ORDER Form'!$O$1:$O$355,$AB299)))+LEN(TRIM(INDEX('ORDER Form'!$P$1:$P$355,$AB299)))+LEN(TRIM(INDEX('ORDER Form'!$Q$1:$Q$355,$AB299)))+LEN(TRIM(INDEX('ORDER Form'!$R$1:$R$355,$AB299)))+LEN(TRIM(INDEX('ORDER Form'!$S$1:$S$355,$AB299)))+LEN(TRIM(INDEX('ORDER Form'!$T$1:$T$355,$AB299)))+LEN(TRIM(INDEX('ORDER Form'!$U$1:$U$355,$AB299))))=0)</f>
        <v/>
      </c>
    </row>
    <row r="300" spans="1:30" ht="15" customHeight="1" x14ac:dyDescent="0.25">
      <c r="A300" s="50" t="str">
        <f>IF($AB300="","",IFERROR(IF(AND(INDEX('ORDER Form'!$N$1:$N$355,$AB300)="GB",LEFT(UPPER(TRIM(INDEX('ORDER Form'!$L$1:$L$355,$AB300))),2)="BT"),INDEX('ORDER Form'!$AC$1:$AC$355,$AB300),IFERROR(VLOOKUP(INDEX('ORDER Form'!$AC$1:$AC$355,$AB300)&amp;"|"&amp;INDEX('PRODUCT DATA'!$A$2:$A$58,MATCH(INDEX('ORDER Form'!$N$1:$N$355,$AB300),'PRODUCT DATA'!$B$2:$B$58,0)),'PRODUCT DATA'!$NO$2:$NP$25,2,FALSE()),INDEX('ORDER Form'!$AC$1:$AC$355,$AB300)))&amp;"",""))</f>
        <v/>
      </c>
      <c r="B300" s="49"/>
      <c r="C300" s="51" t="str">
        <f>IF($AB300="","",INDEX('ORDER Form'!$C$1:$C$355,$AB300))</f>
        <v/>
      </c>
      <c r="D300" s="49"/>
      <c r="E300" s="49"/>
      <c r="F300" s="49"/>
      <c r="G300" s="49"/>
      <c r="H300" s="49"/>
      <c r="I300" s="49"/>
      <c r="J300" s="50" t="str">
        <f>IF($AB300="","",INDEX('ORDER Form'!$D$1:$D$355,$AB300)&amp;"")</f>
        <v/>
      </c>
      <c r="K300" s="50" t="str">
        <f>IF($AB300="","",INDEX('ORDER Form'!$E$1:$E$355,$AB300)&amp;"")</f>
        <v/>
      </c>
      <c r="L300" s="50" t="str">
        <f>IF($AB300="","",INDEX('ORDER Form'!$F$1:$F$355,$AB300)&amp;"")</f>
        <v/>
      </c>
      <c r="M300" s="50" t="str">
        <f>IF($AB300="","",INDEX('ORDER Form'!$G$1:$G$355,$AB300)&amp;"")</f>
        <v/>
      </c>
      <c r="N300" s="50" t="str">
        <f>IF($AB300="","",INDEX('ORDER Form'!$H$1:$H$355,$AB300)&amp;"")</f>
        <v/>
      </c>
      <c r="O300" s="50" t="str">
        <f>IF($AB300="","",INDEX('ORDER Form'!$I$1:$I$355,$AB300)&amp;"")</f>
        <v/>
      </c>
      <c r="P300" s="50" t="str">
        <f>IF($AB300="","",INDEX('ORDER Form'!$J$1:$J$355,$AB300)&amp;"")</f>
        <v/>
      </c>
      <c r="Q300" s="50" t="str">
        <f>IF($AB300="","",INDEX('ORDER Form'!$AB$1:$AB$355,$AB300)&amp;"")</f>
        <v/>
      </c>
      <c r="R300" s="50" t="str">
        <f>IF($AB300="","",INDEX('ORDER Form'!$L$1:$L$355,$AB300)&amp;"")</f>
        <v/>
      </c>
      <c r="S300" s="50" t="str">
        <f>IF($AB300="","",INDEX('ORDER Form'!$N$1:$N$355,$AB300)&amp;"")</f>
        <v/>
      </c>
      <c r="T300" s="50" t="str">
        <f>IF($AB300="","",IF($AD300,T$3,INDEX('ORDER Form'!$O$1:$O$355,$AB300))&amp;"")</f>
        <v/>
      </c>
      <c r="U300" s="50" t="str">
        <f>IF($AB300="","",IF($AD300,U$3,INDEX('ORDER Form'!$P$1:$P$355,$AB300))&amp;"")</f>
        <v/>
      </c>
      <c r="V300" s="50" t="str">
        <f>IF($AB300="","",IF($AD300,V$3,INDEX('ORDER Form'!$Q$1:$Q$355,$AB300))&amp;"")</f>
        <v/>
      </c>
      <c r="W300" s="50" t="str">
        <f>IF($AB300="","",IF($AD300,W$3,INDEX('ORDER Form'!$R$1:$R$355,$AB300))&amp;"")</f>
        <v/>
      </c>
      <c r="X300" s="50" t="str">
        <f>IF($AB300="","",IF($AD300,X$3,INDEX('ORDER Form'!$S$1:$S$355,$AB300))&amp;"")</f>
        <v/>
      </c>
      <c r="Y300" s="50" t="str">
        <f>IF($AB300="","",IF($AD300,Y$3,INDEX('ORDER Form'!$T$1:$T$355,$AB300))&amp;"")</f>
        <v/>
      </c>
      <c r="Z300" s="50" t="str">
        <f>IF($AB300="","",IF($AD300,Z$3,INDEX('ORDER Form'!$U$1:$U$355,$AB300))&amp;"")</f>
        <v/>
      </c>
      <c r="AB300" s="51" t="str">
        <f>IFERROR(MATCH(296,$AC$5:$AC$354,0)+5,"")</f>
        <v/>
      </c>
      <c r="AC300" s="51" t="str">
        <f>IF('ORDER Form'!$V301="OK",COUNTIF('ORDER Form'!$V$6:$V301,"OK"),"")</f>
        <v/>
      </c>
      <c r="AD300" s="51" t="str">
        <f>IF($AB300="","",(LEN(TRIM(INDEX('ORDER Form'!$O$1:$O$355,$AB300)))+LEN(TRIM(INDEX('ORDER Form'!$P$1:$P$355,$AB300)))+LEN(TRIM(INDEX('ORDER Form'!$Q$1:$Q$355,$AB300)))+LEN(TRIM(INDEX('ORDER Form'!$R$1:$R$355,$AB300)))+LEN(TRIM(INDEX('ORDER Form'!$S$1:$S$355,$AB300)))+LEN(TRIM(INDEX('ORDER Form'!$T$1:$T$355,$AB300)))+LEN(TRIM(INDEX('ORDER Form'!$U$1:$U$355,$AB300))))=0)</f>
        <v/>
      </c>
    </row>
    <row r="301" spans="1:30" ht="15" customHeight="1" x14ac:dyDescent="0.25">
      <c r="A301" s="50" t="str">
        <f>IF($AB301="","",IFERROR(IF(AND(INDEX('ORDER Form'!$N$1:$N$355,$AB301)="GB",LEFT(UPPER(TRIM(INDEX('ORDER Form'!$L$1:$L$355,$AB301))),2)="BT"),INDEX('ORDER Form'!$AC$1:$AC$355,$AB301),IFERROR(VLOOKUP(INDEX('ORDER Form'!$AC$1:$AC$355,$AB301)&amp;"|"&amp;INDEX('PRODUCT DATA'!$A$2:$A$58,MATCH(INDEX('ORDER Form'!$N$1:$N$355,$AB301),'PRODUCT DATA'!$B$2:$B$58,0)),'PRODUCT DATA'!$NO$2:$NP$25,2,FALSE()),INDEX('ORDER Form'!$AC$1:$AC$355,$AB301)))&amp;"",""))</f>
        <v/>
      </c>
      <c r="B301" s="49"/>
      <c r="C301" s="51" t="str">
        <f>IF($AB301="","",INDEX('ORDER Form'!$C$1:$C$355,$AB301))</f>
        <v/>
      </c>
      <c r="D301" s="49"/>
      <c r="E301" s="49"/>
      <c r="F301" s="49"/>
      <c r="G301" s="49"/>
      <c r="H301" s="49"/>
      <c r="I301" s="49"/>
      <c r="J301" s="50" t="str">
        <f>IF($AB301="","",INDEX('ORDER Form'!$D$1:$D$355,$AB301)&amp;"")</f>
        <v/>
      </c>
      <c r="K301" s="50" t="str">
        <f>IF($AB301="","",INDEX('ORDER Form'!$E$1:$E$355,$AB301)&amp;"")</f>
        <v/>
      </c>
      <c r="L301" s="50" t="str">
        <f>IF($AB301="","",INDEX('ORDER Form'!$F$1:$F$355,$AB301)&amp;"")</f>
        <v/>
      </c>
      <c r="M301" s="50" t="str">
        <f>IF($AB301="","",INDEX('ORDER Form'!$G$1:$G$355,$AB301)&amp;"")</f>
        <v/>
      </c>
      <c r="N301" s="50" t="str">
        <f>IF($AB301="","",INDEX('ORDER Form'!$H$1:$H$355,$AB301)&amp;"")</f>
        <v/>
      </c>
      <c r="O301" s="50" t="str">
        <f>IF($AB301="","",INDEX('ORDER Form'!$I$1:$I$355,$AB301)&amp;"")</f>
        <v/>
      </c>
      <c r="P301" s="50" t="str">
        <f>IF($AB301="","",INDEX('ORDER Form'!$J$1:$J$355,$AB301)&amp;"")</f>
        <v/>
      </c>
      <c r="Q301" s="50" t="str">
        <f>IF($AB301="","",INDEX('ORDER Form'!$AB$1:$AB$355,$AB301)&amp;"")</f>
        <v/>
      </c>
      <c r="R301" s="50" t="str">
        <f>IF($AB301="","",INDEX('ORDER Form'!$L$1:$L$355,$AB301)&amp;"")</f>
        <v/>
      </c>
      <c r="S301" s="50" t="str">
        <f>IF($AB301="","",INDEX('ORDER Form'!$N$1:$N$355,$AB301)&amp;"")</f>
        <v/>
      </c>
      <c r="T301" s="50" t="str">
        <f>IF($AB301="","",IF($AD301,T$3,INDEX('ORDER Form'!$O$1:$O$355,$AB301))&amp;"")</f>
        <v/>
      </c>
      <c r="U301" s="50" t="str">
        <f>IF($AB301="","",IF($AD301,U$3,INDEX('ORDER Form'!$P$1:$P$355,$AB301))&amp;"")</f>
        <v/>
      </c>
      <c r="V301" s="50" t="str">
        <f>IF($AB301="","",IF($AD301,V$3,INDEX('ORDER Form'!$Q$1:$Q$355,$AB301))&amp;"")</f>
        <v/>
      </c>
      <c r="W301" s="50" t="str">
        <f>IF($AB301="","",IF($AD301,W$3,INDEX('ORDER Form'!$R$1:$R$355,$AB301))&amp;"")</f>
        <v/>
      </c>
      <c r="X301" s="50" t="str">
        <f>IF($AB301="","",IF($AD301,X$3,INDEX('ORDER Form'!$S$1:$S$355,$AB301))&amp;"")</f>
        <v/>
      </c>
      <c r="Y301" s="50" t="str">
        <f>IF($AB301="","",IF($AD301,Y$3,INDEX('ORDER Form'!$T$1:$T$355,$AB301))&amp;"")</f>
        <v/>
      </c>
      <c r="Z301" s="50" t="str">
        <f>IF($AB301="","",IF($AD301,Z$3,INDEX('ORDER Form'!$U$1:$U$355,$AB301))&amp;"")</f>
        <v/>
      </c>
      <c r="AB301" s="51" t="str">
        <f>IFERROR(MATCH(297,$AC$5:$AC$354,0)+5,"")</f>
        <v/>
      </c>
      <c r="AC301" s="51" t="str">
        <f>IF('ORDER Form'!$V302="OK",COUNTIF('ORDER Form'!$V$6:$V302,"OK"),"")</f>
        <v/>
      </c>
      <c r="AD301" s="51" t="str">
        <f>IF($AB301="","",(LEN(TRIM(INDEX('ORDER Form'!$O$1:$O$355,$AB301)))+LEN(TRIM(INDEX('ORDER Form'!$P$1:$P$355,$AB301)))+LEN(TRIM(INDEX('ORDER Form'!$Q$1:$Q$355,$AB301)))+LEN(TRIM(INDEX('ORDER Form'!$R$1:$R$355,$AB301)))+LEN(TRIM(INDEX('ORDER Form'!$S$1:$S$355,$AB301)))+LEN(TRIM(INDEX('ORDER Form'!$T$1:$T$355,$AB301)))+LEN(TRIM(INDEX('ORDER Form'!$U$1:$U$355,$AB301))))=0)</f>
        <v/>
      </c>
    </row>
    <row r="302" spans="1:30" ht="15" customHeight="1" x14ac:dyDescent="0.25">
      <c r="A302" s="50" t="str">
        <f>IF($AB302="","",IFERROR(IF(AND(INDEX('ORDER Form'!$N$1:$N$355,$AB302)="GB",LEFT(UPPER(TRIM(INDEX('ORDER Form'!$L$1:$L$355,$AB302))),2)="BT"),INDEX('ORDER Form'!$AC$1:$AC$355,$AB302),IFERROR(VLOOKUP(INDEX('ORDER Form'!$AC$1:$AC$355,$AB302)&amp;"|"&amp;INDEX('PRODUCT DATA'!$A$2:$A$58,MATCH(INDEX('ORDER Form'!$N$1:$N$355,$AB302),'PRODUCT DATA'!$B$2:$B$58,0)),'PRODUCT DATA'!$NO$2:$NP$25,2,FALSE()),INDEX('ORDER Form'!$AC$1:$AC$355,$AB302)))&amp;"",""))</f>
        <v/>
      </c>
      <c r="B302" s="49"/>
      <c r="C302" s="51" t="str">
        <f>IF($AB302="","",INDEX('ORDER Form'!$C$1:$C$355,$AB302))</f>
        <v/>
      </c>
      <c r="D302" s="49"/>
      <c r="E302" s="49"/>
      <c r="F302" s="49"/>
      <c r="G302" s="49"/>
      <c r="H302" s="49"/>
      <c r="I302" s="49"/>
      <c r="J302" s="50" t="str">
        <f>IF($AB302="","",INDEX('ORDER Form'!$D$1:$D$355,$AB302)&amp;"")</f>
        <v/>
      </c>
      <c r="K302" s="50" t="str">
        <f>IF($AB302="","",INDEX('ORDER Form'!$E$1:$E$355,$AB302)&amp;"")</f>
        <v/>
      </c>
      <c r="L302" s="50" t="str">
        <f>IF($AB302="","",INDEX('ORDER Form'!$F$1:$F$355,$AB302)&amp;"")</f>
        <v/>
      </c>
      <c r="M302" s="50" t="str">
        <f>IF($AB302="","",INDEX('ORDER Form'!$G$1:$G$355,$AB302)&amp;"")</f>
        <v/>
      </c>
      <c r="N302" s="50" t="str">
        <f>IF($AB302="","",INDEX('ORDER Form'!$H$1:$H$355,$AB302)&amp;"")</f>
        <v/>
      </c>
      <c r="O302" s="50" t="str">
        <f>IF($AB302="","",INDEX('ORDER Form'!$I$1:$I$355,$AB302)&amp;"")</f>
        <v/>
      </c>
      <c r="P302" s="50" t="str">
        <f>IF($AB302="","",INDEX('ORDER Form'!$J$1:$J$355,$AB302)&amp;"")</f>
        <v/>
      </c>
      <c r="Q302" s="50" t="str">
        <f>IF($AB302="","",INDEX('ORDER Form'!$AB$1:$AB$355,$AB302)&amp;"")</f>
        <v/>
      </c>
      <c r="R302" s="50" t="str">
        <f>IF($AB302="","",INDEX('ORDER Form'!$L$1:$L$355,$AB302)&amp;"")</f>
        <v/>
      </c>
      <c r="S302" s="50" t="str">
        <f>IF($AB302="","",INDEX('ORDER Form'!$N$1:$N$355,$AB302)&amp;"")</f>
        <v/>
      </c>
      <c r="T302" s="50" t="str">
        <f>IF($AB302="","",IF($AD302,T$3,INDEX('ORDER Form'!$O$1:$O$355,$AB302))&amp;"")</f>
        <v/>
      </c>
      <c r="U302" s="50" t="str">
        <f>IF($AB302="","",IF($AD302,U$3,INDEX('ORDER Form'!$P$1:$P$355,$AB302))&amp;"")</f>
        <v/>
      </c>
      <c r="V302" s="50" t="str">
        <f>IF($AB302="","",IF($AD302,V$3,INDEX('ORDER Form'!$Q$1:$Q$355,$AB302))&amp;"")</f>
        <v/>
      </c>
      <c r="W302" s="50" t="str">
        <f>IF($AB302="","",IF($AD302,W$3,INDEX('ORDER Form'!$R$1:$R$355,$AB302))&amp;"")</f>
        <v/>
      </c>
      <c r="X302" s="50" t="str">
        <f>IF($AB302="","",IF($AD302,X$3,INDEX('ORDER Form'!$S$1:$S$355,$AB302))&amp;"")</f>
        <v/>
      </c>
      <c r="Y302" s="50" t="str">
        <f>IF($AB302="","",IF($AD302,Y$3,INDEX('ORDER Form'!$T$1:$T$355,$AB302))&amp;"")</f>
        <v/>
      </c>
      <c r="Z302" s="50" t="str">
        <f>IF($AB302="","",IF($AD302,Z$3,INDEX('ORDER Form'!$U$1:$U$355,$AB302))&amp;"")</f>
        <v/>
      </c>
      <c r="AB302" s="51" t="str">
        <f>IFERROR(MATCH(298,$AC$5:$AC$354,0)+5,"")</f>
        <v/>
      </c>
      <c r="AC302" s="51" t="str">
        <f>IF('ORDER Form'!$V303="OK",COUNTIF('ORDER Form'!$V$6:$V303,"OK"),"")</f>
        <v/>
      </c>
      <c r="AD302" s="51" t="str">
        <f>IF($AB302="","",(LEN(TRIM(INDEX('ORDER Form'!$O$1:$O$355,$AB302)))+LEN(TRIM(INDEX('ORDER Form'!$P$1:$P$355,$AB302)))+LEN(TRIM(INDEX('ORDER Form'!$Q$1:$Q$355,$AB302)))+LEN(TRIM(INDEX('ORDER Form'!$R$1:$R$355,$AB302)))+LEN(TRIM(INDEX('ORDER Form'!$S$1:$S$355,$AB302)))+LEN(TRIM(INDEX('ORDER Form'!$T$1:$T$355,$AB302)))+LEN(TRIM(INDEX('ORDER Form'!$U$1:$U$355,$AB302))))=0)</f>
        <v/>
      </c>
    </row>
    <row r="303" spans="1:30" ht="15" customHeight="1" x14ac:dyDescent="0.25">
      <c r="A303" s="50" t="str">
        <f>IF($AB303="","",IFERROR(IF(AND(INDEX('ORDER Form'!$N$1:$N$355,$AB303)="GB",LEFT(UPPER(TRIM(INDEX('ORDER Form'!$L$1:$L$355,$AB303))),2)="BT"),INDEX('ORDER Form'!$AC$1:$AC$355,$AB303),IFERROR(VLOOKUP(INDEX('ORDER Form'!$AC$1:$AC$355,$AB303)&amp;"|"&amp;INDEX('PRODUCT DATA'!$A$2:$A$58,MATCH(INDEX('ORDER Form'!$N$1:$N$355,$AB303),'PRODUCT DATA'!$B$2:$B$58,0)),'PRODUCT DATA'!$NO$2:$NP$25,2,FALSE()),INDEX('ORDER Form'!$AC$1:$AC$355,$AB303)))&amp;"",""))</f>
        <v/>
      </c>
      <c r="B303" s="49"/>
      <c r="C303" s="51" t="str">
        <f>IF($AB303="","",INDEX('ORDER Form'!$C$1:$C$355,$AB303))</f>
        <v/>
      </c>
      <c r="D303" s="49"/>
      <c r="E303" s="49"/>
      <c r="F303" s="49"/>
      <c r="G303" s="49"/>
      <c r="H303" s="49"/>
      <c r="I303" s="49"/>
      <c r="J303" s="50" t="str">
        <f>IF($AB303="","",INDEX('ORDER Form'!$D$1:$D$355,$AB303)&amp;"")</f>
        <v/>
      </c>
      <c r="K303" s="50" t="str">
        <f>IF($AB303="","",INDEX('ORDER Form'!$E$1:$E$355,$AB303)&amp;"")</f>
        <v/>
      </c>
      <c r="L303" s="50" t="str">
        <f>IF($AB303="","",INDEX('ORDER Form'!$F$1:$F$355,$AB303)&amp;"")</f>
        <v/>
      </c>
      <c r="M303" s="50" t="str">
        <f>IF($AB303="","",INDEX('ORDER Form'!$G$1:$G$355,$AB303)&amp;"")</f>
        <v/>
      </c>
      <c r="N303" s="50" t="str">
        <f>IF($AB303="","",INDEX('ORDER Form'!$H$1:$H$355,$AB303)&amp;"")</f>
        <v/>
      </c>
      <c r="O303" s="50" t="str">
        <f>IF($AB303="","",INDEX('ORDER Form'!$I$1:$I$355,$AB303)&amp;"")</f>
        <v/>
      </c>
      <c r="P303" s="50" t="str">
        <f>IF($AB303="","",INDEX('ORDER Form'!$J$1:$J$355,$AB303)&amp;"")</f>
        <v/>
      </c>
      <c r="Q303" s="50" t="str">
        <f>IF($AB303="","",INDEX('ORDER Form'!$AB$1:$AB$355,$AB303)&amp;"")</f>
        <v/>
      </c>
      <c r="R303" s="50" t="str">
        <f>IF($AB303="","",INDEX('ORDER Form'!$L$1:$L$355,$AB303)&amp;"")</f>
        <v/>
      </c>
      <c r="S303" s="50" t="str">
        <f>IF($AB303="","",INDEX('ORDER Form'!$N$1:$N$355,$AB303)&amp;"")</f>
        <v/>
      </c>
      <c r="T303" s="50" t="str">
        <f>IF($AB303="","",IF($AD303,T$3,INDEX('ORDER Form'!$O$1:$O$355,$AB303))&amp;"")</f>
        <v/>
      </c>
      <c r="U303" s="50" t="str">
        <f>IF($AB303="","",IF($AD303,U$3,INDEX('ORDER Form'!$P$1:$P$355,$AB303))&amp;"")</f>
        <v/>
      </c>
      <c r="V303" s="50" t="str">
        <f>IF($AB303="","",IF($AD303,V$3,INDEX('ORDER Form'!$Q$1:$Q$355,$AB303))&amp;"")</f>
        <v/>
      </c>
      <c r="W303" s="50" t="str">
        <f>IF($AB303="","",IF($AD303,W$3,INDEX('ORDER Form'!$R$1:$R$355,$AB303))&amp;"")</f>
        <v/>
      </c>
      <c r="X303" s="50" t="str">
        <f>IF($AB303="","",IF($AD303,X$3,INDEX('ORDER Form'!$S$1:$S$355,$AB303))&amp;"")</f>
        <v/>
      </c>
      <c r="Y303" s="50" t="str">
        <f>IF($AB303="","",IF($AD303,Y$3,INDEX('ORDER Form'!$T$1:$T$355,$AB303))&amp;"")</f>
        <v/>
      </c>
      <c r="Z303" s="50" t="str">
        <f>IF($AB303="","",IF($AD303,Z$3,INDEX('ORDER Form'!$U$1:$U$355,$AB303))&amp;"")</f>
        <v/>
      </c>
      <c r="AB303" s="51" t="str">
        <f>IFERROR(MATCH(299,$AC$5:$AC$354,0)+5,"")</f>
        <v/>
      </c>
      <c r="AC303" s="51" t="str">
        <f>IF('ORDER Form'!$V304="OK",COUNTIF('ORDER Form'!$V$6:$V304,"OK"),"")</f>
        <v/>
      </c>
      <c r="AD303" s="51" t="str">
        <f>IF($AB303="","",(LEN(TRIM(INDEX('ORDER Form'!$O$1:$O$355,$AB303)))+LEN(TRIM(INDEX('ORDER Form'!$P$1:$P$355,$AB303)))+LEN(TRIM(INDEX('ORDER Form'!$Q$1:$Q$355,$AB303)))+LEN(TRIM(INDEX('ORDER Form'!$R$1:$R$355,$AB303)))+LEN(TRIM(INDEX('ORDER Form'!$S$1:$S$355,$AB303)))+LEN(TRIM(INDEX('ORDER Form'!$T$1:$T$355,$AB303)))+LEN(TRIM(INDEX('ORDER Form'!$U$1:$U$355,$AB303))))=0)</f>
        <v/>
      </c>
    </row>
    <row r="304" spans="1:30" ht="15" customHeight="1" x14ac:dyDescent="0.25">
      <c r="A304" s="50" t="str">
        <f>IF($AB304="","",IFERROR(IF(AND(INDEX('ORDER Form'!$N$1:$N$355,$AB304)="GB",LEFT(UPPER(TRIM(INDEX('ORDER Form'!$L$1:$L$355,$AB304))),2)="BT"),INDEX('ORDER Form'!$AC$1:$AC$355,$AB304),IFERROR(VLOOKUP(INDEX('ORDER Form'!$AC$1:$AC$355,$AB304)&amp;"|"&amp;INDEX('PRODUCT DATA'!$A$2:$A$58,MATCH(INDEX('ORDER Form'!$N$1:$N$355,$AB304),'PRODUCT DATA'!$B$2:$B$58,0)),'PRODUCT DATA'!$NO$2:$NP$25,2,FALSE()),INDEX('ORDER Form'!$AC$1:$AC$355,$AB304)))&amp;"",""))</f>
        <v/>
      </c>
      <c r="B304" s="49"/>
      <c r="C304" s="51" t="str">
        <f>IF($AB304="","",INDEX('ORDER Form'!$C$1:$C$355,$AB304))</f>
        <v/>
      </c>
      <c r="D304" s="49"/>
      <c r="E304" s="49"/>
      <c r="F304" s="49"/>
      <c r="G304" s="49"/>
      <c r="H304" s="49"/>
      <c r="I304" s="49"/>
      <c r="J304" s="50" t="str">
        <f>IF($AB304="","",INDEX('ORDER Form'!$D$1:$D$355,$AB304)&amp;"")</f>
        <v/>
      </c>
      <c r="K304" s="50" t="str">
        <f>IF($AB304="","",INDEX('ORDER Form'!$E$1:$E$355,$AB304)&amp;"")</f>
        <v/>
      </c>
      <c r="L304" s="50" t="str">
        <f>IF($AB304="","",INDEX('ORDER Form'!$F$1:$F$355,$AB304)&amp;"")</f>
        <v/>
      </c>
      <c r="M304" s="50" t="str">
        <f>IF($AB304="","",INDEX('ORDER Form'!$G$1:$G$355,$AB304)&amp;"")</f>
        <v/>
      </c>
      <c r="N304" s="50" t="str">
        <f>IF($AB304="","",INDEX('ORDER Form'!$H$1:$H$355,$AB304)&amp;"")</f>
        <v/>
      </c>
      <c r="O304" s="50" t="str">
        <f>IF($AB304="","",INDEX('ORDER Form'!$I$1:$I$355,$AB304)&amp;"")</f>
        <v/>
      </c>
      <c r="P304" s="50" t="str">
        <f>IF($AB304="","",INDEX('ORDER Form'!$J$1:$J$355,$AB304)&amp;"")</f>
        <v/>
      </c>
      <c r="Q304" s="50" t="str">
        <f>IF($AB304="","",INDEX('ORDER Form'!$AB$1:$AB$355,$AB304)&amp;"")</f>
        <v/>
      </c>
      <c r="R304" s="50" t="str">
        <f>IF($AB304="","",INDEX('ORDER Form'!$L$1:$L$355,$AB304)&amp;"")</f>
        <v/>
      </c>
      <c r="S304" s="50" t="str">
        <f>IF($AB304="","",INDEX('ORDER Form'!$N$1:$N$355,$AB304)&amp;"")</f>
        <v/>
      </c>
      <c r="T304" s="50" t="str">
        <f>IF($AB304="","",IF($AD304,T$3,INDEX('ORDER Form'!$O$1:$O$355,$AB304))&amp;"")</f>
        <v/>
      </c>
      <c r="U304" s="50" t="str">
        <f>IF($AB304="","",IF($AD304,U$3,INDEX('ORDER Form'!$P$1:$P$355,$AB304))&amp;"")</f>
        <v/>
      </c>
      <c r="V304" s="50" t="str">
        <f>IF($AB304="","",IF($AD304,V$3,INDEX('ORDER Form'!$Q$1:$Q$355,$AB304))&amp;"")</f>
        <v/>
      </c>
      <c r="W304" s="50" t="str">
        <f>IF($AB304="","",IF($AD304,W$3,INDEX('ORDER Form'!$R$1:$R$355,$AB304))&amp;"")</f>
        <v/>
      </c>
      <c r="X304" s="50" t="str">
        <f>IF($AB304="","",IF($AD304,X$3,INDEX('ORDER Form'!$S$1:$S$355,$AB304))&amp;"")</f>
        <v/>
      </c>
      <c r="Y304" s="50" t="str">
        <f>IF($AB304="","",IF($AD304,Y$3,INDEX('ORDER Form'!$T$1:$T$355,$AB304))&amp;"")</f>
        <v/>
      </c>
      <c r="Z304" s="50" t="str">
        <f>IF($AB304="","",IF($AD304,Z$3,INDEX('ORDER Form'!$U$1:$U$355,$AB304))&amp;"")</f>
        <v/>
      </c>
      <c r="AB304" s="51" t="str">
        <f>IFERROR(MATCH(300,$AC$5:$AC$354,0)+5,"")</f>
        <v/>
      </c>
      <c r="AC304" s="51" t="str">
        <f>IF('ORDER Form'!$V305="OK",COUNTIF('ORDER Form'!$V$6:$V305,"OK"),"")</f>
        <v/>
      </c>
      <c r="AD304" s="51" t="str">
        <f>IF($AB304="","",(LEN(TRIM(INDEX('ORDER Form'!$O$1:$O$355,$AB304)))+LEN(TRIM(INDEX('ORDER Form'!$P$1:$P$355,$AB304)))+LEN(TRIM(INDEX('ORDER Form'!$Q$1:$Q$355,$AB304)))+LEN(TRIM(INDEX('ORDER Form'!$R$1:$R$355,$AB304)))+LEN(TRIM(INDEX('ORDER Form'!$S$1:$S$355,$AB304)))+LEN(TRIM(INDEX('ORDER Form'!$T$1:$T$355,$AB304)))+LEN(TRIM(INDEX('ORDER Form'!$U$1:$U$355,$AB304))))=0)</f>
        <v/>
      </c>
    </row>
    <row r="305" spans="1:30" ht="15" customHeight="1" x14ac:dyDescent="0.25">
      <c r="A305" s="50" t="str">
        <f>IF($AB305="","",IFERROR(IF(AND(INDEX('ORDER Form'!$N$1:$N$355,$AB305)="GB",LEFT(UPPER(TRIM(INDEX('ORDER Form'!$L$1:$L$355,$AB305))),2)="BT"),INDEX('ORDER Form'!$AC$1:$AC$355,$AB305),IFERROR(VLOOKUP(INDEX('ORDER Form'!$AC$1:$AC$355,$AB305)&amp;"|"&amp;INDEX('PRODUCT DATA'!$A$2:$A$58,MATCH(INDEX('ORDER Form'!$N$1:$N$355,$AB305),'PRODUCT DATA'!$B$2:$B$58,0)),'PRODUCT DATA'!$NO$2:$NP$25,2,FALSE()),INDEX('ORDER Form'!$AC$1:$AC$355,$AB305)))&amp;"",""))</f>
        <v/>
      </c>
      <c r="B305" s="49"/>
      <c r="C305" s="51" t="str">
        <f>IF($AB305="","",INDEX('ORDER Form'!$C$1:$C$355,$AB305))</f>
        <v/>
      </c>
      <c r="D305" s="49"/>
      <c r="E305" s="49"/>
      <c r="F305" s="49"/>
      <c r="G305" s="49"/>
      <c r="H305" s="49"/>
      <c r="I305" s="49"/>
      <c r="J305" s="50" t="str">
        <f>IF($AB305="","",INDEX('ORDER Form'!$D$1:$D$355,$AB305)&amp;"")</f>
        <v/>
      </c>
      <c r="K305" s="50" t="str">
        <f>IF($AB305="","",INDEX('ORDER Form'!$E$1:$E$355,$AB305)&amp;"")</f>
        <v/>
      </c>
      <c r="L305" s="50" t="str">
        <f>IF($AB305="","",INDEX('ORDER Form'!$F$1:$F$355,$AB305)&amp;"")</f>
        <v/>
      </c>
      <c r="M305" s="50" t="str">
        <f>IF($AB305="","",INDEX('ORDER Form'!$G$1:$G$355,$AB305)&amp;"")</f>
        <v/>
      </c>
      <c r="N305" s="50" t="str">
        <f>IF($AB305="","",INDEX('ORDER Form'!$H$1:$H$355,$AB305)&amp;"")</f>
        <v/>
      </c>
      <c r="O305" s="50" t="str">
        <f>IF($AB305="","",INDEX('ORDER Form'!$I$1:$I$355,$AB305)&amp;"")</f>
        <v/>
      </c>
      <c r="P305" s="50" t="str">
        <f>IF($AB305="","",INDEX('ORDER Form'!$J$1:$J$355,$AB305)&amp;"")</f>
        <v/>
      </c>
      <c r="Q305" s="50" t="str">
        <f>IF($AB305="","",INDEX('ORDER Form'!$AB$1:$AB$355,$AB305)&amp;"")</f>
        <v/>
      </c>
      <c r="R305" s="50" t="str">
        <f>IF($AB305="","",INDEX('ORDER Form'!$L$1:$L$355,$AB305)&amp;"")</f>
        <v/>
      </c>
      <c r="S305" s="50" t="str">
        <f>IF($AB305="","",INDEX('ORDER Form'!$N$1:$N$355,$AB305)&amp;"")</f>
        <v/>
      </c>
      <c r="T305" s="50" t="str">
        <f>IF($AB305="","",IF($AD305,T$3,INDEX('ORDER Form'!$O$1:$O$355,$AB305))&amp;"")</f>
        <v/>
      </c>
      <c r="U305" s="50" t="str">
        <f>IF($AB305="","",IF($AD305,U$3,INDEX('ORDER Form'!$P$1:$P$355,$AB305))&amp;"")</f>
        <v/>
      </c>
      <c r="V305" s="50" t="str">
        <f>IF($AB305="","",IF($AD305,V$3,INDEX('ORDER Form'!$Q$1:$Q$355,$AB305))&amp;"")</f>
        <v/>
      </c>
      <c r="W305" s="50" t="str">
        <f>IF($AB305="","",IF($AD305,W$3,INDEX('ORDER Form'!$R$1:$R$355,$AB305))&amp;"")</f>
        <v/>
      </c>
      <c r="X305" s="50" t="str">
        <f>IF($AB305="","",IF($AD305,X$3,INDEX('ORDER Form'!$S$1:$S$355,$AB305))&amp;"")</f>
        <v/>
      </c>
      <c r="Y305" s="50" t="str">
        <f>IF($AB305="","",IF($AD305,Y$3,INDEX('ORDER Form'!$T$1:$T$355,$AB305))&amp;"")</f>
        <v/>
      </c>
      <c r="Z305" s="50" t="str">
        <f>IF($AB305="","",IF($AD305,Z$3,INDEX('ORDER Form'!$U$1:$U$355,$AB305))&amp;"")</f>
        <v/>
      </c>
      <c r="AB305" s="51" t="str">
        <f>IFERROR(MATCH(301,$AC$5:$AC$354,0)+5,"")</f>
        <v/>
      </c>
      <c r="AC305" s="51" t="str">
        <f>IF('ORDER Form'!$V306="OK",COUNTIF('ORDER Form'!$V$6:$V306,"OK"),"")</f>
        <v/>
      </c>
      <c r="AD305" s="51" t="str">
        <f>IF($AB305="","",(LEN(TRIM(INDEX('ORDER Form'!$O$1:$O$355,$AB305)))+LEN(TRIM(INDEX('ORDER Form'!$P$1:$P$355,$AB305)))+LEN(TRIM(INDEX('ORDER Form'!$Q$1:$Q$355,$AB305)))+LEN(TRIM(INDEX('ORDER Form'!$R$1:$R$355,$AB305)))+LEN(TRIM(INDEX('ORDER Form'!$S$1:$S$355,$AB305)))+LEN(TRIM(INDEX('ORDER Form'!$T$1:$T$355,$AB305)))+LEN(TRIM(INDEX('ORDER Form'!$U$1:$U$355,$AB305))))=0)</f>
        <v/>
      </c>
    </row>
    <row r="306" spans="1:30" ht="15" customHeight="1" x14ac:dyDescent="0.25">
      <c r="A306" s="50" t="str">
        <f>IF($AB306="","",IFERROR(IF(AND(INDEX('ORDER Form'!$N$1:$N$355,$AB306)="GB",LEFT(UPPER(TRIM(INDEX('ORDER Form'!$L$1:$L$355,$AB306))),2)="BT"),INDEX('ORDER Form'!$AC$1:$AC$355,$AB306),IFERROR(VLOOKUP(INDEX('ORDER Form'!$AC$1:$AC$355,$AB306)&amp;"|"&amp;INDEX('PRODUCT DATA'!$A$2:$A$58,MATCH(INDEX('ORDER Form'!$N$1:$N$355,$AB306),'PRODUCT DATA'!$B$2:$B$58,0)),'PRODUCT DATA'!$NO$2:$NP$25,2,FALSE()),INDEX('ORDER Form'!$AC$1:$AC$355,$AB306)))&amp;"",""))</f>
        <v/>
      </c>
      <c r="B306" s="49"/>
      <c r="C306" s="51" t="str">
        <f>IF($AB306="","",INDEX('ORDER Form'!$C$1:$C$355,$AB306))</f>
        <v/>
      </c>
      <c r="D306" s="49"/>
      <c r="E306" s="49"/>
      <c r="F306" s="49"/>
      <c r="G306" s="49"/>
      <c r="H306" s="49"/>
      <c r="I306" s="49"/>
      <c r="J306" s="50" t="str">
        <f>IF($AB306="","",INDEX('ORDER Form'!$D$1:$D$355,$AB306)&amp;"")</f>
        <v/>
      </c>
      <c r="K306" s="50" t="str">
        <f>IF($AB306="","",INDEX('ORDER Form'!$E$1:$E$355,$AB306)&amp;"")</f>
        <v/>
      </c>
      <c r="L306" s="50" t="str">
        <f>IF($AB306="","",INDEX('ORDER Form'!$F$1:$F$355,$AB306)&amp;"")</f>
        <v/>
      </c>
      <c r="M306" s="50" t="str">
        <f>IF($AB306="","",INDEX('ORDER Form'!$G$1:$G$355,$AB306)&amp;"")</f>
        <v/>
      </c>
      <c r="N306" s="50" t="str">
        <f>IF($AB306="","",INDEX('ORDER Form'!$H$1:$H$355,$AB306)&amp;"")</f>
        <v/>
      </c>
      <c r="O306" s="50" t="str">
        <f>IF($AB306="","",INDEX('ORDER Form'!$I$1:$I$355,$AB306)&amp;"")</f>
        <v/>
      </c>
      <c r="P306" s="50" t="str">
        <f>IF($AB306="","",INDEX('ORDER Form'!$J$1:$J$355,$AB306)&amp;"")</f>
        <v/>
      </c>
      <c r="Q306" s="50" t="str">
        <f>IF($AB306="","",INDEX('ORDER Form'!$AB$1:$AB$355,$AB306)&amp;"")</f>
        <v/>
      </c>
      <c r="R306" s="50" t="str">
        <f>IF($AB306="","",INDEX('ORDER Form'!$L$1:$L$355,$AB306)&amp;"")</f>
        <v/>
      </c>
      <c r="S306" s="50" t="str">
        <f>IF($AB306="","",INDEX('ORDER Form'!$N$1:$N$355,$AB306)&amp;"")</f>
        <v/>
      </c>
      <c r="T306" s="50" t="str">
        <f>IF($AB306="","",IF($AD306,T$3,INDEX('ORDER Form'!$O$1:$O$355,$AB306))&amp;"")</f>
        <v/>
      </c>
      <c r="U306" s="50" t="str">
        <f>IF($AB306="","",IF($AD306,U$3,INDEX('ORDER Form'!$P$1:$P$355,$AB306))&amp;"")</f>
        <v/>
      </c>
      <c r="V306" s="50" t="str">
        <f>IF($AB306="","",IF($AD306,V$3,INDEX('ORDER Form'!$Q$1:$Q$355,$AB306))&amp;"")</f>
        <v/>
      </c>
      <c r="W306" s="50" t="str">
        <f>IF($AB306="","",IF($AD306,W$3,INDEX('ORDER Form'!$R$1:$R$355,$AB306))&amp;"")</f>
        <v/>
      </c>
      <c r="X306" s="50" t="str">
        <f>IF($AB306="","",IF($AD306,X$3,INDEX('ORDER Form'!$S$1:$S$355,$AB306))&amp;"")</f>
        <v/>
      </c>
      <c r="Y306" s="50" t="str">
        <f>IF($AB306="","",IF($AD306,Y$3,INDEX('ORDER Form'!$T$1:$T$355,$AB306))&amp;"")</f>
        <v/>
      </c>
      <c r="Z306" s="50" t="str">
        <f>IF($AB306="","",IF($AD306,Z$3,INDEX('ORDER Form'!$U$1:$U$355,$AB306))&amp;"")</f>
        <v/>
      </c>
      <c r="AB306" s="51" t="str">
        <f>IFERROR(MATCH(302,$AC$5:$AC$354,0)+5,"")</f>
        <v/>
      </c>
      <c r="AC306" s="51" t="str">
        <f>IF('ORDER Form'!$V307="OK",COUNTIF('ORDER Form'!$V$6:$V307,"OK"),"")</f>
        <v/>
      </c>
      <c r="AD306" s="51" t="str">
        <f>IF($AB306="","",(LEN(TRIM(INDEX('ORDER Form'!$O$1:$O$355,$AB306)))+LEN(TRIM(INDEX('ORDER Form'!$P$1:$P$355,$AB306)))+LEN(TRIM(INDEX('ORDER Form'!$Q$1:$Q$355,$AB306)))+LEN(TRIM(INDEX('ORDER Form'!$R$1:$R$355,$AB306)))+LEN(TRIM(INDEX('ORDER Form'!$S$1:$S$355,$AB306)))+LEN(TRIM(INDEX('ORDER Form'!$T$1:$T$355,$AB306)))+LEN(TRIM(INDEX('ORDER Form'!$U$1:$U$355,$AB306))))=0)</f>
        <v/>
      </c>
    </row>
    <row r="307" spans="1:30" ht="15" customHeight="1" x14ac:dyDescent="0.25">
      <c r="A307" s="50" t="str">
        <f>IF($AB307="","",IFERROR(IF(AND(INDEX('ORDER Form'!$N$1:$N$355,$AB307)="GB",LEFT(UPPER(TRIM(INDEX('ORDER Form'!$L$1:$L$355,$AB307))),2)="BT"),INDEX('ORDER Form'!$AC$1:$AC$355,$AB307),IFERROR(VLOOKUP(INDEX('ORDER Form'!$AC$1:$AC$355,$AB307)&amp;"|"&amp;INDEX('PRODUCT DATA'!$A$2:$A$58,MATCH(INDEX('ORDER Form'!$N$1:$N$355,$AB307),'PRODUCT DATA'!$B$2:$B$58,0)),'PRODUCT DATA'!$NO$2:$NP$25,2,FALSE()),INDEX('ORDER Form'!$AC$1:$AC$355,$AB307)))&amp;"",""))</f>
        <v/>
      </c>
      <c r="B307" s="49"/>
      <c r="C307" s="51" t="str">
        <f>IF($AB307="","",INDEX('ORDER Form'!$C$1:$C$355,$AB307))</f>
        <v/>
      </c>
      <c r="D307" s="49"/>
      <c r="E307" s="49"/>
      <c r="F307" s="49"/>
      <c r="G307" s="49"/>
      <c r="H307" s="49"/>
      <c r="I307" s="49"/>
      <c r="J307" s="50" t="str">
        <f>IF($AB307="","",INDEX('ORDER Form'!$D$1:$D$355,$AB307)&amp;"")</f>
        <v/>
      </c>
      <c r="K307" s="50" t="str">
        <f>IF($AB307="","",INDEX('ORDER Form'!$E$1:$E$355,$AB307)&amp;"")</f>
        <v/>
      </c>
      <c r="L307" s="50" t="str">
        <f>IF($AB307="","",INDEX('ORDER Form'!$F$1:$F$355,$AB307)&amp;"")</f>
        <v/>
      </c>
      <c r="M307" s="50" t="str">
        <f>IF($AB307="","",INDEX('ORDER Form'!$G$1:$G$355,$AB307)&amp;"")</f>
        <v/>
      </c>
      <c r="N307" s="50" t="str">
        <f>IF($AB307="","",INDEX('ORDER Form'!$H$1:$H$355,$AB307)&amp;"")</f>
        <v/>
      </c>
      <c r="O307" s="50" t="str">
        <f>IF($AB307="","",INDEX('ORDER Form'!$I$1:$I$355,$AB307)&amp;"")</f>
        <v/>
      </c>
      <c r="P307" s="50" t="str">
        <f>IF($AB307="","",INDEX('ORDER Form'!$J$1:$J$355,$AB307)&amp;"")</f>
        <v/>
      </c>
      <c r="Q307" s="50" t="str">
        <f>IF($AB307="","",INDEX('ORDER Form'!$AB$1:$AB$355,$AB307)&amp;"")</f>
        <v/>
      </c>
      <c r="R307" s="50" t="str">
        <f>IF($AB307="","",INDEX('ORDER Form'!$L$1:$L$355,$AB307)&amp;"")</f>
        <v/>
      </c>
      <c r="S307" s="50" t="str">
        <f>IF($AB307="","",INDEX('ORDER Form'!$N$1:$N$355,$AB307)&amp;"")</f>
        <v/>
      </c>
      <c r="T307" s="50" t="str">
        <f>IF($AB307="","",IF($AD307,T$3,INDEX('ORDER Form'!$O$1:$O$355,$AB307))&amp;"")</f>
        <v/>
      </c>
      <c r="U307" s="50" t="str">
        <f>IF($AB307="","",IF($AD307,U$3,INDEX('ORDER Form'!$P$1:$P$355,$AB307))&amp;"")</f>
        <v/>
      </c>
      <c r="V307" s="50" t="str">
        <f>IF($AB307="","",IF($AD307,V$3,INDEX('ORDER Form'!$Q$1:$Q$355,$AB307))&amp;"")</f>
        <v/>
      </c>
      <c r="W307" s="50" t="str">
        <f>IF($AB307="","",IF($AD307,W$3,INDEX('ORDER Form'!$R$1:$R$355,$AB307))&amp;"")</f>
        <v/>
      </c>
      <c r="X307" s="50" t="str">
        <f>IF($AB307="","",IF($AD307,X$3,INDEX('ORDER Form'!$S$1:$S$355,$AB307))&amp;"")</f>
        <v/>
      </c>
      <c r="Y307" s="50" t="str">
        <f>IF($AB307="","",IF($AD307,Y$3,INDEX('ORDER Form'!$T$1:$T$355,$AB307))&amp;"")</f>
        <v/>
      </c>
      <c r="Z307" s="50" t="str">
        <f>IF($AB307="","",IF($AD307,Z$3,INDEX('ORDER Form'!$U$1:$U$355,$AB307))&amp;"")</f>
        <v/>
      </c>
      <c r="AB307" s="51" t="str">
        <f>IFERROR(MATCH(303,$AC$5:$AC$354,0)+5,"")</f>
        <v/>
      </c>
      <c r="AC307" s="51" t="str">
        <f>IF('ORDER Form'!$V308="OK",COUNTIF('ORDER Form'!$V$6:$V308,"OK"),"")</f>
        <v/>
      </c>
      <c r="AD307" s="51" t="str">
        <f>IF($AB307="","",(LEN(TRIM(INDEX('ORDER Form'!$O$1:$O$355,$AB307)))+LEN(TRIM(INDEX('ORDER Form'!$P$1:$P$355,$AB307)))+LEN(TRIM(INDEX('ORDER Form'!$Q$1:$Q$355,$AB307)))+LEN(TRIM(INDEX('ORDER Form'!$R$1:$R$355,$AB307)))+LEN(TRIM(INDEX('ORDER Form'!$S$1:$S$355,$AB307)))+LEN(TRIM(INDEX('ORDER Form'!$T$1:$T$355,$AB307)))+LEN(TRIM(INDEX('ORDER Form'!$U$1:$U$355,$AB307))))=0)</f>
        <v/>
      </c>
    </row>
    <row r="308" spans="1:30" ht="15" customHeight="1" x14ac:dyDescent="0.25">
      <c r="A308" s="50" t="str">
        <f>IF($AB308="","",IFERROR(IF(AND(INDEX('ORDER Form'!$N$1:$N$355,$AB308)="GB",LEFT(UPPER(TRIM(INDEX('ORDER Form'!$L$1:$L$355,$AB308))),2)="BT"),INDEX('ORDER Form'!$AC$1:$AC$355,$AB308),IFERROR(VLOOKUP(INDEX('ORDER Form'!$AC$1:$AC$355,$AB308)&amp;"|"&amp;INDEX('PRODUCT DATA'!$A$2:$A$58,MATCH(INDEX('ORDER Form'!$N$1:$N$355,$AB308),'PRODUCT DATA'!$B$2:$B$58,0)),'PRODUCT DATA'!$NO$2:$NP$25,2,FALSE()),INDEX('ORDER Form'!$AC$1:$AC$355,$AB308)))&amp;"",""))</f>
        <v/>
      </c>
      <c r="B308" s="49"/>
      <c r="C308" s="51" t="str">
        <f>IF($AB308="","",INDEX('ORDER Form'!$C$1:$C$355,$AB308))</f>
        <v/>
      </c>
      <c r="D308" s="49"/>
      <c r="E308" s="49"/>
      <c r="F308" s="49"/>
      <c r="G308" s="49"/>
      <c r="H308" s="49"/>
      <c r="I308" s="49"/>
      <c r="J308" s="50" t="str">
        <f>IF($AB308="","",INDEX('ORDER Form'!$D$1:$D$355,$AB308)&amp;"")</f>
        <v/>
      </c>
      <c r="K308" s="50" t="str">
        <f>IF($AB308="","",INDEX('ORDER Form'!$E$1:$E$355,$AB308)&amp;"")</f>
        <v/>
      </c>
      <c r="L308" s="50" t="str">
        <f>IF($AB308="","",INDEX('ORDER Form'!$F$1:$F$355,$AB308)&amp;"")</f>
        <v/>
      </c>
      <c r="M308" s="50" t="str">
        <f>IF($AB308="","",INDEX('ORDER Form'!$G$1:$G$355,$AB308)&amp;"")</f>
        <v/>
      </c>
      <c r="N308" s="50" t="str">
        <f>IF($AB308="","",INDEX('ORDER Form'!$H$1:$H$355,$AB308)&amp;"")</f>
        <v/>
      </c>
      <c r="O308" s="50" t="str">
        <f>IF($AB308="","",INDEX('ORDER Form'!$I$1:$I$355,$AB308)&amp;"")</f>
        <v/>
      </c>
      <c r="P308" s="50" t="str">
        <f>IF($AB308="","",INDEX('ORDER Form'!$J$1:$J$355,$AB308)&amp;"")</f>
        <v/>
      </c>
      <c r="Q308" s="50" t="str">
        <f>IF($AB308="","",INDEX('ORDER Form'!$AB$1:$AB$355,$AB308)&amp;"")</f>
        <v/>
      </c>
      <c r="R308" s="50" t="str">
        <f>IF($AB308="","",INDEX('ORDER Form'!$L$1:$L$355,$AB308)&amp;"")</f>
        <v/>
      </c>
      <c r="S308" s="50" t="str">
        <f>IF($AB308="","",INDEX('ORDER Form'!$N$1:$N$355,$AB308)&amp;"")</f>
        <v/>
      </c>
      <c r="T308" s="50" t="str">
        <f>IF($AB308="","",IF($AD308,T$3,INDEX('ORDER Form'!$O$1:$O$355,$AB308))&amp;"")</f>
        <v/>
      </c>
      <c r="U308" s="50" t="str">
        <f>IF($AB308="","",IF($AD308,U$3,INDEX('ORDER Form'!$P$1:$P$355,$AB308))&amp;"")</f>
        <v/>
      </c>
      <c r="V308" s="50" t="str">
        <f>IF($AB308="","",IF($AD308,V$3,INDEX('ORDER Form'!$Q$1:$Q$355,$AB308))&amp;"")</f>
        <v/>
      </c>
      <c r="W308" s="50" t="str">
        <f>IF($AB308="","",IF($AD308,W$3,INDEX('ORDER Form'!$R$1:$R$355,$AB308))&amp;"")</f>
        <v/>
      </c>
      <c r="X308" s="50" t="str">
        <f>IF($AB308="","",IF($AD308,X$3,INDEX('ORDER Form'!$S$1:$S$355,$AB308))&amp;"")</f>
        <v/>
      </c>
      <c r="Y308" s="50" t="str">
        <f>IF($AB308="","",IF($AD308,Y$3,INDEX('ORDER Form'!$T$1:$T$355,$AB308))&amp;"")</f>
        <v/>
      </c>
      <c r="Z308" s="50" t="str">
        <f>IF($AB308="","",IF($AD308,Z$3,INDEX('ORDER Form'!$U$1:$U$355,$AB308))&amp;"")</f>
        <v/>
      </c>
      <c r="AB308" s="51" t="str">
        <f>IFERROR(MATCH(304,$AC$5:$AC$354,0)+5,"")</f>
        <v/>
      </c>
      <c r="AC308" s="51" t="str">
        <f>IF('ORDER Form'!$V309="OK",COUNTIF('ORDER Form'!$V$6:$V309,"OK"),"")</f>
        <v/>
      </c>
      <c r="AD308" s="51" t="str">
        <f>IF($AB308="","",(LEN(TRIM(INDEX('ORDER Form'!$O$1:$O$355,$AB308)))+LEN(TRIM(INDEX('ORDER Form'!$P$1:$P$355,$AB308)))+LEN(TRIM(INDEX('ORDER Form'!$Q$1:$Q$355,$AB308)))+LEN(TRIM(INDEX('ORDER Form'!$R$1:$R$355,$AB308)))+LEN(TRIM(INDEX('ORDER Form'!$S$1:$S$355,$AB308)))+LEN(TRIM(INDEX('ORDER Form'!$T$1:$T$355,$AB308)))+LEN(TRIM(INDEX('ORDER Form'!$U$1:$U$355,$AB308))))=0)</f>
        <v/>
      </c>
    </row>
    <row r="309" spans="1:30" ht="15" customHeight="1" x14ac:dyDescent="0.25">
      <c r="A309" s="50" t="str">
        <f>IF($AB309="","",IFERROR(IF(AND(INDEX('ORDER Form'!$N$1:$N$355,$AB309)="GB",LEFT(UPPER(TRIM(INDEX('ORDER Form'!$L$1:$L$355,$AB309))),2)="BT"),INDEX('ORDER Form'!$AC$1:$AC$355,$AB309),IFERROR(VLOOKUP(INDEX('ORDER Form'!$AC$1:$AC$355,$AB309)&amp;"|"&amp;INDEX('PRODUCT DATA'!$A$2:$A$58,MATCH(INDEX('ORDER Form'!$N$1:$N$355,$AB309),'PRODUCT DATA'!$B$2:$B$58,0)),'PRODUCT DATA'!$NO$2:$NP$25,2,FALSE()),INDEX('ORDER Form'!$AC$1:$AC$355,$AB309)))&amp;"",""))</f>
        <v/>
      </c>
      <c r="B309" s="49"/>
      <c r="C309" s="51" t="str">
        <f>IF($AB309="","",INDEX('ORDER Form'!$C$1:$C$355,$AB309))</f>
        <v/>
      </c>
      <c r="D309" s="49"/>
      <c r="E309" s="49"/>
      <c r="F309" s="49"/>
      <c r="G309" s="49"/>
      <c r="H309" s="49"/>
      <c r="I309" s="49"/>
      <c r="J309" s="50" t="str">
        <f>IF($AB309="","",INDEX('ORDER Form'!$D$1:$D$355,$AB309)&amp;"")</f>
        <v/>
      </c>
      <c r="K309" s="50" t="str">
        <f>IF($AB309="","",INDEX('ORDER Form'!$E$1:$E$355,$AB309)&amp;"")</f>
        <v/>
      </c>
      <c r="L309" s="50" t="str">
        <f>IF($AB309="","",INDEX('ORDER Form'!$F$1:$F$355,$AB309)&amp;"")</f>
        <v/>
      </c>
      <c r="M309" s="50" t="str">
        <f>IF($AB309="","",INDEX('ORDER Form'!$G$1:$G$355,$AB309)&amp;"")</f>
        <v/>
      </c>
      <c r="N309" s="50" t="str">
        <f>IF($AB309="","",INDEX('ORDER Form'!$H$1:$H$355,$AB309)&amp;"")</f>
        <v/>
      </c>
      <c r="O309" s="50" t="str">
        <f>IF($AB309="","",INDEX('ORDER Form'!$I$1:$I$355,$AB309)&amp;"")</f>
        <v/>
      </c>
      <c r="P309" s="50" t="str">
        <f>IF($AB309="","",INDEX('ORDER Form'!$J$1:$J$355,$AB309)&amp;"")</f>
        <v/>
      </c>
      <c r="Q309" s="50" t="str">
        <f>IF($AB309="","",INDEX('ORDER Form'!$AB$1:$AB$355,$AB309)&amp;"")</f>
        <v/>
      </c>
      <c r="R309" s="50" t="str">
        <f>IF($AB309="","",INDEX('ORDER Form'!$L$1:$L$355,$AB309)&amp;"")</f>
        <v/>
      </c>
      <c r="S309" s="50" t="str">
        <f>IF($AB309="","",INDEX('ORDER Form'!$N$1:$N$355,$AB309)&amp;"")</f>
        <v/>
      </c>
      <c r="T309" s="50" t="str">
        <f>IF($AB309="","",IF($AD309,T$3,INDEX('ORDER Form'!$O$1:$O$355,$AB309))&amp;"")</f>
        <v/>
      </c>
      <c r="U309" s="50" t="str">
        <f>IF($AB309="","",IF($AD309,U$3,INDEX('ORDER Form'!$P$1:$P$355,$AB309))&amp;"")</f>
        <v/>
      </c>
      <c r="V309" s="50" t="str">
        <f>IF($AB309="","",IF($AD309,V$3,INDEX('ORDER Form'!$Q$1:$Q$355,$AB309))&amp;"")</f>
        <v/>
      </c>
      <c r="W309" s="50" t="str">
        <f>IF($AB309="","",IF($AD309,W$3,INDEX('ORDER Form'!$R$1:$R$355,$AB309))&amp;"")</f>
        <v/>
      </c>
      <c r="X309" s="50" t="str">
        <f>IF($AB309="","",IF($AD309,X$3,INDEX('ORDER Form'!$S$1:$S$355,$AB309))&amp;"")</f>
        <v/>
      </c>
      <c r="Y309" s="50" t="str">
        <f>IF($AB309="","",IF($AD309,Y$3,INDEX('ORDER Form'!$T$1:$T$355,$AB309))&amp;"")</f>
        <v/>
      </c>
      <c r="Z309" s="50" t="str">
        <f>IF($AB309="","",IF($AD309,Z$3,INDEX('ORDER Form'!$U$1:$U$355,$AB309))&amp;"")</f>
        <v/>
      </c>
      <c r="AB309" s="51" t="str">
        <f>IFERROR(MATCH(305,$AC$5:$AC$354,0)+5,"")</f>
        <v/>
      </c>
      <c r="AC309" s="51" t="str">
        <f>IF('ORDER Form'!$V310="OK",COUNTIF('ORDER Form'!$V$6:$V310,"OK"),"")</f>
        <v/>
      </c>
      <c r="AD309" s="51" t="str">
        <f>IF($AB309="","",(LEN(TRIM(INDEX('ORDER Form'!$O$1:$O$355,$AB309)))+LEN(TRIM(INDEX('ORDER Form'!$P$1:$P$355,$AB309)))+LEN(TRIM(INDEX('ORDER Form'!$Q$1:$Q$355,$AB309)))+LEN(TRIM(INDEX('ORDER Form'!$R$1:$R$355,$AB309)))+LEN(TRIM(INDEX('ORDER Form'!$S$1:$S$355,$AB309)))+LEN(TRIM(INDEX('ORDER Form'!$T$1:$T$355,$AB309)))+LEN(TRIM(INDEX('ORDER Form'!$U$1:$U$355,$AB309))))=0)</f>
        <v/>
      </c>
    </row>
    <row r="310" spans="1:30" ht="15" customHeight="1" x14ac:dyDescent="0.25">
      <c r="A310" s="50" t="str">
        <f>IF($AB310="","",IFERROR(IF(AND(INDEX('ORDER Form'!$N$1:$N$355,$AB310)="GB",LEFT(UPPER(TRIM(INDEX('ORDER Form'!$L$1:$L$355,$AB310))),2)="BT"),INDEX('ORDER Form'!$AC$1:$AC$355,$AB310),IFERROR(VLOOKUP(INDEX('ORDER Form'!$AC$1:$AC$355,$AB310)&amp;"|"&amp;INDEX('PRODUCT DATA'!$A$2:$A$58,MATCH(INDEX('ORDER Form'!$N$1:$N$355,$AB310),'PRODUCT DATA'!$B$2:$B$58,0)),'PRODUCT DATA'!$NO$2:$NP$25,2,FALSE()),INDEX('ORDER Form'!$AC$1:$AC$355,$AB310)))&amp;"",""))</f>
        <v/>
      </c>
      <c r="B310" s="49"/>
      <c r="C310" s="51" t="str">
        <f>IF($AB310="","",INDEX('ORDER Form'!$C$1:$C$355,$AB310))</f>
        <v/>
      </c>
      <c r="D310" s="49"/>
      <c r="E310" s="49"/>
      <c r="F310" s="49"/>
      <c r="G310" s="49"/>
      <c r="H310" s="49"/>
      <c r="I310" s="49"/>
      <c r="J310" s="50" t="str">
        <f>IF($AB310="","",INDEX('ORDER Form'!$D$1:$D$355,$AB310)&amp;"")</f>
        <v/>
      </c>
      <c r="K310" s="50" t="str">
        <f>IF($AB310="","",INDEX('ORDER Form'!$E$1:$E$355,$AB310)&amp;"")</f>
        <v/>
      </c>
      <c r="L310" s="50" t="str">
        <f>IF($AB310="","",INDEX('ORDER Form'!$F$1:$F$355,$AB310)&amp;"")</f>
        <v/>
      </c>
      <c r="M310" s="50" t="str">
        <f>IF($AB310="","",INDEX('ORDER Form'!$G$1:$G$355,$AB310)&amp;"")</f>
        <v/>
      </c>
      <c r="N310" s="50" t="str">
        <f>IF($AB310="","",INDEX('ORDER Form'!$H$1:$H$355,$AB310)&amp;"")</f>
        <v/>
      </c>
      <c r="O310" s="50" t="str">
        <f>IF($AB310="","",INDEX('ORDER Form'!$I$1:$I$355,$AB310)&amp;"")</f>
        <v/>
      </c>
      <c r="P310" s="50" t="str">
        <f>IF($AB310="","",INDEX('ORDER Form'!$J$1:$J$355,$AB310)&amp;"")</f>
        <v/>
      </c>
      <c r="Q310" s="50" t="str">
        <f>IF($AB310="","",INDEX('ORDER Form'!$AB$1:$AB$355,$AB310)&amp;"")</f>
        <v/>
      </c>
      <c r="R310" s="50" t="str">
        <f>IF($AB310="","",INDEX('ORDER Form'!$L$1:$L$355,$AB310)&amp;"")</f>
        <v/>
      </c>
      <c r="S310" s="50" t="str">
        <f>IF($AB310="","",INDEX('ORDER Form'!$N$1:$N$355,$AB310)&amp;"")</f>
        <v/>
      </c>
      <c r="T310" s="50" t="str">
        <f>IF($AB310="","",IF($AD310,T$3,INDEX('ORDER Form'!$O$1:$O$355,$AB310))&amp;"")</f>
        <v/>
      </c>
      <c r="U310" s="50" t="str">
        <f>IF($AB310="","",IF($AD310,U$3,INDEX('ORDER Form'!$P$1:$P$355,$AB310))&amp;"")</f>
        <v/>
      </c>
      <c r="V310" s="50" t="str">
        <f>IF($AB310="","",IF($AD310,V$3,INDEX('ORDER Form'!$Q$1:$Q$355,$AB310))&amp;"")</f>
        <v/>
      </c>
      <c r="W310" s="50" t="str">
        <f>IF($AB310="","",IF($AD310,W$3,INDEX('ORDER Form'!$R$1:$R$355,$AB310))&amp;"")</f>
        <v/>
      </c>
      <c r="X310" s="50" t="str">
        <f>IF($AB310="","",IF($AD310,X$3,INDEX('ORDER Form'!$S$1:$S$355,$AB310))&amp;"")</f>
        <v/>
      </c>
      <c r="Y310" s="50" t="str">
        <f>IF($AB310="","",IF($AD310,Y$3,INDEX('ORDER Form'!$T$1:$T$355,$AB310))&amp;"")</f>
        <v/>
      </c>
      <c r="Z310" s="50" t="str">
        <f>IF($AB310="","",IF($AD310,Z$3,INDEX('ORDER Form'!$U$1:$U$355,$AB310))&amp;"")</f>
        <v/>
      </c>
      <c r="AB310" s="51" t="str">
        <f>IFERROR(MATCH(306,$AC$5:$AC$354,0)+5,"")</f>
        <v/>
      </c>
      <c r="AC310" s="51" t="str">
        <f>IF('ORDER Form'!$V311="OK",COUNTIF('ORDER Form'!$V$6:$V311,"OK"),"")</f>
        <v/>
      </c>
      <c r="AD310" s="51" t="str">
        <f>IF($AB310="","",(LEN(TRIM(INDEX('ORDER Form'!$O$1:$O$355,$AB310)))+LEN(TRIM(INDEX('ORDER Form'!$P$1:$P$355,$AB310)))+LEN(TRIM(INDEX('ORDER Form'!$Q$1:$Q$355,$AB310)))+LEN(TRIM(INDEX('ORDER Form'!$R$1:$R$355,$AB310)))+LEN(TRIM(INDEX('ORDER Form'!$S$1:$S$355,$AB310)))+LEN(TRIM(INDEX('ORDER Form'!$T$1:$T$355,$AB310)))+LEN(TRIM(INDEX('ORDER Form'!$U$1:$U$355,$AB310))))=0)</f>
        <v/>
      </c>
    </row>
    <row r="311" spans="1:30" ht="15" customHeight="1" x14ac:dyDescent="0.25">
      <c r="A311" s="50" t="str">
        <f>IF($AB311="","",IFERROR(IF(AND(INDEX('ORDER Form'!$N$1:$N$355,$AB311)="GB",LEFT(UPPER(TRIM(INDEX('ORDER Form'!$L$1:$L$355,$AB311))),2)="BT"),INDEX('ORDER Form'!$AC$1:$AC$355,$AB311),IFERROR(VLOOKUP(INDEX('ORDER Form'!$AC$1:$AC$355,$AB311)&amp;"|"&amp;INDEX('PRODUCT DATA'!$A$2:$A$58,MATCH(INDEX('ORDER Form'!$N$1:$N$355,$AB311),'PRODUCT DATA'!$B$2:$B$58,0)),'PRODUCT DATA'!$NO$2:$NP$25,2,FALSE()),INDEX('ORDER Form'!$AC$1:$AC$355,$AB311)))&amp;"",""))</f>
        <v/>
      </c>
      <c r="B311" s="49"/>
      <c r="C311" s="51" t="str">
        <f>IF($AB311="","",INDEX('ORDER Form'!$C$1:$C$355,$AB311))</f>
        <v/>
      </c>
      <c r="D311" s="49"/>
      <c r="E311" s="49"/>
      <c r="F311" s="49"/>
      <c r="G311" s="49"/>
      <c r="H311" s="49"/>
      <c r="I311" s="49"/>
      <c r="J311" s="50" t="str">
        <f>IF($AB311="","",INDEX('ORDER Form'!$D$1:$D$355,$AB311)&amp;"")</f>
        <v/>
      </c>
      <c r="K311" s="50" t="str">
        <f>IF($AB311="","",INDEX('ORDER Form'!$E$1:$E$355,$AB311)&amp;"")</f>
        <v/>
      </c>
      <c r="L311" s="50" t="str">
        <f>IF($AB311="","",INDEX('ORDER Form'!$F$1:$F$355,$AB311)&amp;"")</f>
        <v/>
      </c>
      <c r="M311" s="50" t="str">
        <f>IF($AB311="","",INDEX('ORDER Form'!$G$1:$G$355,$AB311)&amp;"")</f>
        <v/>
      </c>
      <c r="N311" s="50" t="str">
        <f>IF($AB311="","",INDEX('ORDER Form'!$H$1:$H$355,$AB311)&amp;"")</f>
        <v/>
      </c>
      <c r="O311" s="50" t="str">
        <f>IF($AB311="","",INDEX('ORDER Form'!$I$1:$I$355,$AB311)&amp;"")</f>
        <v/>
      </c>
      <c r="P311" s="50" t="str">
        <f>IF($AB311="","",INDEX('ORDER Form'!$J$1:$J$355,$AB311)&amp;"")</f>
        <v/>
      </c>
      <c r="Q311" s="50" t="str">
        <f>IF($AB311="","",INDEX('ORDER Form'!$AB$1:$AB$355,$AB311)&amp;"")</f>
        <v/>
      </c>
      <c r="R311" s="50" t="str">
        <f>IF($AB311="","",INDEX('ORDER Form'!$L$1:$L$355,$AB311)&amp;"")</f>
        <v/>
      </c>
      <c r="S311" s="50" t="str">
        <f>IF($AB311="","",INDEX('ORDER Form'!$N$1:$N$355,$AB311)&amp;"")</f>
        <v/>
      </c>
      <c r="T311" s="50" t="str">
        <f>IF($AB311="","",IF($AD311,T$3,INDEX('ORDER Form'!$O$1:$O$355,$AB311))&amp;"")</f>
        <v/>
      </c>
      <c r="U311" s="50" t="str">
        <f>IF($AB311="","",IF($AD311,U$3,INDEX('ORDER Form'!$P$1:$P$355,$AB311))&amp;"")</f>
        <v/>
      </c>
      <c r="V311" s="50" t="str">
        <f>IF($AB311="","",IF($AD311,V$3,INDEX('ORDER Form'!$Q$1:$Q$355,$AB311))&amp;"")</f>
        <v/>
      </c>
      <c r="W311" s="50" t="str">
        <f>IF($AB311="","",IF($AD311,W$3,INDEX('ORDER Form'!$R$1:$R$355,$AB311))&amp;"")</f>
        <v/>
      </c>
      <c r="X311" s="50" t="str">
        <f>IF($AB311="","",IF($AD311,X$3,INDEX('ORDER Form'!$S$1:$S$355,$AB311))&amp;"")</f>
        <v/>
      </c>
      <c r="Y311" s="50" t="str">
        <f>IF($AB311="","",IF($AD311,Y$3,INDEX('ORDER Form'!$T$1:$T$355,$AB311))&amp;"")</f>
        <v/>
      </c>
      <c r="Z311" s="50" t="str">
        <f>IF($AB311="","",IF($AD311,Z$3,INDEX('ORDER Form'!$U$1:$U$355,$AB311))&amp;"")</f>
        <v/>
      </c>
      <c r="AB311" s="51" t="str">
        <f>IFERROR(MATCH(307,$AC$5:$AC$354,0)+5,"")</f>
        <v/>
      </c>
      <c r="AC311" s="51" t="str">
        <f>IF('ORDER Form'!$V312="OK",COUNTIF('ORDER Form'!$V$6:$V312,"OK"),"")</f>
        <v/>
      </c>
      <c r="AD311" s="51" t="str">
        <f>IF($AB311="","",(LEN(TRIM(INDEX('ORDER Form'!$O$1:$O$355,$AB311)))+LEN(TRIM(INDEX('ORDER Form'!$P$1:$P$355,$AB311)))+LEN(TRIM(INDEX('ORDER Form'!$Q$1:$Q$355,$AB311)))+LEN(TRIM(INDEX('ORDER Form'!$R$1:$R$355,$AB311)))+LEN(TRIM(INDEX('ORDER Form'!$S$1:$S$355,$AB311)))+LEN(TRIM(INDEX('ORDER Form'!$T$1:$T$355,$AB311)))+LEN(TRIM(INDEX('ORDER Form'!$U$1:$U$355,$AB311))))=0)</f>
        <v/>
      </c>
    </row>
    <row r="312" spans="1:30" ht="15" customHeight="1" x14ac:dyDescent="0.25">
      <c r="A312" s="50" t="str">
        <f>IF($AB312="","",IFERROR(IF(AND(INDEX('ORDER Form'!$N$1:$N$355,$AB312)="GB",LEFT(UPPER(TRIM(INDEX('ORDER Form'!$L$1:$L$355,$AB312))),2)="BT"),INDEX('ORDER Form'!$AC$1:$AC$355,$AB312),IFERROR(VLOOKUP(INDEX('ORDER Form'!$AC$1:$AC$355,$AB312)&amp;"|"&amp;INDEX('PRODUCT DATA'!$A$2:$A$58,MATCH(INDEX('ORDER Form'!$N$1:$N$355,$AB312),'PRODUCT DATA'!$B$2:$B$58,0)),'PRODUCT DATA'!$NO$2:$NP$25,2,FALSE()),INDEX('ORDER Form'!$AC$1:$AC$355,$AB312)))&amp;"",""))</f>
        <v/>
      </c>
      <c r="B312" s="49"/>
      <c r="C312" s="51" t="str">
        <f>IF($AB312="","",INDEX('ORDER Form'!$C$1:$C$355,$AB312))</f>
        <v/>
      </c>
      <c r="D312" s="49"/>
      <c r="E312" s="49"/>
      <c r="F312" s="49"/>
      <c r="G312" s="49"/>
      <c r="H312" s="49"/>
      <c r="I312" s="49"/>
      <c r="J312" s="50" t="str">
        <f>IF($AB312="","",INDEX('ORDER Form'!$D$1:$D$355,$AB312)&amp;"")</f>
        <v/>
      </c>
      <c r="K312" s="50" t="str">
        <f>IF($AB312="","",INDEX('ORDER Form'!$E$1:$E$355,$AB312)&amp;"")</f>
        <v/>
      </c>
      <c r="L312" s="50" t="str">
        <f>IF($AB312="","",INDEX('ORDER Form'!$F$1:$F$355,$AB312)&amp;"")</f>
        <v/>
      </c>
      <c r="M312" s="50" t="str">
        <f>IF($AB312="","",INDEX('ORDER Form'!$G$1:$G$355,$AB312)&amp;"")</f>
        <v/>
      </c>
      <c r="N312" s="50" t="str">
        <f>IF($AB312="","",INDEX('ORDER Form'!$H$1:$H$355,$AB312)&amp;"")</f>
        <v/>
      </c>
      <c r="O312" s="50" t="str">
        <f>IF($AB312="","",INDEX('ORDER Form'!$I$1:$I$355,$AB312)&amp;"")</f>
        <v/>
      </c>
      <c r="P312" s="50" t="str">
        <f>IF($AB312="","",INDEX('ORDER Form'!$J$1:$J$355,$AB312)&amp;"")</f>
        <v/>
      </c>
      <c r="Q312" s="50" t="str">
        <f>IF($AB312="","",INDEX('ORDER Form'!$AB$1:$AB$355,$AB312)&amp;"")</f>
        <v/>
      </c>
      <c r="R312" s="50" t="str">
        <f>IF($AB312="","",INDEX('ORDER Form'!$L$1:$L$355,$AB312)&amp;"")</f>
        <v/>
      </c>
      <c r="S312" s="50" t="str">
        <f>IF($AB312="","",INDEX('ORDER Form'!$N$1:$N$355,$AB312)&amp;"")</f>
        <v/>
      </c>
      <c r="T312" s="50" t="str">
        <f>IF($AB312="","",IF($AD312,T$3,INDEX('ORDER Form'!$O$1:$O$355,$AB312))&amp;"")</f>
        <v/>
      </c>
      <c r="U312" s="50" t="str">
        <f>IF($AB312="","",IF($AD312,U$3,INDEX('ORDER Form'!$P$1:$P$355,$AB312))&amp;"")</f>
        <v/>
      </c>
      <c r="V312" s="50" t="str">
        <f>IF($AB312="","",IF($AD312,V$3,INDEX('ORDER Form'!$Q$1:$Q$355,$AB312))&amp;"")</f>
        <v/>
      </c>
      <c r="W312" s="50" t="str">
        <f>IF($AB312="","",IF($AD312,W$3,INDEX('ORDER Form'!$R$1:$R$355,$AB312))&amp;"")</f>
        <v/>
      </c>
      <c r="X312" s="50" t="str">
        <f>IF($AB312="","",IF($AD312,X$3,INDEX('ORDER Form'!$S$1:$S$355,$AB312))&amp;"")</f>
        <v/>
      </c>
      <c r="Y312" s="50" t="str">
        <f>IF($AB312="","",IF($AD312,Y$3,INDEX('ORDER Form'!$T$1:$T$355,$AB312))&amp;"")</f>
        <v/>
      </c>
      <c r="Z312" s="50" t="str">
        <f>IF($AB312="","",IF($AD312,Z$3,INDEX('ORDER Form'!$U$1:$U$355,$AB312))&amp;"")</f>
        <v/>
      </c>
      <c r="AB312" s="51" t="str">
        <f>IFERROR(MATCH(308,$AC$5:$AC$354,0)+5,"")</f>
        <v/>
      </c>
      <c r="AC312" s="51" t="str">
        <f>IF('ORDER Form'!$V313="OK",COUNTIF('ORDER Form'!$V$6:$V313,"OK"),"")</f>
        <v/>
      </c>
      <c r="AD312" s="51" t="str">
        <f>IF($AB312="","",(LEN(TRIM(INDEX('ORDER Form'!$O$1:$O$355,$AB312)))+LEN(TRIM(INDEX('ORDER Form'!$P$1:$P$355,$AB312)))+LEN(TRIM(INDEX('ORDER Form'!$Q$1:$Q$355,$AB312)))+LEN(TRIM(INDEX('ORDER Form'!$R$1:$R$355,$AB312)))+LEN(TRIM(INDEX('ORDER Form'!$S$1:$S$355,$AB312)))+LEN(TRIM(INDEX('ORDER Form'!$T$1:$T$355,$AB312)))+LEN(TRIM(INDEX('ORDER Form'!$U$1:$U$355,$AB312))))=0)</f>
        <v/>
      </c>
    </row>
    <row r="313" spans="1:30" ht="15" customHeight="1" x14ac:dyDescent="0.25">
      <c r="A313" s="50" t="str">
        <f>IF($AB313="","",IFERROR(IF(AND(INDEX('ORDER Form'!$N$1:$N$355,$AB313)="GB",LEFT(UPPER(TRIM(INDEX('ORDER Form'!$L$1:$L$355,$AB313))),2)="BT"),INDEX('ORDER Form'!$AC$1:$AC$355,$AB313),IFERROR(VLOOKUP(INDEX('ORDER Form'!$AC$1:$AC$355,$AB313)&amp;"|"&amp;INDEX('PRODUCT DATA'!$A$2:$A$58,MATCH(INDEX('ORDER Form'!$N$1:$N$355,$AB313),'PRODUCT DATA'!$B$2:$B$58,0)),'PRODUCT DATA'!$NO$2:$NP$25,2,FALSE()),INDEX('ORDER Form'!$AC$1:$AC$355,$AB313)))&amp;"",""))</f>
        <v/>
      </c>
      <c r="B313" s="49"/>
      <c r="C313" s="51" t="str">
        <f>IF($AB313="","",INDEX('ORDER Form'!$C$1:$C$355,$AB313))</f>
        <v/>
      </c>
      <c r="D313" s="49"/>
      <c r="E313" s="49"/>
      <c r="F313" s="49"/>
      <c r="G313" s="49"/>
      <c r="H313" s="49"/>
      <c r="I313" s="49"/>
      <c r="J313" s="50" t="str">
        <f>IF($AB313="","",INDEX('ORDER Form'!$D$1:$D$355,$AB313)&amp;"")</f>
        <v/>
      </c>
      <c r="K313" s="50" t="str">
        <f>IF($AB313="","",INDEX('ORDER Form'!$E$1:$E$355,$AB313)&amp;"")</f>
        <v/>
      </c>
      <c r="L313" s="50" t="str">
        <f>IF($AB313="","",INDEX('ORDER Form'!$F$1:$F$355,$AB313)&amp;"")</f>
        <v/>
      </c>
      <c r="M313" s="50" t="str">
        <f>IF($AB313="","",INDEX('ORDER Form'!$G$1:$G$355,$AB313)&amp;"")</f>
        <v/>
      </c>
      <c r="N313" s="50" t="str">
        <f>IF($AB313="","",INDEX('ORDER Form'!$H$1:$H$355,$AB313)&amp;"")</f>
        <v/>
      </c>
      <c r="O313" s="50" t="str">
        <f>IF($AB313="","",INDEX('ORDER Form'!$I$1:$I$355,$AB313)&amp;"")</f>
        <v/>
      </c>
      <c r="P313" s="50" t="str">
        <f>IF($AB313="","",INDEX('ORDER Form'!$J$1:$J$355,$AB313)&amp;"")</f>
        <v/>
      </c>
      <c r="Q313" s="50" t="str">
        <f>IF($AB313="","",INDEX('ORDER Form'!$AB$1:$AB$355,$AB313)&amp;"")</f>
        <v/>
      </c>
      <c r="R313" s="50" t="str">
        <f>IF($AB313="","",INDEX('ORDER Form'!$L$1:$L$355,$AB313)&amp;"")</f>
        <v/>
      </c>
      <c r="S313" s="50" t="str">
        <f>IF($AB313="","",INDEX('ORDER Form'!$N$1:$N$355,$AB313)&amp;"")</f>
        <v/>
      </c>
      <c r="T313" s="50" t="str">
        <f>IF($AB313="","",IF($AD313,T$3,INDEX('ORDER Form'!$O$1:$O$355,$AB313))&amp;"")</f>
        <v/>
      </c>
      <c r="U313" s="50" t="str">
        <f>IF($AB313="","",IF($AD313,U$3,INDEX('ORDER Form'!$P$1:$P$355,$AB313))&amp;"")</f>
        <v/>
      </c>
      <c r="V313" s="50" t="str">
        <f>IF($AB313="","",IF($AD313,V$3,INDEX('ORDER Form'!$Q$1:$Q$355,$AB313))&amp;"")</f>
        <v/>
      </c>
      <c r="W313" s="50" t="str">
        <f>IF($AB313="","",IF($AD313,W$3,INDEX('ORDER Form'!$R$1:$R$355,$AB313))&amp;"")</f>
        <v/>
      </c>
      <c r="X313" s="50" t="str">
        <f>IF($AB313="","",IF($AD313,X$3,INDEX('ORDER Form'!$S$1:$S$355,$AB313))&amp;"")</f>
        <v/>
      </c>
      <c r="Y313" s="50" t="str">
        <f>IF($AB313="","",IF($AD313,Y$3,INDEX('ORDER Form'!$T$1:$T$355,$AB313))&amp;"")</f>
        <v/>
      </c>
      <c r="Z313" s="50" t="str">
        <f>IF($AB313="","",IF($AD313,Z$3,INDEX('ORDER Form'!$U$1:$U$355,$AB313))&amp;"")</f>
        <v/>
      </c>
      <c r="AB313" s="51" t="str">
        <f>IFERROR(MATCH(309,$AC$5:$AC$354,0)+5,"")</f>
        <v/>
      </c>
      <c r="AC313" s="51" t="str">
        <f>IF('ORDER Form'!$V314="OK",COUNTIF('ORDER Form'!$V$6:$V314,"OK"),"")</f>
        <v/>
      </c>
      <c r="AD313" s="51" t="str">
        <f>IF($AB313="","",(LEN(TRIM(INDEX('ORDER Form'!$O$1:$O$355,$AB313)))+LEN(TRIM(INDEX('ORDER Form'!$P$1:$P$355,$AB313)))+LEN(TRIM(INDEX('ORDER Form'!$Q$1:$Q$355,$AB313)))+LEN(TRIM(INDEX('ORDER Form'!$R$1:$R$355,$AB313)))+LEN(TRIM(INDEX('ORDER Form'!$S$1:$S$355,$AB313)))+LEN(TRIM(INDEX('ORDER Form'!$T$1:$T$355,$AB313)))+LEN(TRIM(INDEX('ORDER Form'!$U$1:$U$355,$AB313))))=0)</f>
        <v/>
      </c>
    </row>
    <row r="314" spans="1:30" ht="15" customHeight="1" x14ac:dyDescent="0.25">
      <c r="A314" s="50" t="str">
        <f>IF($AB314="","",IFERROR(IF(AND(INDEX('ORDER Form'!$N$1:$N$355,$AB314)="GB",LEFT(UPPER(TRIM(INDEX('ORDER Form'!$L$1:$L$355,$AB314))),2)="BT"),INDEX('ORDER Form'!$AC$1:$AC$355,$AB314),IFERROR(VLOOKUP(INDEX('ORDER Form'!$AC$1:$AC$355,$AB314)&amp;"|"&amp;INDEX('PRODUCT DATA'!$A$2:$A$58,MATCH(INDEX('ORDER Form'!$N$1:$N$355,$AB314),'PRODUCT DATA'!$B$2:$B$58,0)),'PRODUCT DATA'!$NO$2:$NP$25,2,FALSE()),INDEX('ORDER Form'!$AC$1:$AC$355,$AB314)))&amp;"",""))</f>
        <v/>
      </c>
      <c r="B314" s="49"/>
      <c r="C314" s="51" t="str">
        <f>IF($AB314="","",INDEX('ORDER Form'!$C$1:$C$355,$AB314))</f>
        <v/>
      </c>
      <c r="D314" s="49"/>
      <c r="E314" s="49"/>
      <c r="F314" s="49"/>
      <c r="G314" s="49"/>
      <c r="H314" s="49"/>
      <c r="I314" s="49"/>
      <c r="J314" s="50" t="str">
        <f>IF($AB314="","",INDEX('ORDER Form'!$D$1:$D$355,$AB314)&amp;"")</f>
        <v/>
      </c>
      <c r="K314" s="50" t="str">
        <f>IF($AB314="","",INDEX('ORDER Form'!$E$1:$E$355,$AB314)&amp;"")</f>
        <v/>
      </c>
      <c r="L314" s="50" t="str">
        <f>IF($AB314="","",INDEX('ORDER Form'!$F$1:$F$355,$AB314)&amp;"")</f>
        <v/>
      </c>
      <c r="M314" s="50" t="str">
        <f>IF($AB314="","",INDEX('ORDER Form'!$G$1:$G$355,$AB314)&amp;"")</f>
        <v/>
      </c>
      <c r="N314" s="50" t="str">
        <f>IF($AB314="","",INDEX('ORDER Form'!$H$1:$H$355,$AB314)&amp;"")</f>
        <v/>
      </c>
      <c r="O314" s="50" t="str">
        <f>IF($AB314="","",INDEX('ORDER Form'!$I$1:$I$355,$AB314)&amp;"")</f>
        <v/>
      </c>
      <c r="P314" s="50" t="str">
        <f>IF($AB314="","",INDEX('ORDER Form'!$J$1:$J$355,$AB314)&amp;"")</f>
        <v/>
      </c>
      <c r="Q314" s="50" t="str">
        <f>IF($AB314="","",INDEX('ORDER Form'!$AB$1:$AB$355,$AB314)&amp;"")</f>
        <v/>
      </c>
      <c r="R314" s="50" t="str">
        <f>IF($AB314="","",INDEX('ORDER Form'!$L$1:$L$355,$AB314)&amp;"")</f>
        <v/>
      </c>
      <c r="S314" s="50" t="str">
        <f>IF($AB314="","",INDEX('ORDER Form'!$N$1:$N$355,$AB314)&amp;"")</f>
        <v/>
      </c>
      <c r="T314" s="50" t="str">
        <f>IF($AB314="","",IF($AD314,T$3,INDEX('ORDER Form'!$O$1:$O$355,$AB314))&amp;"")</f>
        <v/>
      </c>
      <c r="U314" s="50" t="str">
        <f>IF($AB314="","",IF($AD314,U$3,INDEX('ORDER Form'!$P$1:$P$355,$AB314))&amp;"")</f>
        <v/>
      </c>
      <c r="V314" s="50" t="str">
        <f>IF($AB314="","",IF($AD314,V$3,INDEX('ORDER Form'!$Q$1:$Q$355,$AB314))&amp;"")</f>
        <v/>
      </c>
      <c r="W314" s="50" t="str">
        <f>IF($AB314="","",IF($AD314,W$3,INDEX('ORDER Form'!$R$1:$R$355,$AB314))&amp;"")</f>
        <v/>
      </c>
      <c r="X314" s="50" t="str">
        <f>IF($AB314="","",IF($AD314,X$3,INDEX('ORDER Form'!$S$1:$S$355,$AB314))&amp;"")</f>
        <v/>
      </c>
      <c r="Y314" s="50" t="str">
        <f>IF($AB314="","",IF($AD314,Y$3,INDEX('ORDER Form'!$T$1:$T$355,$AB314))&amp;"")</f>
        <v/>
      </c>
      <c r="Z314" s="50" t="str">
        <f>IF($AB314="","",IF($AD314,Z$3,INDEX('ORDER Form'!$U$1:$U$355,$AB314))&amp;"")</f>
        <v/>
      </c>
      <c r="AB314" s="51" t="str">
        <f>IFERROR(MATCH(310,$AC$5:$AC$354,0)+5,"")</f>
        <v/>
      </c>
      <c r="AC314" s="51" t="str">
        <f>IF('ORDER Form'!$V315="OK",COUNTIF('ORDER Form'!$V$6:$V315,"OK"),"")</f>
        <v/>
      </c>
      <c r="AD314" s="51" t="str">
        <f>IF($AB314="","",(LEN(TRIM(INDEX('ORDER Form'!$O$1:$O$355,$AB314)))+LEN(TRIM(INDEX('ORDER Form'!$P$1:$P$355,$AB314)))+LEN(TRIM(INDEX('ORDER Form'!$Q$1:$Q$355,$AB314)))+LEN(TRIM(INDEX('ORDER Form'!$R$1:$R$355,$AB314)))+LEN(TRIM(INDEX('ORDER Form'!$S$1:$S$355,$AB314)))+LEN(TRIM(INDEX('ORDER Form'!$T$1:$T$355,$AB314)))+LEN(TRIM(INDEX('ORDER Form'!$U$1:$U$355,$AB314))))=0)</f>
        <v/>
      </c>
    </row>
    <row r="315" spans="1:30" ht="15" customHeight="1" x14ac:dyDescent="0.25">
      <c r="A315" s="50" t="str">
        <f>IF($AB315="","",IFERROR(IF(AND(INDEX('ORDER Form'!$N$1:$N$355,$AB315)="GB",LEFT(UPPER(TRIM(INDEX('ORDER Form'!$L$1:$L$355,$AB315))),2)="BT"),INDEX('ORDER Form'!$AC$1:$AC$355,$AB315),IFERROR(VLOOKUP(INDEX('ORDER Form'!$AC$1:$AC$355,$AB315)&amp;"|"&amp;INDEX('PRODUCT DATA'!$A$2:$A$58,MATCH(INDEX('ORDER Form'!$N$1:$N$355,$AB315),'PRODUCT DATA'!$B$2:$B$58,0)),'PRODUCT DATA'!$NO$2:$NP$25,2,FALSE()),INDEX('ORDER Form'!$AC$1:$AC$355,$AB315)))&amp;"",""))</f>
        <v/>
      </c>
      <c r="B315" s="49"/>
      <c r="C315" s="51" t="str">
        <f>IF($AB315="","",INDEX('ORDER Form'!$C$1:$C$355,$AB315))</f>
        <v/>
      </c>
      <c r="D315" s="49"/>
      <c r="E315" s="49"/>
      <c r="F315" s="49"/>
      <c r="G315" s="49"/>
      <c r="H315" s="49"/>
      <c r="I315" s="49"/>
      <c r="J315" s="50" t="str">
        <f>IF($AB315="","",INDEX('ORDER Form'!$D$1:$D$355,$AB315)&amp;"")</f>
        <v/>
      </c>
      <c r="K315" s="50" t="str">
        <f>IF($AB315="","",INDEX('ORDER Form'!$E$1:$E$355,$AB315)&amp;"")</f>
        <v/>
      </c>
      <c r="L315" s="50" t="str">
        <f>IF($AB315="","",INDEX('ORDER Form'!$F$1:$F$355,$AB315)&amp;"")</f>
        <v/>
      </c>
      <c r="M315" s="50" t="str">
        <f>IF($AB315="","",INDEX('ORDER Form'!$G$1:$G$355,$AB315)&amp;"")</f>
        <v/>
      </c>
      <c r="N315" s="50" t="str">
        <f>IF($AB315="","",INDEX('ORDER Form'!$H$1:$H$355,$AB315)&amp;"")</f>
        <v/>
      </c>
      <c r="O315" s="50" t="str">
        <f>IF($AB315="","",INDEX('ORDER Form'!$I$1:$I$355,$AB315)&amp;"")</f>
        <v/>
      </c>
      <c r="P315" s="50" t="str">
        <f>IF($AB315="","",INDEX('ORDER Form'!$J$1:$J$355,$AB315)&amp;"")</f>
        <v/>
      </c>
      <c r="Q315" s="50" t="str">
        <f>IF($AB315="","",INDEX('ORDER Form'!$AB$1:$AB$355,$AB315)&amp;"")</f>
        <v/>
      </c>
      <c r="R315" s="50" t="str">
        <f>IF($AB315="","",INDEX('ORDER Form'!$L$1:$L$355,$AB315)&amp;"")</f>
        <v/>
      </c>
      <c r="S315" s="50" t="str">
        <f>IF($AB315="","",INDEX('ORDER Form'!$N$1:$N$355,$AB315)&amp;"")</f>
        <v/>
      </c>
      <c r="T315" s="50" t="str">
        <f>IF($AB315="","",IF($AD315,T$3,INDEX('ORDER Form'!$O$1:$O$355,$AB315))&amp;"")</f>
        <v/>
      </c>
      <c r="U315" s="50" t="str">
        <f>IF($AB315="","",IF($AD315,U$3,INDEX('ORDER Form'!$P$1:$P$355,$AB315))&amp;"")</f>
        <v/>
      </c>
      <c r="V315" s="50" t="str">
        <f>IF($AB315="","",IF($AD315,V$3,INDEX('ORDER Form'!$Q$1:$Q$355,$AB315))&amp;"")</f>
        <v/>
      </c>
      <c r="W315" s="50" t="str">
        <f>IF($AB315="","",IF($AD315,W$3,INDEX('ORDER Form'!$R$1:$R$355,$AB315))&amp;"")</f>
        <v/>
      </c>
      <c r="X315" s="50" t="str">
        <f>IF($AB315="","",IF($AD315,X$3,INDEX('ORDER Form'!$S$1:$S$355,$AB315))&amp;"")</f>
        <v/>
      </c>
      <c r="Y315" s="50" t="str">
        <f>IF($AB315="","",IF($AD315,Y$3,INDEX('ORDER Form'!$T$1:$T$355,$AB315))&amp;"")</f>
        <v/>
      </c>
      <c r="Z315" s="50" t="str">
        <f>IF($AB315="","",IF($AD315,Z$3,INDEX('ORDER Form'!$U$1:$U$355,$AB315))&amp;"")</f>
        <v/>
      </c>
      <c r="AB315" s="51" t="str">
        <f>IFERROR(MATCH(311,$AC$5:$AC$354,0)+5,"")</f>
        <v/>
      </c>
      <c r="AC315" s="51" t="str">
        <f>IF('ORDER Form'!$V316="OK",COUNTIF('ORDER Form'!$V$6:$V316,"OK"),"")</f>
        <v/>
      </c>
      <c r="AD315" s="51" t="str">
        <f>IF($AB315="","",(LEN(TRIM(INDEX('ORDER Form'!$O$1:$O$355,$AB315)))+LEN(TRIM(INDEX('ORDER Form'!$P$1:$P$355,$AB315)))+LEN(TRIM(INDEX('ORDER Form'!$Q$1:$Q$355,$AB315)))+LEN(TRIM(INDEX('ORDER Form'!$R$1:$R$355,$AB315)))+LEN(TRIM(INDEX('ORDER Form'!$S$1:$S$355,$AB315)))+LEN(TRIM(INDEX('ORDER Form'!$T$1:$T$355,$AB315)))+LEN(TRIM(INDEX('ORDER Form'!$U$1:$U$355,$AB315))))=0)</f>
        <v/>
      </c>
    </row>
    <row r="316" spans="1:30" ht="15" customHeight="1" x14ac:dyDescent="0.25">
      <c r="A316" s="50" t="str">
        <f>IF($AB316="","",IFERROR(IF(AND(INDEX('ORDER Form'!$N$1:$N$355,$AB316)="GB",LEFT(UPPER(TRIM(INDEX('ORDER Form'!$L$1:$L$355,$AB316))),2)="BT"),INDEX('ORDER Form'!$AC$1:$AC$355,$AB316),IFERROR(VLOOKUP(INDEX('ORDER Form'!$AC$1:$AC$355,$AB316)&amp;"|"&amp;INDEX('PRODUCT DATA'!$A$2:$A$58,MATCH(INDEX('ORDER Form'!$N$1:$N$355,$AB316),'PRODUCT DATA'!$B$2:$B$58,0)),'PRODUCT DATA'!$NO$2:$NP$25,2,FALSE()),INDEX('ORDER Form'!$AC$1:$AC$355,$AB316)))&amp;"",""))</f>
        <v/>
      </c>
      <c r="B316" s="49"/>
      <c r="C316" s="51" t="str">
        <f>IF($AB316="","",INDEX('ORDER Form'!$C$1:$C$355,$AB316))</f>
        <v/>
      </c>
      <c r="D316" s="49"/>
      <c r="E316" s="49"/>
      <c r="F316" s="49"/>
      <c r="G316" s="49"/>
      <c r="H316" s="49"/>
      <c r="I316" s="49"/>
      <c r="J316" s="50" t="str">
        <f>IF($AB316="","",INDEX('ORDER Form'!$D$1:$D$355,$AB316)&amp;"")</f>
        <v/>
      </c>
      <c r="K316" s="50" t="str">
        <f>IF($AB316="","",INDEX('ORDER Form'!$E$1:$E$355,$AB316)&amp;"")</f>
        <v/>
      </c>
      <c r="L316" s="50" t="str">
        <f>IF($AB316="","",INDEX('ORDER Form'!$F$1:$F$355,$AB316)&amp;"")</f>
        <v/>
      </c>
      <c r="M316" s="50" t="str">
        <f>IF($AB316="","",INDEX('ORDER Form'!$G$1:$G$355,$AB316)&amp;"")</f>
        <v/>
      </c>
      <c r="N316" s="50" t="str">
        <f>IF($AB316="","",INDEX('ORDER Form'!$H$1:$H$355,$AB316)&amp;"")</f>
        <v/>
      </c>
      <c r="O316" s="50" t="str">
        <f>IF($AB316="","",INDEX('ORDER Form'!$I$1:$I$355,$AB316)&amp;"")</f>
        <v/>
      </c>
      <c r="P316" s="50" t="str">
        <f>IF($AB316="","",INDEX('ORDER Form'!$J$1:$J$355,$AB316)&amp;"")</f>
        <v/>
      </c>
      <c r="Q316" s="50" t="str">
        <f>IF($AB316="","",INDEX('ORDER Form'!$AB$1:$AB$355,$AB316)&amp;"")</f>
        <v/>
      </c>
      <c r="R316" s="50" t="str">
        <f>IF($AB316="","",INDEX('ORDER Form'!$L$1:$L$355,$AB316)&amp;"")</f>
        <v/>
      </c>
      <c r="S316" s="50" t="str">
        <f>IF($AB316="","",INDEX('ORDER Form'!$N$1:$N$355,$AB316)&amp;"")</f>
        <v/>
      </c>
      <c r="T316" s="50" t="str">
        <f>IF($AB316="","",IF($AD316,T$3,INDEX('ORDER Form'!$O$1:$O$355,$AB316))&amp;"")</f>
        <v/>
      </c>
      <c r="U316" s="50" t="str">
        <f>IF($AB316="","",IF($AD316,U$3,INDEX('ORDER Form'!$P$1:$P$355,$AB316))&amp;"")</f>
        <v/>
      </c>
      <c r="V316" s="50" t="str">
        <f>IF($AB316="","",IF($AD316,V$3,INDEX('ORDER Form'!$Q$1:$Q$355,$AB316))&amp;"")</f>
        <v/>
      </c>
      <c r="W316" s="50" t="str">
        <f>IF($AB316="","",IF($AD316,W$3,INDEX('ORDER Form'!$R$1:$R$355,$AB316))&amp;"")</f>
        <v/>
      </c>
      <c r="X316" s="50" t="str">
        <f>IF($AB316="","",IF($AD316,X$3,INDEX('ORDER Form'!$S$1:$S$355,$AB316))&amp;"")</f>
        <v/>
      </c>
      <c r="Y316" s="50" t="str">
        <f>IF($AB316="","",IF($AD316,Y$3,INDEX('ORDER Form'!$T$1:$T$355,$AB316))&amp;"")</f>
        <v/>
      </c>
      <c r="Z316" s="50" t="str">
        <f>IF($AB316="","",IF($AD316,Z$3,INDEX('ORDER Form'!$U$1:$U$355,$AB316))&amp;"")</f>
        <v/>
      </c>
      <c r="AB316" s="51" t="str">
        <f>IFERROR(MATCH(312,$AC$5:$AC$354,0)+5,"")</f>
        <v/>
      </c>
      <c r="AC316" s="51" t="str">
        <f>IF('ORDER Form'!$V317="OK",COUNTIF('ORDER Form'!$V$6:$V317,"OK"),"")</f>
        <v/>
      </c>
      <c r="AD316" s="51" t="str">
        <f>IF($AB316="","",(LEN(TRIM(INDEX('ORDER Form'!$O$1:$O$355,$AB316)))+LEN(TRIM(INDEX('ORDER Form'!$P$1:$P$355,$AB316)))+LEN(TRIM(INDEX('ORDER Form'!$Q$1:$Q$355,$AB316)))+LEN(TRIM(INDEX('ORDER Form'!$R$1:$R$355,$AB316)))+LEN(TRIM(INDEX('ORDER Form'!$S$1:$S$355,$AB316)))+LEN(TRIM(INDEX('ORDER Form'!$T$1:$T$355,$AB316)))+LEN(TRIM(INDEX('ORDER Form'!$U$1:$U$355,$AB316))))=0)</f>
        <v/>
      </c>
    </row>
    <row r="317" spans="1:30" ht="15" customHeight="1" x14ac:dyDescent="0.25">
      <c r="A317" s="50" t="str">
        <f>IF($AB317="","",IFERROR(IF(AND(INDEX('ORDER Form'!$N$1:$N$355,$AB317)="GB",LEFT(UPPER(TRIM(INDEX('ORDER Form'!$L$1:$L$355,$AB317))),2)="BT"),INDEX('ORDER Form'!$AC$1:$AC$355,$AB317),IFERROR(VLOOKUP(INDEX('ORDER Form'!$AC$1:$AC$355,$AB317)&amp;"|"&amp;INDEX('PRODUCT DATA'!$A$2:$A$58,MATCH(INDEX('ORDER Form'!$N$1:$N$355,$AB317),'PRODUCT DATA'!$B$2:$B$58,0)),'PRODUCT DATA'!$NO$2:$NP$25,2,FALSE()),INDEX('ORDER Form'!$AC$1:$AC$355,$AB317)))&amp;"",""))</f>
        <v/>
      </c>
      <c r="B317" s="49"/>
      <c r="C317" s="51" t="str">
        <f>IF($AB317="","",INDEX('ORDER Form'!$C$1:$C$355,$AB317))</f>
        <v/>
      </c>
      <c r="D317" s="49"/>
      <c r="E317" s="49"/>
      <c r="F317" s="49"/>
      <c r="G317" s="49"/>
      <c r="H317" s="49"/>
      <c r="I317" s="49"/>
      <c r="J317" s="50" t="str">
        <f>IF($AB317="","",INDEX('ORDER Form'!$D$1:$D$355,$AB317)&amp;"")</f>
        <v/>
      </c>
      <c r="K317" s="50" t="str">
        <f>IF($AB317="","",INDEX('ORDER Form'!$E$1:$E$355,$AB317)&amp;"")</f>
        <v/>
      </c>
      <c r="L317" s="50" t="str">
        <f>IF($AB317="","",INDEX('ORDER Form'!$F$1:$F$355,$AB317)&amp;"")</f>
        <v/>
      </c>
      <c r="M317" s="50" t="str">
        <f>IF($AB317="","",INDEX('ORDER Form'!$G$1:$G$355,$AB317)&amp;"")</f>
        <v/>
      </c>
      <c r="N317" s="50" t="str">
        <f>IF($AB317="","",INDEX('ORDER Form'!$H$1:$H$355,$AB317)&amp;"")</f>
        <v/>
      </c>
      <c r="O317" s="50" t="str">
        <f>IF($AB317="","",INDEX('ORDER Form'!$I$1:$I$355,$AB317)&amp;"")</f>
        <v/>
      </c>
      <c r="P317" s="50" t="str">
        <f>IF($AB317="","",INDEX('ORDER Form'!$J$1:$J$355,$AB317)&amp;"")</f>
        <v/>
      </c>
      <c r="Q317" s="50" t="str">
        <f>IF($AB317="","",INDEX('ORDER Form'!$AB$1:$AB$355,$AB317)&amp;"")</f>
        <v/>
      </c>
      <c r="R317" s="50" t="str">
        <f>IF($AB317="","",INDEX('ORDER Form'!$L$1:$L$355,$AB317)&amp;"")</f>
        <v/>
      </c>
      <c r="S317" s="50" t="str">
        <f>IF($AB317="","",INDEX('ORDER Form'!$N$1:$N$355,$AB317)&amp;"")</f>
        <v/>
      </c>
      <c r="T317" s="50" t="str">
        <f>IF($AB317="","",IF($AD317,T$3,INDEX('ORDER Form'!$O$1:$O$355,$AB317))&amp;"")</f>
        <v/>
      </c>
      <c r="U317" s="50" t="str">
        <f>IF($AB317="","",IF($AD317,U$3,INDEX('ORDER Form'!$P$1:$P$355,$AB317))&amp;"")</f>
        <v/>
      </c>
      <c r="V317" s="50" t="str">
        <f>IF($AB317="","",IF($AD317,V$3,INDEX('ORDER Form'!$Q$1:$Q$355,$AB317))&amp;"")</f>
        <v/>
      </c>
      <c r="W317" s="50" t="str">
        <f>IF($AB317="","",IF($AD317,W$3,INDEX('ORDER Form'!$R$1:$R$355,$AB317))&amp;"")</f>
        <v/>
      </c>
      <c r="X317" s="50" t="str">
        <f>IF($AB317="","",IF($AD317,X$3,INDEX('ORDER Form'!$S$1:$S$355,$AB317))&amp;"")</f>
        <v/>
      </c>
      <c r="Y317" s="50" t="str">
        <f>IF($AB317="","",IF($AD317,Y$3,INDEX('ORDER Form'!$T$1:$T$355,$AB317))&amp;"")</f>
        <v/>
      </c>
      <c r="Z317" s="50" t="str">
        <f>IF($AB317="","",IF($AD317,Z$3,INDEX('ORDER Form'!$U$1:$U$355,$AB317))&amp;"")</f>
        <v/>
      </c>
      <c r="AB317" s="51" t="str">
        <f>IFERROR(MATCH(313,$AC$5:$AC$354,0)+5,"")</f>
        <v/>
      </c>
      <c r="AC317" s="51" t="str">
        <f>IF('ORDER Form'!$V318="OK",COUNTIF('ORDER Form'!$V$6:$V318,"OK"),"")</f>
        <v/>
      </c>
      <c r="AD317" s="51" t="str">
        <f>IF($AB317="","",(LEN(TRIM(INDEX('ORDER Form'!$O$1:$O$355,$AB317)))+LEN(TRIM(INDEX('ORDER Form'!$P$1:$P$355,$AB317)))+LEN(TRIM(INDEX('ORDER Form'!$Q$1:$Q$355,$AB317)))+LEN(TRIM(INDEX('ORDER Form'!$R$1:$R$355,$AB317)))+LEN(TRIM(INDEX('ORDER Form'!$S$1:$S$355,$AB317)))+LEN(TRIM(INDEX('ORDER Form'!$T$1:$T$355,$AB317)))+LEN(TRIM(INDEX('ORDER Form'!$U$1:$U$355,$AB317))))=0)</f>
        <v/>
      </c>
    </row>
    <row r="318" spans="1:30" ht="15" customHeight="1" x14ac:dyDescent="0.25">
      <c r="A318" s="50" t="str">
        <f>IF($AB318="","",IFERROR(IF(AND(INDEX('ORDER Form'!$N$1:$N$355,$AB318)="GB",LEFT(UPPER(TRIM(INDEX('ORDER Form'!$L$1:$L$355,$AB318))),2)="BT"),INDEX('ORDER Form'!$AC$1:$AC$355,$AB318),IFERROR(VLOOKUP(INDEX('ORDER Form'!$AC$1:$AC$355,$AB318)&amp;"|"&amp;INDEX('PRODUCT DATA'!$A$2:$A$58,MATCH(INDEX('ORDER Form'!$N$1:$N$355,$AB318),'PRODUCT DATA'!$B$2:$B$58,0)),'PRODUCT DATA'!$NO$2:$NP$25,2,FALSE()),INDEX('ORDER Form'!$AC$1:$AC$355,$AB318)))&amp;"",""))</f>
        <v/>
      </c>
      <c r="B318" s="49"/>
      <c r="C318" s="51" t="str">
        <f>IF($AB318="","",INDEX('ORDER Form'!$C$1:$C$355,$AB318))</f>
        <v/>
      </c>
      <c r="D318" s="49"/>
      <c r="E318" s="49"/>
      <c r="F318" s="49"/>
      <c r="G318" s="49"/>
      <c r="H318" s="49"/>
      <c r="I318" s="49"/>
      <c r="J318" s="50" t="str">
        <f>IF($AB318="","",INDEX('ORDER Form'!$D$1:$D$355,$AB318)&amp;"")</f>
        <v/>
      </c>
      <c r="K318" s="50" t="str">
        <f>IF($AB318="","",INDEX('ORDER Form'!$E$1:$E$355,$AB318)&amp;"")</f>
        <v/>
      </c>
      <c r="L318" s="50" t="str">
        <f>IF($AB318="","",INDEX('ORDER Form'!$F$1:$F$355,$AB318)&amp;"")</f>
        <v/>
      </c>
      <c r="M318" s="50" t="str">
        <f>IF($AB318="","",INDEX('ORDER Form'!$G$1:$G$355,$AB318)&amp;"")</f>
        <v/>
      </c>
      <c r="N318" s="50" t="str">
        <f>IF($AB318="","",INDEX('ORDER Form'!$H$1:$H$355,$AB318)&amp;"")</f>
        <v/>
      </c>
      <c r="O318" s="50" t="str">
        <f>IF($AB318="","",INDEX('ORDER Form'!$I$1:$I$355,$AB318)&amp;"")</f>
        <v/>
      </c>
      <c r="P318" s="50" t="str">
        <f>IF($AB318="","",INDEX('ORDER Form'!$J$1:$J$355,$AB318)&amp;"")</f>
        <v/>
      </c>
      <c r="Q318" s="50" t="str">
        <f>IF($AB318="","",INDEX('ORDER Form'!$AB$1:$AB$355,$AB318)&amp;"")</f>
        <v/>
      </c>
      <c r="R318" s="50" t="str">
        <f>IF($AB318="","",INDEX('ORDER Form'!$L$1:$L$355,$AB318)&amp;"")</f>
        <v/>
      </c>
      <c r="S318" s="50" t="str">
        <f>IF($AB318="","",INDEX('ORDER Form'!$N$1:$N$355,$AB318)&amp;"")</f>
        <v/>
      </c>
      <c r="T318" s="50" t="str">
        <f>IF($AB318="","",IF($AD318,T$3,INDEX('ORDER Form'!$O$1:$O$355,$AB318))&amp;"")</f>
        <v/>
      </c>
      <c r="U318" s="50" t="str">
        <f>IF($AB318="","",IF($AD318,U$3,INDEX('ORDER Form'!$P$1:$P$355,$AB318))&amp;"")</f>
        <v/>
      </c>
      <c r="V318" s="50" t="str">
        <f>IF($AB318="","",IF($AD318,V$3,INDEX('ORDER Form'!$Q$1:$Q$355,$AB318))&amp;"")</f>
        <v/>
      </c>
      <c r="W318" s="50" t="str">
        <f>IF($AB318="","",IF($AD318,W$3,INDEX('ORDER Form'!$R$1:$R$355,$AB318))&amp;"")</f>
        <v/>
      </c>
      <c r="X318" s="50" t="str">
        <f>IF($AB318="","",IF($AD318,X$3,INDEX('ORDER Form'!$S$1:$S$355,$AB318))&amp;"")</f>
        <v/>
      </c>
      <c r="Y318" s="50" t="str">
        <f>IF($AB318="","",IF($AD318,Y$3,INDEX('ORDER Form'!$T$1:$T$355,$AB318))&amp;"")</f>
        <v/>
      </c>
      <c r="Z318" s="50" t="str">
        <f>IF($AB318="","",IF($AD318,Z$3,INDEX('ORDER Form'!$U$1:$U$355,$AB318))&amp;"")</f>
        <v/>
      </c>
      <c r="AB318" s="51" t="str">
        <f>IFERROR(MATCH(314,$AC$5:$AC$354,0)+5,"")</f>
        <v/>
      </c>
      <c r="AC318" s="51" t="str">
        <f>IF('ORDER Form'!$V319="OK",COUNTIF('ORDER Form'!$V$6:$V319,"OK"),"")</f>
        <v/>
      </c>
      <c r="AD318" s="51" t="str">
        <f>IF($AB318="","",(LEN(TRIM(INDEX('ORDER Form'!$O$1:$O$355,$AB318)))+LEN(TRIM(INDEX('ORDER Form'!$P$1:$P$355,$AB318)))+LEN(TRIM(INDEX('ORDER Form'!$Q$1:$Q$355,$AB318)))+LEN(TRIM(INDEX('ORDER Form'!$R$1:$R$355,$AB318)))+LEN(TRIM(INDEX('ORDER Form'!$S$1:$S$355,$AB318)))+LEN(TRIM(INDEX('ORDER Form'!$T$1:$T$355,$AB318)))+LEN(TRIM(INDEX('ORDER Form'!$U$1:$U$355,$AB318))))=0)</f>
        <v/>
      </c>
    </row>
    <row r="319" spans="1:30" ht="15" customHeight="1" x14ac:dyDescent="0.25">
      <c r="A319" s="50" t="str">
        <f>IF($AB319="","",IFERROR(IF(AND(INDEX('ORDER Form'!$N$1:$N$355,$AB319)="GB",LEFT(UPPER(TRIM(INDEX('ORDER Form'!$L$1:$L$355,$AB319))),2)="BT"),INDEX('ORDER Form'!$AC$1:$AC$355,$AB319),IFERROR(VLOOKUP(INDEX('ORDER Form'!$AC$1:$AC$355,$AB319)&amp;"|"&amp;INDEX('PRODUCT DATA'!$A$2:$A$58,MATCH(INDEX('ORDER Form'!$N$1:$N$355,$AB319),'PRODUCT DATA'!$B$2:$B$58,0)),'PRODUCT DATA'!$NO$2:$NP$25,2,FALSE()),INDEX('ORDER Form'!$AC$1:$AC$355,$AB319)))&amp;"",""))</f>
        <v/>
      </c>
      <c r="B319" s="49"/>
      <c r="C319" s="51" t="str">
        <f>IF($AB319="","",INDEX('ORDER Form'!$C$1:$C$355,$AB319))</f>
        <v/>
      </c>
      <c r="D319" s="49"/>
      <c r="E319" s="49"/>
      <c r="F319" s="49"/>
      <c r="G319" s="49"/>
      <c r="H319" s="49"/>
      <c r="I319" s="49"/>
      <c r="J319" s="50" t="str">
        <f>IF($AB319="","",INDEX('ORDER Form'!$D$1:$D$355,$AB319)&amp;"")</f>
        <v/>
      </c>
      <c r="K319" s="50" t="str">
        <f>IF($AB319="","",INDEX('ORDER Form'!$E$1:$E$355,$AB319)&amp;"")</f>
        <v/>
      </c>
      <c r="L319" s="50" t="str">
        <f>IF($AB319="","",INDEX('ORDER Form'!$F$1:$F$355,$AB319)&amp;"")</f>
        <v/>
      </c>
      <c r="M319" s="50" t="str">
        <f>IF($AB319="","",INDEX('ORDER Form'!$G$1:$G$355,$AB319)&amp;"")</f>
        <v/>
      </c>
      <c r="N319" s="50" t="str">
        <f>IF($AB319="","",INDEX('ORDER Form'!$H$1:$H$355,$AB319)&amp;"")</f>
        <v/>
      </c>
      <c r="O319" s="50" t="str">
        <f>IF($AB319="","",INDEX('ORDER Form'!$I$1:$I$355,$AB319)&amp;"")</f>
        <v/>
      </c>
      <c r="P319" s="50" t="str">
        <f>IF($AB319="","",INDEX('ORDER Form'!$J$1:$J$355,$AB319)&amp;"")</f>
        <v/>
      </c>
      <c r="Q319" s="50" t="str">
        <f>IF($AB319="","",INDEX('ORDER Form'!$AB$1:$AB$355,$AB319)&amp;"")</f>
        <v/>
      </c>
      <c r="R319" s="50" t="str">
        <f>IF($AB319="","",INDEX('ORDER Form'!$L$1:$L$355,$AB319)&amp;"")</f>
        <v/>
      </c>
      <c r="S319" s="50" t="str">
        <f>IF($AB319="","",INDEX('ORDER Form'!$N$1:$N$355,$AB319)&amp;"")</f>
        <v/>
      </c>
      <c r="T319" s="50" t="str">
        <f>IF($AB319="","",IF($AD319,T$3,INDEX('ORDER Form'!$O$1:$O$355,$AB319))&amp;"")</f>
        <v/>
      </c>
      <c r="U319" s="50" t="str">
        <f>IF($AB319="","",IF($AD319,U$3,INDEX('ORDER Form'!$P$1:$P$355,$AB319))&amp;"")</f>
        <v/>
      </c>
      <c r="V319" s="50" t="str">
        <f>IF($AB319="","",IF($AD319,V$3,INDEX('ORDER Form'!$Q$1:$Q$355,$AB319))&amp;"")</f>
        <v/>
      </c>
      <c r="W319" s="50" t="str">
        <f>IF($AB319="","",IF($AD319,W$3,INDEX('ORDER Form'!$R$1:$R$355,$AB319))&amp;"")</f>
        <v/>
      </c>
      <c r="X319" s="50" t="str">
        <f>IF($AB319="","",IF($AD319,X$3,INDEX('ORDER Form'!$S$1:$S$355,$AB319))&amp;"")</f>
        <v/>
      </c>
      <c r="Y319" s="50" t="str">
        <f>IF($AB319="","",IF($AD319,Y$3,INDEX('ORDER Form'!$T$1:$T$355,$AB319))&amp;"")</f>
        <v/>
      </c>
      <c r="Z319" s="50" t="str">
        <f>IF($AB319="","",IF($AD319,Z$3,INDEX('ORDER Form'!$U$1:$U$355,$AB319))&amp;"")</f>
        <v/>
      </c>
      <c r="AB319" s="51" t="str">
        <f>IFERROR(MATCH(315,$AC$5:$AC$354,0)+5,"")</f>
        <v/>
      </c>
      <c r="AC319" s="51" t="str">
        <f>IF('ORDER Form'!$V320="OK",COUNTIF('ORDER Form'!$V$6:$V320,"OK"),"")</f>
        <v/>
      </c>
      <c r="AD319" s="51" t="str">
        <f>IF($AB319="","",(LEN(TRIM(INDEX('ORDER Form'!$O$1:$O$355,$AB319)))+LEN(TRIM(INDEX('ORDER Form'!$P$1:$P$355,$AB319)))+LEN(TRIM(INDEX('ORDER Form'!$Q$1:$Q$355,$AB319)))+LEN(TRIM(INDEX('ORDER Form'!$R$1:$R$355,$AB319)))+LEN(TRIM(INDEX('ORDER Form'!$S$1:$S$355,$AB319)))+LEN(TRIM(INDEX('ORDER Form'!$T$1:$T$355,$AB319)))+LEN(TRIM(INDEX('ORDER Form'!$U$1:$U$355,$AB319))))=0)</f>
        <v/>
      </c>
    </row>
    <row r="320" spans="1:30" ht="15" customHeight="1" x14ac:dyDescent="0.25">
      <c r="A320" s="50" t="str">
        <f>IF($AB320="","",IFERROR(IF(AND(INDEX('ORDER Form'!$N$1:$N$355,$AB320)="GB",LEFT(UPPER(TRIM(INDEX('ORDER Form'!$L$1:$L$355,$AB320))),2)="BT"),INDEX('ORDER Form'!$AC$1:$AC$355,$AB320),IFERROR(VLOOKUP(INDEX('ORDER Form'!$AC$1:$AC$355,$AB320)&amp;"|"&amp;INDEX('PRODUCT DATA'!$A$2:$A$58,MATCH(INDEX('ORDER Form'!$N$1:$N$355,$AB320),'PRODUCT DATA'!$B$2:$B$58,0)),'PRODUCT DATA'!$NO$2:$NP$25,2,FALSE()),INDEX('ORDER Form'!$AC$1:$AC$355,$AB320)))&amp;"",""))</f>
        <v/>
      </c>
      <c r="B320" s="49"/>
      <c r="C320" s="51" t="str">
        <f>IF($AB320="","",INDEX('ORDER Form'!$C$1:$C$355,$AB320))</f>
        <v/>
      </c>
      <c r="D320" s="49"/>
      <c r="E320" s="49"/>
      <c r="F320" s="49"/>
      <c r="G320" s="49"/>
      <c r="H320" s="49"/>
      <c r="I320" s="49"/>
      <c r="J320" s="50" t="str">
        <f>IF($AB320="","",INDEX('ORDER Form'!$D$1:$D$355,$AB320)&amp;"")</f>
        <v/>
      </c>
      <c r="K320" s="50" t="str">
        <f>IF($AB320="","",INDEX('ORDER Form'!$E$1:$E$355,$AB320)&amp;"")</f>
        <v/>
      </c>
      <c r="L320" s="50" t="str">
        <f>IF($AB320="","",INDEX('ORDER Form'!$F$1:$F$355,$AB320)&amp;"")</f>
        <v/>
      </c>
      <c r="M320" s="50" t="str">
        <f>IF($AB320="","",INDEX('ORDER Form'!$G$1:$G$355,$AB320)&amp;"")</f>
        <v/>
      </c>
      <c r="N320" s="50" t="str">
        <f>IF($AB320="","",INDEX('ORDER Form'!$H$1:$H$355,$AB320)&amp;"")</f>
        <v/>
      </c>
      <c r="O320" s="50" t="str">
        <f>IF($AB320="","",INDEX('ORDER Form'!$I$1:$I$355,$AB320)&amp;"")</f>
        <v/>
      </c>
      <c r="P320" s="50" t="str">
        <f>IF($AB320="","",INDEX('ORDER Form'!$J$1:$J$355,$AB320)&amp;"")</f>
        <v/>
      </c>
      <c r="Q320" s="50" t="str">
        <f>IF($AB320="","",INDEX('ORDER Form'!$AB$1:$AB$355,$AB320)&amp;"")</f>
        <v/>
      </c>
      <c r="R320" s="50" t="str">
        <f>IF($AB320="","",INDEX('ORDER Form'!$L$1:$L$355,$AB320)&amp;"")</f>
        <v/>
      </c>
      <c r="S320" s="50" t="str">
        <f>IF($AB320="","",INDEX('ORDER Form'!$N$1:$N$355,$AB320)&amp;"")</f>
        <v/>
      </c>
      <c r="T320" s="50" t="str">
        <f>IF($AB320="","",IF($AD320,T$3,INDEX('ORDER Form'!$O$1:$O$355,$AB320))&amp;"")</f>
        <v/>
      </c>
      <c r="U320" s="50" t="str">
        <f>IF($AB320="","",IF($AD320,U$3,INDEX('ORDER Form'!$P$1:$P$355,$AB320))&amp;"")</f>
        <v/>
      </c>
      <c r="V320" s="50" t="str">
        <f>IF($AB320="","",IF($AD320,V$3,INDEX('ORDER Form'!$Q$1:$Q$355,$AB320))&amp;"")</f>
        <v/>
      </c>
      <c r="W320" s="50" t="str">
        <f>IF($AB320="","",IF($AD320,W$3,INDEX('ORDER Form'!$R$1:$R$355,$AB320))&amp;"")</f>
        <v/>
      </c>
      <c r="X320" s="50" t="str">
        <f>IF($AB320="","",IF($AD320,X$3,INDEX('ORDER Form'!$S$1:$S$355,$AB320))&amp;"")</f>
        <v/>
      </c>
      <c r="Y320" s="50" t="str">
        <f>IF($AB320="","",IF($AD320,Y$3,INDEX('ORDER Form'!$T$1:$T$355,$AB320))&amp;"")</f>
        <v/>
      </c>
      <c r="Z320" s="50" t="str">
        <f>IF($AB320="","",IF($AD320,Z$3,INDEX('ORDER Form'!$U$1:$U$355,$AB320))&amp;"")</f>
        <v/>
      </c>
      <c r="AB320" s="51" t="str">
        <f>IFERROR(MATCH(316,$AC$5:$AC$354,0)+5,"")</f>
        <v/>
      </c>
      <c r="AC320" s="51" t="str">
        <f>IF('ORDER Form'!$V321="OK",COUNTIF('ORDER Form'!$V$6:$V321,"OK"),"")</f>
        <v/>
      </c>
      <c r="AD320" s="51" t="str">
        <f>IF($AB320="","",(LEN(TRIM(INDEX('ORDER Form'!$O$1:$O$355,$AB320)))+LEN(TRIM(INDEX('ORDER Form'!$P$1:$P$355,$AB320)))+LEN(TRIM(INDEX('ORDER Form'!$Q$1:$Q$355,$AB320)))+LEN(TRIM(INDEX('ORDER Form'!$R$1:$R$355,$AB320)))+LEN(TRIM(INDEX('ORDER Form'!$S$1:$S$355,$AB320)))+LEN(TRIM(INDEX('ORDER Form'!$T$1:$T$355,$AB320)))+LEN(TRIM(INDEX('ORDER Form'!$U$1:$U$355,$AB320))))=0)</f>
        <v/>
      </c>
    </row>
    <row r="321" spans="1:30" ht="15" customHeight="1" x14ac:dyDescent="0.25">
      <c r="A321" s="50" t="str">
        <f>IF($AB321="","",IFERROR(IF(AND(INDEX('ORDER Form'!$N$1:$N$355,$AB321)="GB",LEFT(UPPER(TRIM(INDEX('ORDER Form'!$L$1:$L$355,$AB321))),2)="BT"),INDEX('ORDER Form'!$AC$1:$AC$355,$AB321),IFERROR(VLOOKUP(INDEX('ORDER Form'!$AC$1:$AC$355,$AB321)&amp;"|"&amp;INDEX('PRODUCT DATA'!$A$2:$A$58,MATCH(INDEX('ORDER Form'!$N$1:$N$355,$AB321),'PRODUCT DATA'!$B$2:$B$58,0)),'PRODUCT DATA'!$NO$2:$NP$25,2,FALSE()),INDEX('ORDER Form'!$AC$1:$AC$355,$AB321)))&amp;"",""))</f>
        <v/>
      </c>
      <c r="B321" s="49"/>
      <c r="C321" s="51" t="str">
        <f>IF($AB321="","",INDEX('ORDER Form'!$C$1:$C$355,$AB321))</f>
        <v/>
      </c>
      <c r="D321" s="49"/>
      <c r="E321" s="49"/>
      <c r="F321" s="49"/>
      <c r="G321" s="49"/>
      <c r="H321" s="49"/>
      <c r="I321" s="49"/>
      <c r="J321" s="50" t="str">
        <f>IF($AB321="","",INDEX('ORDER Form'!$D$1:$D$355,$AB321)&amp;"")</f>
        <v/>
      </c>
      <c r="K321" s="50" t="str">
        <f>IF($AB321="","",INDEX('ORDER Form'!$E$1:$E$355,$AB321)&amp;"")</f>
        <v/>
      </c>
      <c r="L321" s="50" t="str">
        <f>IF($AB321="","",INDEX('ORDER Form'!$F$1:$F$355,$AB321)&amp;"")</f>
        <v/>
      </c>
      <c r="M321" s="50" t="str">
        <f>IF($AB321="","",INDEX('ORDER Form'!$G$1:$G$355,$AB321)&amp;"")</f>
        <v/>
      </c>
      <c r="N321" s="50" t="str">
        <f>IF($AB321="","",INDEX('ORDER Form'!$H$1:$H$355,$AB321)&amp;"")</f>
        <v/>
      </c>
      <c r="O321" s="50" t="str">
        <f>IF($AB321="","",INDEX('ORDER Form'!$I$1:$I$355,$AB321)&amp;"")</f>
        <v/>
      </c>
      <c r="P321" s="50" t="str">
        <f>IF($AB321="","",INDEX('ORDER Form'!$J$1:$J$355,$AB321)&amp;"")</f>
        <v/>
      </c>
      <c r="Q321" s="50" t="str">
        <f>IF($AB321="","",INDEX('ORDER Form'!$AB$1:$AB$355,$AB321)&amp;"")</f>
        <v/>
      </c>
      <c r="R321" s="50" t="str">
        <f>IF($AB321="","",INDEX('ORDER Form'!$L$1:$L$355,$AB321)&amp;"")</f>
        <v/>
      </c>
      <c r="S321" s="50" t="str">
        <f>IF($AB321="","",INDEX('ORDER Form'!$N$1:$N$355,$AB321)&amp;"")</f>
        <v/>
      </c>
      <c r="T321" s="50" t="str">
        <f>IF($AB321="","",IF($AD321,T$3,INDEX('ORDER Form'!$O$1:$O$355,$AB321))&amp;"")</f>
        <v/>
      </c>
      <c r="U321" s="50" t="str">
        <f>IF($AB321="","",IF($AD321,U$3,INDEX('ORDER Form'!$P$1:$P$355,$AB321))&amp;"")</f>
        <v/>
      </c>
      <c r="V321" s="50" t="str">
        <f>IF($AB321="","",IF($AD321,V$3,INDEX('ORDER Form'!$Q$1:$Q$355,$AB321))&amp;"")</f>
        <v/>
      </c>
      <c r="W321" s="50" t="str">
        <f>IF($AB321="","",IF($AD321,W$3,INDEX('ORDER Form'!$R$1:$R$355,$AB321))&amp;"")</f>
        <v/>
      </c>
      <c r="X321" s="50" t="str">
        <f>IF($AB321="","",IF($AD321,X$3,INDEX('ORDER Form'!$S$1:$S$355,$AB321))&amp;"")</f>
        <v/>
      </c>
      <c r="Y321" s="50" t="str">
        <f>IF($AB321="","",IF($AD321,Y$3,INDEX('ORDER Form'!$T$1:$T$355,$AB321))&amp;"")</f>
        <v/>
      </c>
      <c r="Z321" s="50" t="str">
        <f>IF($AB321="","",IF($AD321,Z$3,INDEX('ORDER Form'!$U$1:$U$355,$AB321))&amp;"")</f>
        <v/>
      </c>
      <c r="AB321" s="51" t="str">
        <f>IFERROR(MATCH(317,$AC$5:$AC$354,0)+5,"")</f>
        <v/>
      </c>
      <c r="AC321" s="51" t="str">
        <f>IF('ORDER Form'!$V322="OK",COUNTIF('ORDER Form'!$V$6:$V322,"OK"),"")</f>
        <v/>
      </c>
      <c r="AD321" s="51" t="str">
        <f>IF($AB321="","",(LEN(TRIM(INDEX('ORDER Form'!$O$1:$O$355,$AB321)))+LEN(TRIM(INDEX('ORDER Form'!$P$1:$P$355,$AB321)))+LEN(TRIM(INDEX('ORDER Form'!$Q$1:$Q$355,$AB321)))+LEN(TRIM(INDEX('ORDER Form'!$R$1:$R$355,$AB321)))+LEN(TRIM(INDEX('ORDER Form'!$S$1:$S$355,$AB321)))+LEN(TRIM(INDEX('ORDER Form'!$T$1:$T$355,$AB321)))+LEN(TRIM(INDEX('ORDER Form'!$U$1:$U$355,$AB321))))=0)</f>
        <v/>
      </c>
    </row>
    <row r="322" spans="1:30" ht="15" customHeight="1" x14ac:dyDescent="0.25">
      <c r="A322" s="50" t="str">
        <f>IF($AB322="","",IFERROR(IF(AND(INDEX('ORDER Form'!$N$1:$N$355,$AB322)="GB",LEFT(UPPER(TRIM(INDEX('ORDER Form'!$L$1:$L$355,$AB322))),2)="BT"),INDEX('ORDER Form'!$AC$1:$AC$355,$AB322),IFERROR(VLOOKUP(INDEX('ORDER Form'!$AC$1:$AC$355,$AB322)&amp;"|"&amp;INDEX('PRODUCT DATA'!$A$2:$A$58,MATCH(INDEX('ORDER Form'!$N$1:$N$355,$AB322),'PRODUCT DATA'!$B$2:$B$58,0)),'PRODUCT DATA'!$NO$2:$NP$25,2,FALSE()),INDEX('ORDER Form'!$AC$1:$AC$355,$AB322)))&amp;"",""))</f>
        <v/>
      </c>
      <c r="B322" s="49"/>
      <c r="C322" s="51" t="str">
        <f>IF($AB322="","",INDEX('ORDER Form'!$C$1:$C$355,$AB322))</f>
        <v/>
      </c>
      <c r="D322" s="49"/>
      <c r="E322" s="49"/>
      <c r="F322" s="49"/>
      <c r="G322" s="49"/>
      <c r="H322" s="49"/>
      <c r="I322" s="49"/>
      <c r="J322" s="50" t="str">
        <f>IF($AB322="","",INDEX('ORDER Form'!$D$1:$D$355,$AB322)&amp;"")</f>
        <v/>
      </c>
      <c r="K322" s="50" t="str">
        <f>IF($AB322="","",INDEX('ORDER Form'!$E$1:$E$355,$AB322)&amp;"")</f>
        <v/>
      </c>
      <c r="L322" s="50" t="str">
        <f>IF($AB322="","",INDEX('ORDER Form'!$F$1:$F$355,$AB322)&amp;"")</f>
        <v/>
      </c>
      <c r="M322" s="50" t="str">
        <f>IF($AB322="","",INDEX('ORDER Form'!$G$1:$G$355,$AB322)&amp;"")</f>
        <v/>
      </c>
      <c r="N322" s="50" t="str">
        <f>IF($AB322="","",INDEX('ORDER Form'!$H$1:$H$355,$AB322)&amp;"")</f>
        <v/>
      </c>
      <c r="O322" s="50" t="str">
        <f>IF($AB322="","",INDEX('ORDER Form'!$I$1:$I$355,$AB322)&amp;"")</f>
        <v/>
      </c>
      <c r="P322" s="50" t="str">
        <f>IF($AB322="","",INDEX('ORDER Form'!$J$1:$J$355,$AB322)&amp;"")</f>
        <v/>
      </c>
      <c r="Q322" s="50" t="str">
        <f>IF($AB322="","",INDEX('ORDER Form'!$AB$1:$AB$355,$AB322)&amp;"")</f>
        <v/>
      </c>
      <c r="R322" s="50" t="str">
        <f>IF($AB322="","",INDEX('ORDER Form'!$L$1:$L$355,$AB322)&amp;"")</f>
        <v/>
      </c>
      <c r="S322" s="50" t="str">
        <f>IF($AB322="","",INDEX('ORDER Form'!$N$1:$N$355,$AB322)&amp;"")</f>
        <v/>
      </c>
      <c r="T322" s="50" t="str">
        <f>IF($AB322="","",IF($AD322,T$3,INDEX('ORDER Form'!$O$1:$O$355,$AB322))&amp;"")</f>
        <v/>
      </c>
      <c r="U322" s="50" t="str">
        <f>IF($AB322="","",IF($AD322,U$3,INDEX('ORDER Form'!$P$1:$P$355,$AB322))&amp;"")</f>
        <v/>
      </c>
      <c r="V322" s="50" t="str">
        <f>IF($AB322="","",IF($AD322,V$3,INDEX('ORDER Form'!$Q$1:$Q$355,$AB322))&amp;"")</f>
        <v/>
      </c>
      <c r="W322" s="50" t="str">
        <f>IF($AB322="","",IF($AD322,W$3,INDEX('ORDER Form'!$R$1:$R$355,$AB322))&amp;"")</f>
        <v/>
      </c>
      <c r="X322" s="50" t="str">
        <f>IF($AB322="","",IF($AD322,X$3,INDEX('ORDER Form'!$S$1:$S$355,$AB322))&amp;"")</f>
        <v/>
      </c>
      <c r="Y322" s="50" t="str">
        <f>IF($AB322="","",IF($AD322,Y$3,INDEX('ORDER Form'!$T$1:$T$355,$AB322))&amp;"")</f>
        <v/>
      </c>
      <c r="Z322" s="50" t="str">
        <f>IF($AB322="","",IF($AD322,Z$3,INDEX('ORDER Form'!$U$1:$U$355,$AB322))&amp;"")</f>
        <v/>
      </c>
      <c r="AB322" s="51" t="str">
        <f>IFERROR(MATCH(318,$AC$5:$AC$354,0)+5,"")</f>
        <v/>
      </c>
      <c r="AC322" s="51" t="str">
        <f>IF('ORDER Form'!$V323="OK",COUNTIF('ORDER Form'!$V$6:$V323,"OK"),"")</f>
        <v/>
      </c>
      <c r="AD322" s="51" t="str">
        <f>IF($AB322="","",(LEN(TRIM(INDEX('ORDER Form'!$O$1:$O$355,$AB322)))+LEN(TRIM(INDEX('ORDER Form'!$P$1:$P$355,$AB322)))+LEN(TRIM(INDEX('ORDER Form'!$Q$1:$Q$355,$AB322)))+LEN(TRIM(INDEX('ORDER Form'!$R$1:$R$355,$AB322)))+LEN(TRIM(INDEX('ORDER Form'!$S$1:$S$355,$AB322)))+LEN(TRIM(INDEX('ORDER Form'!$T$1:$T$355,$AB322)))+LEN(TRIM(INDEX('ORDER Form'!$U$1:$U$355,$AB322))))=0)</f>
        <v/>
      </c>
    </row>
    <row r="323" spans="1:30" ht="15" customHeight="1" x14ac:dyDescent="0.25">
      <c r="A323" s="50" t="str">
        <f>IF($AB323="","",IFERROR(IF(AND(INDEX('ORDER Form'!$N$1:$N$355,$AB323)="GB",LEFT(UPPER(TRIM(INDEX('ORDER Form'!$L$1:$L$355,$AB323))),2)="BT"),INDEX('ORDER Form'!$AC$1:$AC$355,$AB323),IFERROR(VLOOKUP(INDEX('ORDER Form'!$AC$1:$AC$355,$AB323)&amp;"|"&amp;INDEX('PRODUCT DATA'!$A$2:$A$58,MATCH(INDEX('ORDER Form'!$N$1:$N$355,$AB323),'PRODUCT DATA'!$B$2:$B$58,0)),'PRODUCT DATA'!$NO$2:$NP$25,2,FALSE()),INDEX('ORDER Form'!$AC$1:$AC$355,$AB323)))&amp;"",""))</f>
        <v/>
      </c>
      <c r="B323" s="49"/>
      <c r="C323" s="51" t="str">
        <f>IF($AB323="","",INDEX('ORDER Form'!$C$1:$C$355,$AB323))</f>
        <v/>
      </c>
      <c r="D323" s="49"/>
      <c r="E323" s="49"/>
      <c r="F323" s="49"/>
      <c r="G323" s="49"/>
      <c r="H323" s="49"/>
      <c r="I323" s="49"/>
      <c r="J323" s="50" t="str">
        <f>IF($AB323="","",INDEX('ORDER Form'!$D$1:$D$355,$AB323)&amp;"")</f>
        <v/>
      </c>
      <c r="K323" s="50" t="str">
        <f>IF($AB323="","",INDEX('ORDER Form'!$E$1:$E$355,$AB323)&amp;"")</f>
        <v/>
      </c>
      <c r="L323" s="50" t="str">
        <f>IF($AB323="","",INDEX('ORDER Form'!$F$1:$F$355,$AB323)&amp;"")</f>
        <v/>
      </c>
      <c r="M323" s="50" t="str">
        <f>IF($AB323="","",INDEX('ORDER Form'!$G$1:$G$355,$AB323)&amp;"")</f>
        <v/>
      </c>
      <c r="N323" s="50" t="str">
        <f>IF($AB323="","",INDEX('ORDER Form'!$H$1:$H$355,$AB323)&amp;"")</f>
        <v/>
      </c>
      <c r="O323" s="50" t="str">
        <f>IF($AB323="","",INDEX('ORDER Form'!$I$1:$I$355,$AB323)&amp;"")</f>
        <v/>
      </c>
      <c r="P323" s="50" t="str">
        <f>IF($AB323="","",INDEX('ORDER Form'!$J$1:$J$355,$AB323)&amp;"")</f>
        <v/>
      </c>
      <c r="Q323" s="50" t="str">
        <f>IF($AB323="","",INDEX('ORDER Form'!$AB$1:$AB$355,$AB323)&amp;"")</f>
        <v/>
      </c>
      <c r="R323" s="50" t="str">
        <f>IF($AB323="","",INDEX('ORDER Form'!$L$1:$L$355,$AB323)&amp;"")</f>
        <v/>
      </c>
      <c r="S323" s="50" t="str">
        <f>IF($AB323="","",INDEX('ORDER Form'!$N$1:$N$355,$AB323)&amp;"")</f>
        <v/>
      </c>
      <c r="T323" s="50" t="str">
        <f>IF($AB323="","",IF($AD323,T$3,INDEX('ORDER Form'!$O$1:$O$355,$AB323))&amp;"")</f>
        <v/>
      </c>
      <c r="U323" s="50" t="str">
        <f>IF($AB323="","",IF($AD323,U$3,INDEX('ORDER Form'!$P$1:$P$355,$AB323))&amp;"")</f>
        <v/>
      </c>
      <c r="V323" s="50" t="str">
        <f>IF($AB323="","",IF($AD323,V$3,INDEX('ORDER Form'!$Q$1:$Q$355,$AB323))&amp;"")</f>
        <v/>
      </c>
      <c r="W323" s="50" t="str">
        <f>IF($AB323="","",IF($AD323,W$3,INDEX('ORDER Form'!$R$1:$R$355,$AB323))&amp;"")</f>
        <v/>
      </c>
      <c r="X323" s="50" t="str">
        <f>IF($AB323="","",IF($AD323,X$3,INDEX('ORDER Form'!$S$1:$S$355,$AB323))&amp;"")</f>
        <v/>
      </c>
      <c r="Y323" s="50" t="str">
        <f>IF($AB323="","",IF($AD323,Y$3,INDEX('ORDER Form'!$T$1:$T$355,$AB323))&amp;"")</f>
        <v/>
      </c>
      <c r="Z323" s="50" t="str">
        <f>IF($AB323="","",IF($AD323,Z$3,INDEX('ORDER Form'!$U$1:$U$355,$AB323))&amp;"")</f>
        <v/>
      </c>
      <c r="AB323" s="51" t="str">
        <f>IFERROR(MATCH(319,$AC$5:$AC$354,0)+5,"")</f>
        <v/>
      </c>
      <c r="AC323" s="51" t="str">
        <f>IF('ORDER Form'!$V324="OK",COUNTIF('ORDER Form'!$V$6:$V324,"OK"),"")</f>
        <v/>
      </c>
      <c r="AD323" s="51" t="str">
        <f>IF($AB323="","",(LEN(TRIM(INDEX('ORDER Form'!$O$1:$O$355,$AB323)))+LEN(TRIM(INDEX('ORDER Form'!$P$1:$P$355,$AB323)))+LEN(TRIM(INDEX('ORDER Form'!$Q$1:$Q$355,$AB323)))+LEN(TRIM(INDEX('ORDER Form'!$R$1:$R$355,$AB323)))+LEN(TRIM(INDEX('ORDER Form'!$S$1:$S$355,$AB323)))+LEN(TRIM(INDEX('ORDER Form'!$T$1:$T$355,$AB323)))+LEN(TRIM(INDEX('ORDER Form'!$U$1:$U$355,$AB323))))=0)</f>
        <v/>
      </c>
    </row>
    <row r="324" spans="1:30" ht="15" customHeight="1" x14ac:dyDescent="0.25">
      <c r="A324" s="50" t="str">
        <f>IF($AB324="","",IFERROR(IF(AND(INDEX('ORDER Form'!$N$1:$N$355,$AB324)="GB",LEFT(UPPER(TRIM(INDEX('ORDER Form'!$L$1:$L$355,$AB324))),2)="BT"),INDEX('ORDER Form'!$AC$1:$AC$355,$AB324),IFERROR(VLOOKUP(INDEX('ORDER Form'!$AC$1:$AC$355,$AB324)&amp;"|"&amp;INDEX('PRODUCT DATA'!$A$2:$A$58,MATCH(INDEX('ORDER Form'!$N$1:$N$355,$AB324),'PRODUCT DATA'!$B$2:$B$58,0)),'PRODUCT DATA'!$NO$2:$NP$25,2,FALSE()),INDEX('ORDER Form'!$AC$1:$AC$355,$AB324)))&amp;"",""))</f>
        <v/>
      </c>
      <c r="B324" s="49"/>
      <c r="C324" s="51" t="str">
        <f>IF($AB324="","",INDEX('ORDER Form'!$C$1:$C$355,$AB324))</f>
        <v/>
      </c>
      <c r="D324" s="49"/>
      <c r="E324" s="49"/>
      <c r="F324" s="49"/>
      <c r="G324" s="49"/>
      <c r="H324" s="49"/>
      <c r="I324" s="49"/>
      <c r="J324" s="50" t="str">
        <f>IF($AB324="","",INDEX('ORDER Form'!$D$1:$D$355,$AB324)&amp;"")</f>
        <v/>
      </c>
      <c r="K324" s="50" t="str">
        <f>IF($AB324="","",INDEX('ORDER Form'!$E$1:$E$355,$AB324)&amp;"")</f>
        <v/>
      </c>
      <c r="L324" s="50" t="str">
        <f>IF($AB324="","",INDEX('ORDER Form'!$F$1:$F$355,$AB324)&amp;"")</f>
        <v/>
      </c>
      <c r="M324" s="50" t="str">
        <f>IF($AB324="","",INDEX('ORDER Form'!$G$1:$G$355,$AB324)&amp;"")</f>
        <v/>
      </c>
      <c r="N324" s="50" t="str">
        <f>IF($AB324="","",INDEX('ORDER Form'!$H$1:$H$355,$AB324)&amp;"")</f>
        <v/>
      </c>
      <c r="O324" s="50" t="str">
        <f>IF($AB324="","",INDEX('ORDER Form'!$I$1:$I$355,$AB324)&amp;"")</f>
        <v/>
      </c>
      <c r="P324" s="50" t="str">
        <f>IF($AB324="","",INDEX('ORDER Form'!$J$1:$J$355,$AB324)&amp;"")</f>
        <v/>
      </c>
      <c r="Q324" s="50" t="str">
        <f>IF($AB324="","",INDEX('ORDER Form'!$AB$1:$AB$355,$AB324)&amp;"")</f>
        <v/>
      </c>
      <c r="R324" s="50" t="str">
        <f>IF($AB324="","",INDEX('ORDER Form'!$L$1:$L$355,$AB324)&amp;"")</f>
        <v/>
      </c>
      <c r="S324" s="50" t="str">
        <f>IF($AB324="","",INDEX('ORDER Form'!$N$1:$N$355,$AB324)&amp;"")</f>
        <v/>
      </c>
      <c r="T324" s="50" t="str">
        <f>IF($AB324="","",IF($AD324,T$3,INDEX('ORDER Form'!$O$1:$O$355,$AB324))&amp;"")</f>
        <v/>
      </c>
      <c r="U324" s="50" t="str">
        <f>IF($AB324="","",IF($AD324,U$3,INDEX('ORDER Form'!$P$1:$P$355,$AB324))&amp;"")</f>
        <v/>
      </c>
      <c r="V324" s="50" t="str">
        <f>IF($AB324="","",IF($AD324,V$3,INDEX('ORDER Form'!$Q$1:$Q$355,$AB324))&amp;"")</f>
        <v/>
      </c>
      <c r="W324" s="50" t="str">
        <f>IF($AB324="","",IF($AD324,W$3,INDEX('ORDER Form'!$R$1:$R$355,$AB324))&amp;"")</f>
        <v/>
      </c>
      <c r="X324" s="50" t="str">
        <f>IF($AB324="","",IF($AD324,X$3,INDEX('ORDER Form'!$S$1:$S$355,$AB324))&amp;"")</f>
        <v/>
      </c>
      <c r="Y324" s="50" t="str">
        <f>IF($AB324="","",IF($AD324,Y$3,INDEX('ORDER Form'!$T$1:$T$355,$AB324))&amp;"")</f>
        <v/>
      </c>
      <c r="Z324" s="50" t="str">
        <f>IF($AB324="","",IF($AD324,Z$3,INDEX('ORDER Form'!$U$1:$U$355,$AB324))&amp;"")</f>
        <v/>
      </c>
      <c r="AB324" s="51" t="str">
        <f>IFERROR(MATCH(320,$AC$5:$AC$354,0)+5,"")</f>
        <v/>
      </c>
      <c r="AC324" s="51" t="str">
        <f>IF('ORDER Form'!$V325="OK",COUNTIF('ORDER Form'!$V$6:$V325,"OK"),"")</f>
        <v/>
      </c>
      <c r="AD324" s="51" t="str">
        <f>IF($AB324="","",(LEN(TRIM(INDEX('ORDER Form'!$O$1:$O$355,$AB324)))+LEN(TRIM(INDEX('ORDER Form'!$P$1:$P$355,$AB324)))+LEN(TRIM(INDEX('ORDER Form'!$Q$1:$Q$355,$AB324)))+LEN(TRIM(INDEX('ORDER Form'!$R$1:$R$355,$AB324)))+LEN(TRIM(INDEX('ORDER Form'!$S$1:$S$355,$AB324)))+LEN(TRIM(INDEX('ORDER Form'!$T$1:$T$355,$AB324)))+LEN(TRIM(INDEX('ORDER Form'!$U$1:$U$355,$AB324))))=0)</f>
        <v/>
      </c>
    </row>
    <row r="325" spans="1:30" ht="15" customHeight="1" x14ac:dyDescent="0.25">
      <c r="A325" s="50" t="str">
        <f>IF($AB325="","",IFERROR(IF(AND(INDEX('ORDER Form'!$N$1:$N$355,$AB325)="GB",LEFT(UPPER(TRIM(INDEX('ORDER Form'!$L$1:$L$355,$AB325))),2)="BT"),INDEX('ORDER Form'!$AC$1:$AC$355,$AB325),IFERROR(VLOOKUP(INDEX('ORDER Form'!$AC$1:$AC$355,$AB325)&amp;"|"&amp;INDEX('PRODUCT DATA'!$A$2:$A$58,MATCH(INDEX('ORDER Form'!$N$1:$N$355,$AB325),'PRODUCT DATA'!$B$2:$B$58,0)),'PRODUCT DATA'!$NO$2:$NP$25,2,FALSE()),INDEX('ORDER Form'!$AC$1:$AC$355,$AB325)))&amp;"",""))</f>
        <v/>
      </c>
      <c r="B325" s="49"/>
      <c r="C325" s="51" t="str">
        <f>IF($AB325="","",INDEX('ORDER Form'!$C$1:$C$355,$AB325))</f>
        <v/>
      </c>
      <c r="D325" s="49"/>
      <c r="E325" s="49"/>
      <c r="F325" s="49"/>
      <c r="G325" s="49"/>
      <c r="H325" s="49"/>
      <c r="I325" s="49"/>
      <c r="J325" s="50" t="str">
        <f>IF($AB325="","",INDEX('ORDER Form'!$D$1:$D$355,$AB325)&amp;"")</f>
        <v/>
      </c>
      <c r="K325" s="50" t="str">
        <f>IF($AB325="","",INDEX('ORDER Form'!$E$1:$E$355,$AB325)&amp;"")</f>
        <v/>
      </c>
      <c r="L325" s="50" t="str">
        <f>IF($AB325="","",INDEX('ORDER Form'!$F$1:$F$355,$AB325)&amp;"")</f>
        <v/>
      </c>
      <c r="M325" s="50" t="str">
        <f>IF($AB325="","",INDEX('ORDER Form'!$G$1:$G$355,$AB325)&amp;"")</f>
        <v/>
      </c>
      <c r="N325" s="50" t="str">
        <f>IF($AB325="","",INDEX('ORDER Form'!$H$1:$H$355,$AB325)&amp;"")</f>
        <v/>
      </c>
      <c r="O325" s="50" t="str">
        <f>IF($AB325="","",INDEX('ORDER Form'!$I$1:$I$355,$AB325)&amp;"")</f>
        <v/>
      </c>
      <c r="P325" s="50" t="str">
        <f>IF($AB325="","",INDEX('ORDER Form'!$J$1:$J$355,$AB325)&amp;"")</f>
        <v/>
      </c>
      <c r="Q325" s="50" t="str">
        <f>IF($AB325="","",INDEX('ORDER Form'!$AB$1:$AB$355,$AB325)&amp;"")</f>
        <v/>
      </c>
      <c r="R325" s="50" t="str">
        <f>IF($AB325="","",INDEX('ORDER Form'!$L$1:$L$355,$AB325)&amp;"")</f>
        <v/>
      </c>
      <c r="S325" s="50" t="str">
        <f>IF($AB325="","",INDEX('ORDER Form'!$N$1:$N$355,$AB325)&amp;"")</f>
        <v/>
      </c>
      <c r="T325" s="50" t="str">
        <f>IF($AB325="","",IF($AD325,T$3,INDEX('ORDER Form'!$O$1:$O$355,$AB325))&amp;"")</f>
        <v/>
      </c>
      <c r="U325" s="50" t="str">
        <f>IF($AB325="","",IF($AD325,U$3,INDEX('ORDER Form'!$P$1:$P$355,$AB325))&amp;"")</f>
        <v/>
      </c>
      <c r="V325" s="50" t="str">
        <f>IF($AB325="","",IF($AD325,V$3,INDEX('ORDER Form'!$Q$1:$Q$355,$AB325))&amp;"")</f>
        <v/>
      </c>
      <c r="W325" s="50" t="str">
        <f>IF($AB325="","",IF($AD325,W$3,INDEX('ORDER Form'!$R$1:$R$355,$AB325))&amp;"")</f>
        <v/>
      </c>
      <c r="X325" s="50" t="str">
        <f>IF($AB325="","",IF($AD325,X$3,INDEX('ORDER Form'!$S$1:$S$355,$AB325))&amp;"")</f>
        <v/>
      </c>
      <c r="Y325" s="50" t="str">
        <f>IF($AB325="","",IF($AD325,Y$3,INDEX('ORDER Form'!$T$1:$T$355,$AB325))&amp;"")</f>
        <v/>
      </c>
      <c r="Z325" s="50" t="str">
        <f>IF($AB325="","",IF($AD325,Z$3,INDEX('ORDER Form'!$U$1:$U$355,$AB325))&amp;"")</f>
        <v/>
      </c>
      <c r="AB325" s="51" t="str">
        <f>IFERROR(MATCH(321,$AC$5:$AC$354,0)+5,"")</f>
        <v/>
      </c>
      <c r="AC325" s="51" t="str">
        <f>IF('ORDER Form'!$V326="OK",COUNTIF('ORDER Form'!$V$6:$V326,"OK"),"")</f>
        <v/>
      </c>
      <c r="AD325" s="51" t="str">
        <f>IF($AB325="","",(LEN(TRIM(INDEX('ORDER Form'!$O$1:$O$355,$AB325)))+LEN(TRIM(INDEX('ORDER Form'!$P$1:$P$355,$AB325)))+LEN(TRIM(INDEX('ORDER Form'!$Q$1:$Q$355,$AB325)))+LEN(TRIM(INDEX('ORDER Form'!$R$1:$R$355,$AB325)))+LEN(TRIM(INDEX('ORDER Form'!$S$1:$S$355,$AB325)))+LEN(TRIM(INDEX('ORDER Form'!$T$1:$T$355,$AB325)))+LEN(TRIM(INDEX('ORDER Form'!$U$1:$U$355,$AB325))))=0)</f>
        <v/>
      </c>
    </row>
    <row r="326" spans="1:30" ht="15" customHeight="1" x14ac:dyDescent="0.25">
      <c r="A326" s="50" t="str">
        <f>IF($AB326="","",IFERROR(IF(AND(INDEX('ORDER Form'!$N$1:$N$355,$AB326)="GB",LEFT(UPPER(TRIM(INDEX('ORDER Form'!$L$1:$L$355,$AB326))),2)="BT"),INDEX('ORDER Form'!$AC$1:$AC$355,$AB326),IFERROR(VLOOKUP(INDEX('ORDER Form'!$AC$1:$AC$355,$AB326)&amp;"|"&amp;INDEX('PRODUCT DATA'!$A$2:$A$58,MATCH(INDEX('ORDER Form'!$N$1:$N$355,$AB326),'PRODUCT DATA'!$B$2:$B$58,0)),'PRODUCT DATA'!$NO$2:$NP$25,2,FALSE()),INDEX('ORDER Form'!$AC$1:$AC$355,$AB326)))&amp;"",""))</f>
        <v/>
      </c>
      <c r="B326" s="49"/>
      <c r="C326" s="51" t="str">
        <f>IF($AB326="","",INDEX('ORDER Form'!$C$1:$C$355,$AB326))</f>
        <v/>
      </c>
      <c r="D326" s="49"/>
      <c r="E326" s="49"/>
      <c r="F326" s="49"/>
      <c r="G326" s="49"/>
      <c r="H326" s="49"/>
      <c r="I326" s="49"/>
      <c r="J326" s="50" t="str">
        <f>IF($AB326="","",INDEX('ORDER Form'!$D$1:$D$355,$AB326)&amp;"")</f>
        <v/>
      </c>
      <c r="K326" s="50" t="str">
        <f>IF($AB326="","",INDEX('ORDER Form'!$E$1:$E$355,$AB326)&amp;"")</f>
        <v/>
      </c>
      <c r="L326" s="50" t="str">
        <f>IF($AB326="","",INDEX('ORDER Form'!$F$1:$F$355,$AB326)&amp;"")</f>
        <v/>
      </c>
      <c r="M326" s="50" t="str">
        <f>IF($AB326="","",INDEX('ORDER Form'!$G$1:$G$355,$AB326)&amp;"")</f>
        <v/>
      </c>
      <c r="N326" s="50" t="str">
        <f>IF($AB326="","",INDEX('ORDER Form'!$H$1:$H$355,$AB326)&amp;"")</f>
        <v/>
      </c>
      <c r="O326" s="50" t="str">
        <f>IF($AB326="","",INDEX('ORDER Form'!$I$1:$I$355,$AB326)&amp;"")</f>
        <v/>
      </c>
      <c r="P326" s="50" t="str">
        <f>IF($AB326="","",INDEX('ORDER Form'!$J$1:$J$355,$AB326)&amp;"")</f>
        <v/>
      </c>
      <c r="Q326" s="50" t="str">
        <f>IF($AB326="","",INDEX('ORDER Form'!$AB$1:$AB$355,$AB326)&amp;"")</f>
        <v/>
      </c>
      <c r="R326" s="50" t="str">
        <f>IF($AB326="","",INDEX('ORDER Form'!$L$1:$L$355,$AB326)&amp;"")</f>
        <v/>
      </c>
      <c r="S326" s="50" t="str">
        <f>IF($AB326="","",INDEX('ORDER Form'!$N$1:$N$355,$AB326)&amp;"")</f>
        <v/>
      </c>
      <c r="T326" s="50" t="str">
        <f>IF($AB326="","",IF($AD326,T$3,INDEX('ORDER Form'!$O$1:$O$355,$AB326))&amp;"")</f>
        <v/>
      </c>
      <c r="U326" s="50" t="str">
        <f>IF($AB326="","",IF($AD326,U$3,INDEX('ORDER Form'!$P$1:$P$355,$AB326))&amp;"")</f>
        <v/>
      </c>
      <c r="V326" s="50" t="str">
        <f>IF($AB326="","",IF($AD326,V$3,INDEX('ORDER Form'!$Q$1:$Q$355,$AB326))&amp;"")</f>
        <v/>
      </c>
      <c r="W326" s="50" t="str">
        <f>IF($AB326="","",IF($AD326,W$3,INDEX('ORDER Form'!$R$1:$R$355,$AB326))&amp;"")</f>
        <v/>
      </c>
      <c r="X326" s="50" t="str">
        <f>IF($AB326="","",IF($AD326,X$3,INDEX('ORDER Form'!$S$1:$S$355,$AB326))&amp;"")</f>
        <v/>
      </c>
      <c r="Y326" s="50" t="str">
        <f>IF($AB326="","",IF($AD326,Y$3,INDEX('ORDER Form'!$T$1:$T$355,$AB326))&amp;"")</f>
        <v/>
      </c>
      <c r="Z326" s="50" t="str">
        <f>IF($AB326="","",IF($AD326,Z$3,INDEX('ORDER Form'!$U$1:$U$355,$AB326))&amp;"")</f>
        <v/>
      </c>
      <c r="AB326" s="51" t="str">
        <f>IFERROR(MATCH(322,$AC$5:$AC$354,0)+5,"")</f>
        <v/>
      </c>
      <c r="AC326" s="51" t="str">
        <f>IF('ORDER Form'!$V327="OK",COUNTIF('ORDER Form'!$V$6:$V327,"OK"),"")</f>
        <v/>
      </c>
      <c r="AD326" s="51" t="str">
        <f>IF($AB326="","",(LEN(TRIM(INDEX('ORDER Form'!$O$1:$O$355,$AB326)))+LEN(TRIM(INDEX('ORDER Form'!$P$1:$P$355,$AB326)))+LEN(TRIM(INDEX('ORDER Form'!$Q$1:$Q$355,$AB326)))+LEN(TRIM(INDEX('ORDER Form'!$R$1:$R$355,$AB326)))+LEN(TRIM(INDEX('ORDER Form'!$S$1:$S$355,$AB326)))+LEN(TRIM(INDEX('ORDER Form'!$T$1:$T$355,$AB326)))+LEN(TRIM(INDEX('ORDER Form'!$U$1:$U$355,$AB326))))=0)</f>
        <v/>
      </c>
    </row>
    <row r="327" spans="1:30" ht="15" customHeight="1" x14ac:dyDescent="0.25">
      <c r="A327" s="50" t="str">
        <f>IF($AB327="","",IFERROR(IF(AND(INDEX('ORDER Form'!$N$1:$N$355,$AB327)="GB",LEFT(UPPER(TRIM(INDEX('ORDER Form'!$L$1:$L$355,$AB327))),2)="BT"),INDEX('ORDER Form'!$AC$1:$AC$355,$AB327),IFERROR(VLOOKUP(INDEX('ORDER Form'!$AC$1:$AC$355,$AB327)&amp;"|"&amp;INDEX('PRODUCT DATA'!$A$2:$A$58,MATCH(INDEX('ORDER Form'!$N$1:$N$355,$AB327),'PRODUCT DATA'!$B$2:$B$58,0)),'PRODUCT DATA'!$NO$2:$NP$25,2,FALSE()),INDEX('ORDER Form'!$AC$1:$AC$355,$AB327)))&amp;"",""))</f>
        <v/>
      </c>
      <c r="B327" s="49"/>
      <c r="C327" s="51" t="str">
        <f>IF($AB327="","",INDEX('ORDER Form'!$C$1:$C$355,$AB327))</f>
        <v/>
      </c>
      <c r="D327" s="49"/>
      <c r="E327" s="49"/>
      <c r="F327" s="49"/>
      <c r="G327" s="49"/>
      <c r="H327" s="49"/>
      <c r="I327" s="49"/>
      <c r="J327" s="50" t="str">
        <f>IF($AB327="","",INDEX('ORDER Form'!$D$1:$D$355,$AB327)&amp;"")</f>
        <v/>
      </c>
      <c r="K327" s="50" t="str">
        <f>IF($AB327="","",INDEX('ORDER Form'!$E$1:$E$355,$AB327)&amp;"")</f>
        <v/>
      </c>
      <c r="L327" s="50" t="str">
        <f>IF($AB327="","",INDEX('ORDER Form'!$F$1:$F$355,$AB327)&amp;"")</f>
        <v/>
      </c>
      <c r="M327" s="50" t="str">
        <f>IF($AB327="","",INDEX('ORDER Form'!$G$1:$G$355,$AB327)&amp;"")</f>
        <v/>
      </c>
      <c r="N327" s="50" t="str">
        <f>IF($AB327="","",INDEX('ORDER Form'!$H$1:$H$355,$AB327)&amp;"")</f>
        <v/>
      </c>
      <c r="O327" s="50" t="str">
        <f>IF($AB327="","",INDEX('ORDER Form'!$I$1:$I$355,$AB327)&amp;"")</f>
        <v/>
      </c>
      <c r="P327" s="50" t="str">
        <f>IF($AB327="","",INDEX('ORDER Form'!$J$1:$J$355,$AB327)&amp;"")</f>
        <v/>
      </c>
      <c r="Q327" s="50" t="str">
        <f>IF($AB327="","",INDEX('ORDER Form'!$AB$1:$AB$355,$AB327)&amp;"")</f>
        <v/>
      </c>
      <c r="R327" s="50" t="str">
        <f>IF($AB327="","",INDEX('ORDER Form'!$L$1:$L$355,$AB327)&amp;"")</f>
        <v/>
      </c>
      <c r="S327" s="50" t="str">
        <f>IF($AB327="","",INDEX('ORDER Form'!$N$1:$N$355,$AB327)&amp;"")</f>
        <v/>
      </c>
      <c r="T327" s="50" t="str">
        <f>IF($AB327="","",IF($AD327,T$3,INDEX('ORDER Form'!$O$1:$O$355,$AB327))&amp;"")</f>
        <v/>
      </c>
      <c r="U327" s="50" t="str">
        <f>IF($AB327="","",IF($AD327,U$3,INDEX('ORDER Form'!$P$1:$P$355,$AB327))&amp;"")</f>
        <v/>
      </c>
      <c r="V327" s="50" t="str">
        <f>IF($AB327="","",IF($AD327,V$3,INDEX('ORDER Form'!$Q$1:$Q$355,$AB327))&amp;"")</f>
        <v/>
      </c>
      <c r="W327" s="50" t="str">
        <f>IF($AB327="","",IF($AD327,W$3,INDEX('ORDER Form'!$R$1:$R$355,$AB327))&amp;"")</f>
        <v/>
      </c>
      <c r="X327" s="50" t="str">
        <f>IF($AB327="","",IF($AD327,X$3,INDEX('ORDER Form'!$S$1:$S$355,$AB327))&amp;"")</f>
        <v/>
      </c>
      <c r="Y327" s="50" t="str">
        <f>IF($AB327="","",IF($AD327,Y$3,INDEX('ORDER Form'!$T$1:$T$355,$AB327))&amp;"")</f>
        <v/>
      </c>
      <c r="Z327" s="50" t="str">
        <f>IF($AB327="","",IF($AD327,Z$3,INDEX('ORDER Form'!$U$1:$U$355,$AB327))&amp;"")</f>
        <v/>
      </c>
      <c r="AB327" s="51" t="str">
        <f>IFERROR(MATCH(323,$AC$5:$AC$354,0)+5,"")</f>
        <v/>
      </c>
      <c r="AC327" s="51" t="str">
        <f>IF('ORDER Form'!$V328="OK",COUNTIF('ORDER Form'!$V$6:$V328,"OK"),"")</f>
        <v/>
      </c>
      <c r="AD327" s="51" t="str">
        <f>IF($AB327="","",(LEN(TRIM(INDEX('ORDER Form'!$O$1:$O$355,$AB327)))+LEN(TRIM(INDEX('ORDER Form'!$P$1:$P$355,$AB327)))+LEN(TRIM(INDEX('ORDER Form'!$Q$1:$Q$355,$AB327)))+LEN(TRIM(INDEX('ORDER Form'!$R$1:$R$355,$AB327)))+LEN(TRIM(INDEX('ORDER Form'!$S$1:$S$355,$AB327)))+LEN(TRIM(INDEX('ORDER Form'!$T$1:$T$355,$AB327)))+LEN(TRIM(INDEX('ORDER Form'!$U$1:$U$355,$AB327))))=0)</f>
        <v/>
      </c>
    </row>
    <row r="328" spans="1:30" ht="15" customHeight="1" x14ac:dyDescent="0.25">
      <c r="A328" s="50" t="str">
        <f>IF($AB328="","",IFERROR(IF(AND(INDEX('ORDER Form'!$N$1:$N$355,$AB328)="GB",LEFT(UPPER(TRIM(INDEX('ORDER Form'!$L$1:$L$355,$AB328))),2)="BT"),INDEX('ORDER Form'!$AC$1:$AC$355,$AB328),IFERROR(VLOOKUP(INDEX('ORDER Form'!$AC$1:$AC$355,$AB328)&amp;"|"&amp;INDEX('PRODUCT DATA'!$A$2:$A$58,MATCH(INDEX('ORDER Form'!$N$1:$N$355,$AB328),'PRODUCT DATA'!$B$2:$B$58,0)),'PRODUCT DATA'!$NO$2:$NP$25,2,FALSE()),INDEX('ORDER Form'!$AC$1:$AC$355,$AB328)))&amp;"",""))</f>
        <v/>
      </c>
      <c r="B328" s="49"/>
      <c r="C328" s="51" t="str">
        <f>IF($AB328="","",INDEX('ORDER Form'!$C$1:$C$355,$AB328))</f>
        <v/>
      </c>
      <c r="D328" s="49"/>
      <c r="E328" s="49"/>
      <c r="F328" s="49"/>
      <c r="G328" s="49"/>
      <c r="H328" s="49"/>
      <c r="I328" s="49"/>
      <c r="J328" s="50" t="str">
        <f>IF($AB328="","",INDEX('ORDER Form'!$D$1:$D$355,$AB328)&amp;"")</f>
        <v/>
      </c>
      <c r="K328" s="50" t="str">
        <f>IF($AB328="","",INDEX('ORDER Form'!$E$1:$E$355,$AB328)&amp;"")</f>
        <v/>
      </c>
      <c r="L328" s="50" t="str">
        <f>IF($AB328="","",INDEX('ORDER Form'!$F$1:$F$355,$AB328)&amp;"")</f>
        <v/>
      </c>
      <c r="M328" s="50" t="str">
        <f>IF($AB328="","",INDEX('ORDER Form'!$G$1:$G$355,$AB328)&amp;"")</f>
        <v/>
      </c>
      <c r="N328" s="50" t="str">
        <f>IF($AB328="","",INDEX('ORDER Form'!$H$1:$H$355,$AB328)&amp;"")</f>
        <v/>
      </c>
      <c r="O328" s="50" t="str">
        <f>IF($AB328="","",INDEX('ORDER Form'!$I$1:$I$355,$AB328)&amp;"")</f>
        <v/>
      </c>
      <c r="P328" s="50" t="str">
        <f>IF($AB328="","",INDEX('ORDER Form'!$J$1:$J$355,$AB328)&amp;"")</f>
        <v/>
      </c>
      <c r="Q328" s="50" t="str">
        <f>IF($AB328="","",INDEX('ORDER Form'!$AB$1:$AB$355,$AB328)&amp;"")</f>
        <v/>
      </c>
      <c r="R328" s="50" t="str">
        <f>IF($AB328="","",INDEX('ORDER Form'!$L$1:$L$355,$AB328)&amp;"")</f>
        <v/>
      </c>
      <c r="S328" s="50" t="str">
        <f>IF($AB328="","",INDEX('ORDER Form'!$N$1:$N$355,$AB328)&amp;"")</f>
        <v/>
      </c>
      <c r="T328" s="50" t="str">
        <f>IF($AB328="","",IF($AD328,T$3,INDEX('ORDER Form'!$O$1:$O$355,$AB328))&amp;"")</f>
        <v/>
      </c>
      <c r="U328" s="50" t="str">
        <f>IF($AB328="","",IF($AD328,U$3,INDEX('ORDER Form'!$P$1:$P$355,$AB328))&amp;"")</f>
        <v/>
      </c>
      <c r="V328" s="50" t="str">
        <f>IF($AB328="","",IF($AD328,V$3,INDEX('ORDER Form'!$Q$1:$Q$355,$AB328))&amp;"")</f>
        <v/>
      </c>
      <c r="W328" s="50" t="str">
        <f>IF($AB328="","",IF($AD328,W$3,INDEX('ORDER Form'!$R$1:$R$355,$AB328))&amp;"")</f>
        <v/>
      </c>
      <c r="X328" s="50" t="str">
        <f>IF($AB328="","",IF($AD328,X$3,INDEX('ORDER Form'!$S$1:$S$355,$AB328))&amp;"")</f>
        <v/>
      </c>
      <c r="Y328" s="50" t="str">
        <f>IF($AB328="","",IF($AD328,Y$3,INDEX('ORDER Form'!$T$1:$T$355,$AB328))&amp;"")</f>
        <v/>
      </c>
      <c r="Z328" s="50" t="str">
        <f>IF($AB328="","",IF($AD328,Z$3,INDEX('ORDER Form'!$U$1:$U$355,$AB328))&amp;"")</f>
        <v/>
      </c>
      <c r="AB328" s="51" t="str">
        <f>IFERROR(MATCH(324,$AC$5:$AC$354,0)+5,"")</f>
        <v/>
      </c>
      <c r="AC328" s="51" t="str">
        <f>IF('ORDER Form'!$V329="OK",COUNTIF('ORDER Form'!$V$6:$V329,"OK"),"")</f>
        <v/>
      </c>
      <c r="AD328" s="51" t="str">
        <f>IF($AB328="","",(LEN(TRIM(INDEX('ORDER Form'!$O$1:$O$355,$AB328)))+LEN(TRIM(INDEX('ORDER Form'!$P$1:$P$355,$AB328)))+LEN(TRIM(INDEX('ORDER Form'!$Q$1:$Q$355,$AB328)))+LEN(TRIM(INDEX('ORDER Form'!$R$1:$R$355,$AB328)))+LEN(TRIM(INDEX('ORDER Form'!$S$1:$S$355,$AB328)))+LEN(TRIM(INDEX('ORDER Form'!$T$1:$T$355,$AB328)))+LEN(TRIM(INDEX('ORDER Form'!$U$1:$U$355,$AB328))))=0)</f>
        <v/>
      </c>
    </row>
    <row r="329" spans="1:30" ht="15" customHeight="1" x14ac:dyDescent="0.25">
      <c r="A329" s="50" t="str">
        <f>IF($AB329="","",IFERROR(IF(AND(INDEX('ORDER Form'!$N$1:$N$355,$AB329)="GB",LEFT(UPPER(TRIM(INDEX('ORDER Form'!$L$1:$L$355,$AB329))),2)="BT"),INDEX('ORDER Form'!$AC$1:$AC$355,$AB329),IFERROR(VLOOKUP(INDEX('ORDER Form'!$AC$1:$AC$355,$AB329)&amp;"|"&amp;INDEX('PRODUCT DATA'!$A$2:$A$58,MATCH(INDEX('ORDER Form'!$N$1:$N$355,$AB329),'PRODUCT DATA'!$B$2:$B$58,0)),'PRODUCT DATA'!$NO$2:$NP$25,2,FALSE()),INDEX('ORDER Form'!$AC$1:$AC$355,$AB329)))&amp;"",""))</f>
        <v/>
      </c>
      <c r="B329" s="49"/>
      <c r="C329" s="51" t="str">
        <f>IF($AB329="","",INDEX('ORDER Form'!$C$1:$C$355,$AB329))</f>
        <v/>
      </c>
      <c r="D329" s="49"/>
      <c r="E329" s="49"/>
      <c r="F329" s="49"/>
      <c r="G329" s="49"/>
      <c r="H329" s="49"/>
      <c r="I329" s="49"/>
      <c r="J329" s="50" t="str">
        <f>IF($AB329="","",INDEX('ORDER Form'!$D$1:$D$355,$AB329)&amp;"")</f>
        <v/>
      </c>
      <c r="K329" s="50" t="str">
        <f>IF($AB329="","",INDEX('ORDER Form'!$E$1:$E$355,$AB329)&amp;"")</f>
        <v/>
      </c>
      <c r="L329" s="50" t="str">
        <f>IF($AB329="","",INDEX('ORDER Form'!$F$1:$F$355,$AB329)&amp;"")</f>
        <v/>
      </c>
      <c r="M329" s="50" t="str">
        <f>IF($AB329="","",INDEX('ORDER Form'!$G$1:$G$355,$AB329)&amp;"")</f>
        <v/>
      </c>
      <c r="N329" s="50" t="str">
        <f>IF($AB329="","",INDEX('ORDER Form'!$H$1:$H$355,$AB329)&amp;"")</f>
        <v/>
      </c>
      <c r="O329" s="50" t="str">
        <f>IF($AB329="","",INDEX('ORDER Form'!$I$1:$I$355,$AB329)&amp;"")</f>
        <v/>
      </c>
      <c r="P329" s="50" t="str">
        <f>IF($AB329="","",INDEX('ORDER Form'!$J$1:$J$355,$AB329)&amp;"")</f>
        <v/>
      </c>
      <c r="Q329" s="50" t="str">
        <f>IF($AB329="","",INDEX('ORDER Form'!$AB$1:$AB$355,$AB329)&amp;"")</f>
        <v/>
      </c>
      <c r="R329" s="50" t="str">
        <f>IF($AB329="","",INDEX('ORDER Form'!$L$1:$L$355,$AB329)&amp;"")</f>
        <v/>
      </c>
      <c r="S329" s="50" t="str">
        <f>IF($AB329="","",INDEX('ORDER Form'!$N$1:$N$355,$AB329)&amp;"")</f>
        <v/>
      </c>
      <c r="T329" s="50" t="str">
        <f>IF($AB329="","",IF($AD329,T$3,INDEX('ORDER Form'!$O$1:$O$355,$AB329))&amp;"")</f>
        <v/>
      </c>
      <c r="U329" s="50" t="str">
        <f>IF($AB329="","",IF($AD329,U$3,INDEX('ORDER Form'!$P$1:$P$355,$AB329))&amp;"")</f>
        <v/>
      </c>
      <c r="V329" s="50" t="str">
        <f>IF($AB329="","",IF($AD329,V$3,INDEX('ORDER Form'!$Q$1:$Q$355,$AB329))&amp;"")</f>
        <v/>
      </c>
      <c r="W329" s="50" t="str">
        <f>IF($AB329="","",IF($AD329,W$3,INDEX('ORDER Form'!$R$1:$R$355,$AB329))&amp;"")</f>
        <v/>
      </c>
      <c r="X329" s="50" t="str">
        <f>IF($AB329="","",IF($AD329,X$3,INDEX('ORDER Form'!$S$1:$S$355,$AB329))&amp;"")</f>
        <v/>
      </c>
      <c r="Y329" s="50" t="str">
        <f>IF($AB329="","",IF($AD329,Y$3,INDEX('ORDER Form'!$T$1:$T$355,$AB329))&amp;"")</f>
        <v/>
      </c>
      <c r="Z329" s="50" t="str">
        <f>IF($AB329="","",IF($AD329,Z$3,INDEX('ORDER Form'!$U$1:$U$355,$AB329))&amp;"")</f>
        <v/>
      </c>
      <c r="AB329" s="51" t="str">
        <f>IFERROR(MATCH(325,$AC$5:$AC$354,0)+5,"")</f>
        <v/>
      </c>
      <c r="AC329" s="51" t="str">
        <f>IF('ORDER Form'!$V330="OK",COUNTIF('ORDER Form'!$V$6:$V330,"OK"),"")</f>
        <v/>
      </c>
      <c r="AD329" s="51" t="str">
        <f>IF($AB329="","",(LEN(TRIM(INDEX('ORDER Form'!$O$1:$O$355,$AB329)))+LEN(TRIM(INDEX('ORDER Form'!$P$1:$P$355,$AB329)))+LEN(TRIM(INDEX('ORDER Form'!$Q$1:$Q$355,$AB329)))+LEN(TRIM(INDEX('ORDER Form'!$R$1:$R$355,$AB329)))+LEN(TRIM(INDEX('ORDER Form'!$S$1:$S$355,$AB329)))+LEN(TRIM(INDEX('ORDER Form'!$T$1:$T$355,$AB329)))+LEN(TRIM(INDEX('ORDER Form'!$U$1:$U$355,$AB329))))=0)</f>
        <v/>
      </c>
    </row>
    <row r="330" spans="1:30" ht="15" customHeight="1" x14ac:dyDescent="0.25">
      <c r="A330" s="50" t="str">
        <f>IF($AB330="","",IFERROR(IF(AND(INDEX('ORDER Form'!$N$1:$N$355,$AB330)="GB",LEFT(UPPER(TRIM(INDEX('ORDER Form'!$L$1:$L$355,$AB330))),2)="BT"),INDEX('ORDER Form'!$AC$1:$AC$355,$AB330),IFERROR(VLOOKUP(INDEX('ORDER Form'!$AC$1:$AC$355,$AB330)&amp;"|"&amp;INDEX('PRODUCT DATA'!$A$2:$A$58,MATCH(INDEX('ORDER Form'!$N$1:$N$355,$AB330),'PRODUCT DATA'!$B$2:$B$58,0)),'PRODUCT DATA'!$NO$2:$NP$25,2,FALSE()),INDEX('ORDER Form'!$AC$1:$AC$355,$AB330)))&amp;"",""))</f>
        <v/>
      </c>
      <c r="B330" s="49"/>
      <c r="C330" s="51" t="str">
        <f>IF($AB330="","",INDEX('ORDER Form'!$C$1:$C$355,$AB330))</f>
        <v/>
      </c>
      <c r="D330" s="49"/>
      <c r="E330" s="49"/>
      <c r="F330" s="49"/>
      <c r="G330" s="49"/>
      <c r="H330" s="49"/>
      <c r="I330" s="49"/>
      <c r="J330" s="50" t="str">
        <f>IF($AB330="","",INDEX('ORDER Form'!$D$1:$D$355,$AB330)&amp;"")</f>
        <v/>
      </c>
      <c r="K330" s="50" t="str">
        <f>IF($AB330="","",INDEX('ORDER Form'!$E$1:$E$355,$AB330)&amp;"")</f>
        <v/>
      </c>
      <c r="L330" s="50" t="str">
        <f>IF($AB330="","",INDEX('ORDER Form'!$F$1:$F$355,$AB330)&amp;"")</f>
        <v/>
      </c>
      <c r="M330" s="50" t="str">
        <f>IF($AB330="","",INDEX('ORDER Form'!$G$1:$G$355,$AB330)&amp;"")</f>
        <v/>
      </c>
      <c r="N330" s="50" t="str">
        <f>IF($AB330="","",INDEX('ORDER Form'!$H$1:$H$355,$AB330)&amp;"")</f>
        <v/>
      </c>
      <c r="O330" s="50" t="str">
        <f>IF($AB330="","",INDEX('ORDER Form'!$I$1:$I$355,$AB330)&amp;"")</f>
        <v/>
      </c>
      <c r="P330" s="50" t="str">
        <f>IF($AB330="","",INDEX('ORDER Form'!$J$1:$J$355,$AB330)&amp;"")</f>
        <v/>
      </c>
      <c r="Q330" s="50" t="str">
        <f>IF($AB330="","",INDEX('ORDER Form'!$AB$1:$AB$355,$AB330)&amp;"")</f>
        <v/>
      </c>
      <c r="R330" s="50" t="str">
        <f>IF($AB330="","",INDEX('ORDER Form'!$L$1:$L$355,$AB330)&amp;"")</f>
        <v/>
      </c>
      <c r="S330" s="50" t="str">
        <f>IF($AB330="","",INDEX('ORDER Form'!$N$1:$N$355,$AB330)&amp;"")</f>
        <v/>
      </c>
      <c r="T330" s="50" t="str">
        <f>IF($AB330="","",IF($AD330,T$3,INDEX('ORDER Form'!$O$1:$O$355,$AB330))&amp;"")</f>
        <v/>
      </c>
      <c r="U330" s="50" t="str">
        <f>IF($AB330="","",IF($AD330,U$3,INDEX('ORDER Form'!$P$1:$P$355,$AB330))&amp;"")</f>
        <v/>
      </c>
      <c r="V330" s="50" t="str">
        <f>IF($AB330="","",IF($AD330,V$3,INDEX('ORDER Form'!$Q$1:$Q$355,$AB330))&amp;"")</f>
        <v/>
      </c>
      <c r="W330" s="50" t="str">
        <f>IF($AB330="","",IF($AD330,W$3,INDEX('ORDER Form'!$R$1:$R$355,$AB330))&amp;"")</f>
        <v/>
      </c>
      <c r="X330" s="50" t="str">
        <f>IF($AB330="","",IF($AD330,X$3,INDEX('ORDER Form'!$S$1:$S$355,$AB330))&amp;"")</f>
        <v/>
      </c>
      <c r="Y330" s="50" t="str">
        <f>IF($AB330="","",IF($AD330,Y$3,INDEX('ORDER Form'!$T$1:$T$355,$AB330))&amp;"")</f>
        <v/>
      </c>
      <c r="Z330" s="50" t="str">
        <f>IF($AB330="","",IF($AD330,Z$3,INDEX('ORDER Form'!$U$1:$U$355,$AB330))&amp;"")</f>
        <v/>
      </c>
      <c r="AB330" s="51" t="str">
        <f>IFERROR(MATCH(326,$AC$5:$AC$354,0)+5,"")</f>
        <v/>
      </c>
      <c r="AC330" s="51" t="str">
        <f>IF('ORDER Form'!$V331="OK",COUNTIF('ORDER Form'!$V$6:$V331,"OK"),"")</f>
        <v/>
      </c>
      <c r="AD330" s="51" t="str">
        <f>IF($AB330="","",(LEN(TRIM(INDEX('ORDER Form'!$O$1:$O$355,$AB330)))+LEN(TRIM(INDEX('ORDER Form'!$P$1:$P$355,$AB330)))+LEN(TRIM(INDEX('ORDER Form'!$Q$1:$Q$355,$AB330)))+LEN(TRIM(INDEX('ORDER Form'!$R$1:$R$355,$AB330)))+LEN(TRIM(INDEX('ORDER Form'!$S$1:$S$355,$AB330)))+LEN(TRIM(INDEX('ORDER Form'!$T$1:$T$355,$AB330)))+LEN(TRIM(INDEX('ORDER Form'!$U$1:$U$355,$AB330))))=0)</f>
        <v/>
      </c>
    </row>
    <row r="331" spans="1:30" ht="15" customHeight="1" x14ac:dyDescent="0.25">
      <c r="A331" s="50" t="str">
        <f>IF($AB331="","",IFERROR(IF(AND(INDEX('ORDER Form'!$N$1:$N$355,$AB331)="GB",LEFT(UPPER(TRIM(INDEX('ORDER Form'!$L$1:$L$355,$AB331))),2)="BT"),INDEX('ORDER Form'!$AC$1:$AC$355,$AB331),IFERROR(VLOOKUP(INDEX('ORDER Form'!$AC$1:$AC$355,$AB331)&amp;"|"&amp;INDEX('PRODUCT DATA'!$A$2:$A$58,MATCH(INDEX('ORDER Form'!$N$1:$N$355,$AB331),'PRODUCT DATA'!$B$2:$B$58,0)),'PRODUCT DATA'!$NO$2:$NP$25,2,FALSE()),INDEX('ORDER Form'!$AC$1:$AC$355,$AB331)))&amp;"",""))</f>
        <v/>
      </c>
      <c r="B331" s="49"/>
      <c r="C331" s="51" t="str">
        <f>IF($AB331="","",INDEX('ORDER Form'!$C$1:$C$355,$AB331))</f>
        <v/>
      </c>
      <c r="D331" s="49"/>
      <c r="E331" s="49"/>
      <c r="F331" s="49"/>
      <c r="G331" s="49"/>
      <c r="H331" s="49"/>
      <c r="I331" s="49"/>
      <c r="J331" s="50" t="str">
        <f>IF($AB331="","",INDEX('ORDER Form'!$D$1:$D$355,$AB331)&amp;"")</f>
        <v/>
      </c>
      <c r="K331" s="50" t="str">
        <f>IF($AB331="","",INDEX('ORDER Form'!$E$1:$E$355,$AB331)&amp;"")</f>
        <v/>
      </c>
      <c r="L331" s="50" t="str">
        <f>IF($AB331="","",INDEX('ORDER Form'!$F$1:$F$355,$AB331)&amp;"")</f>
        <v/>
      </c>
      <c r="M331" s="50" t="str">
        <f>IF($AB331="","",INDEX('ORDER Form'!$G$1:$G$355,$AB331)&amp;"")</f>
        <v/>
      </c>
      <c r="N331" s="50" t="str">
        <f>IF($AB331="","",INDEX('ORDER Form'!$H$1:$H$355,$AB331)&amp;"")</f>
        <v/>
      </c>
      <c r="O331" s="50" t="str">
        <f>IF($AB331="","",INDEX('ORDER Form'!$I$1:$I$355,$AB331)&amp;"")</f>
        <v/>
      </c>
      <c r="P331" s="50" t="str">
        <f>IF($AB331="","",INDEX('ORDER Form'!$J$1:$J$355,$AB331)&amp;"")</f>
        <v/>
      </c>
      <c r="Q331" s="50" t="str">
        <f>IF($AB331="","",INDEX('ORDER Form'!$AB$1:$AB$355,$AB331)&amp;"")</f>
        <v/>
      </c>
      <c r="R331" s="50" t="str">
        <f>IF($AB331="","",INDEX('ORDER Form'!$L$1:$L$355,$AB331)&amp;"")</f>
        <v/>
      </c>
      <c r="S331" s="50" t="str">
        <f>IF($AB331="","",INDEX('ORDER Form'!$N$1:$N$355,$AB331)&amp;"")</f>
        <v/>
      </c>
      <c r="T331" s="50" t="str">
        <f>IF($AB331="","",IF($AD331,T$3,INDEX('ORDER Form'!$O$1:$O$355,$AB331))&amp;"")</f>
        <v/>
      </c>
      <c r="U331" s="50" t="str">
        <f>IF($AB331="","",IF($AD331,U$3,INDEX('ORDER Form'!$P$1:$P$355,$AB331))&amp;"")</f>
        <v/>
      </c>
      <c r="V331" s="50" t="str">
        <f>IF($AB331="","",IF($AD331,V$3,INDEX('ORDER Form'!$Q$1:$Q$355,$AB331))&amp;"")</f>
        <v/>
      </c>
      <c r="W331" s="50" t="str">
        <f>IF($AB331="","",IF($AD331,W$3,INDEX('ORDER Form'!$R$1:$R$355,$AB331))&amp;"")</f>
        <v/>
      </c>
      <c r="X331" s="50" t="str">
        <f>IF($AB331="","",IF($AD331,X$3,INDEX('ORDER Form'!$S$1:$S$355,$AB331))&amp;"")</f>
        <v/>
      </c>
      <c r="Y331" s="50" t="str">
        <f>IF($AB331="","",IF($AD331,Y$3,INDEX('ORDER Form'!$T$1:$T$355,$AB331))&amp;"")</f>
        <v/>
      </c>
      <c r="Z331" s="50" t="str">
        <f>IF($AB331="","",IF($AD331,Z$3,INDEX('ORDER Form'!$U$1:$U$355,$AB331))&amp;"")</f>
        <v/>
      </c>
      <c r="AB331" s="51" t="str">
        <f>IFERROR(MATCH(327,$AC$5:$AC$354,0)+5,"")</f>
        <v/>
      </c>
      <c r="AC331" s="51" t="str">
        <f>IF('ORDER Form'!$V332="OK",COUNTIF('ORDER Form'!$V$6:$V332,"OK"),"")</f>
        <v/>
      </c>
      <c r="AD331" s="51" t="str">
        <f>IF($AB331="","",(LEN(TRIM(INDEX('ORDER Form'!$O$1:$O$355,$AB331)))+LEN(TRIM(INDEX('ORDER Form'!$P$1:$P$355,$AB331)))+LEN(TRIM(INDEX('ORDER Form'!$Q$1:$Q$355,$AB331)))+LEN(TRIM(INDEX('ORDER Form'!$R$1:$R$355,$AB331)))+LEN(TRIM(INDEX('ORDER Form'!$S$1:$S$355,$AB331)))+LEN(TRIM(INDEX('ORDER Form'!$T$1:$T$355,$AB331)))+LEN(TRIM(INDEX('ORDER Form'!$U$1:$U$355,$AB331))))=0)</f>
        <v/>
      </c>
    </row>
    <row r="332" spans="1:30" ht="15" customHeight="1" x14ac:dyDescent="0.25">
      <c r="A332" s="50" t="str">
        <f>IF($AB332="","",IFERROR(IF(AND(INDEX('ORDER Form'!$N$1:$N$355,$AB332)="GB",LEFT(UPPER(TRIM(INDEX('ORDER Form'!$L$1:$L$355,$AB332))),2)="BT"),INDEX('ORDER Form'!$AC$1:$AC$355,$AB332),IFERROR(VLOOKUP(INDEX('ORDER Form'!$AC$1:$AC$355,$AB332)&amp;"|"&amp;INDEX('PRODUCT DATA'!$A$2:$A$58,MATCH(INDEX('ORDER Form'!$N$1:$N$355,$AB332),'PRODUCT DATA'!$B$2:$B$58,0)),'PRODUCT DATA'!$NO$2:$NP$25,2,FALSE()),INDEX('ORDER Form'!$AC$1:$AC$355,$AB332)))&amp;"",""))</f>
        <v/>
      </c>
      <c r="B332" s="49"/>
      <c r="C332" s="51" t="str">
        <f>IF($AB332="","",INDEX('ORDER Form'!$C$1:$C$355,$AB332))</f>
        <v/>
      </c>
      <c r="D332" s="49"/>
      <c r="E332" s="49"/>
      <c r="F332" s="49"/>
      <c r="G332" s="49"/>
      <c r="H332" s="49"/>
      <c r="I332" s="49"/>
      <c r="J332" s="50" t="str">
        <f>IF($AB332="","",INDEX('ORDER Form'!$D$1:$D$355,$AB332)&amp;"")</f>
        <v/>
      </c>
      <c r="K332" s="50" t="str">
        <f>IF($AB332="","",INDEX('ORDER Form'!$E$1:$E$355,$AB332)&amp;"")</f>
        <v/>
      </c>
      <c r="L332" s="50" t="str">
        <f>IF($AB332="","",INDEX('ORDER Form'!$F$1:$F$355,$AB332)&amp;"")</f>
        <v/>
      </c>
      <c r="M332" s="50" t="str">
        <f>IF($AB332="","",INDEX('ORDER Form'!$G$1:$G$355,$AB332)&amp;"")</f>
        <v/>
      </c>
      <c r="N332" s="50" t="str">
        <f>IF($AB332="","",INDEX('ORDER Form'!$H$1:$H$355,$AB332)&amp;"")</f>
        <v/>
      </c>
      <c r="O332" s="50" t="str">
        <f>IF($AB332="","",INDEX('ORDER Form'!$I$1:$I$355,$AB332)&amp;"")</f>
        <v/>
      </c>
      <c r="P332" s="50" t="str">
        <f>IF($AB332="","",INDEX('ORDER Form'!$J$1:$J$355,$AB332)&amp;"")</f>
        <v/>
      </c>
      <c r="Q332" s="50" t="str">
        <f>IF($AB332="","",INDEX('ORDER Form'!$AB$1:$AB$355,$AB332)&amp;"")</f>
        <v/>
      </c>
      <c r="R332" s="50" t="str">
        <f>IF($AB332="","",INDEX('ORDER Form'!$L$1:$L$355,$AB332)&amp;"")</f>
        <v/>
      </c>
      <c r="S332" s="50" t="str">
        <f>IF($AB332="","",INDEX('ORDER Form'!$N$1:$N$355,$AB332)&amp;"")</f>
        <v/>
      </c>
      <c r="T332" s="50" t="str">
        <f>IF($AB332="","",IF($AD332,T$3,INDEX('ORDER Form'!$O$1:$O$355,$AB332))&amp;"")</f>
        <v/>
      </c>
      <c r="U332" s="50" t="str">
        <f>IF($AB332="","",IF($AD332,U$3,INDEX('ORDER Form'!$P$1:$P$355,$AB332))&amp;"")</f>
        <v/>
      </c>
      <c r="V332" s="50" t="str">
        <f>IF($AB332="","",IF($AD332,V$3,INDEX('ORDER Form'!$Q$1:$Q$355,$AB332))&amp;"")</f>
        <v/>
      </c>
      <c r="W332" s="50" t="str">
        <f>IF($AB332="","",IF($AD332,W$3,INDEX('ORDER Form'!$R$1:$R$355,$AB332))&amp;"")</f>
        <v/>
      </c>
      <c r="X332" s="50" t="str">
        <f>IF($AB332="","",IF($AD332,X$3,INDEX('ORDER Form'!$S$1:$S$355,$AB332))&amp;"")</f>
        <v/>
      </c>
      <c r="Y332" s="50" t="str">
        <f>IF($AB332="","",IF($AD332,Y$3,INDEX('ORDER Form'!$T$1:$T$355,$AB332))&amp;"")</f>
        <v/>
      </c>
      <c r="Z332" s="50" t="str">
        <f>IF($AB332="","",IF($AD332,Z$3,INDEX('ORDER Form'!$U$1:$U$355,$AB332))&amp;"")</f>
        <v/>
      </c>
      <c r="AB332" s="51" t="str">
        <f>IFERROR(MATCH(328,$AC$5:$AC$354,0)+5,"")</f>
        <v/>
      </c>
      <c r="AC332" s="51" t="str">
        <f>IF('ORDER Form'!$V333="OK",COUNTIF('ORDER Form'!$V$6:$V333,"OK"),"")</f>
        <v/>
      </c>
      <c r="AD332" s="51" t="str">
        <f>IF($AB332="","",(LEN(TRIM(INDEX('ORDER Form'!$O$1:$O$355,$AB332)))+LEN(TRIM(INDEX('ORDER Form'!$P$1:$P$355,$AB332)))+LEN(TRIM(INDEX('ORDER Form'!$Q$1:$Q$355,$AB332)))+LEN(TRIM(INDEX('ORDER Form'!$R$1:$R$355,$AB332)))+LEN(TRIM(INDEX('ORDER Form'!$S$1:$S$355,$AB332)))+LEN(TRIM(INDEX('ORDER Form'!$T$1:$T$355,$AB332)))+LEN(TRIM(INDEX('ORDER Form'!$U$1:$U$355,$AB332))))=0)</f>
        <v/>
      </c>
    </row>
    <row r="333" spans="1:30" ht="15" customHeight="1" x14ac:dyDescent="0.25">
      <c r="A333" s="50" t="str">
        <f>IF($AB333="","",IFERROR(IF(AND(INDEX('ORDER Form'!$N$1:$N$355,$AB333)="GB",LEFT(UPPER(TRIM(INDEX('ORDER Form'!$L$1:$L$355,$AB333))),2)="BT"),INDEX('ORDER Form'!$AC$1:$AC$355,$AB333),IFERROR(VLOOKUP(INDEX('ORDER Form'!$AC$1:$AC$355,$AB333)&amp;"|"&amp;INDEX('PRODUCT DATA'!$A$2:$A$58,MATCH(INDEX('ORDER Form'!$N$1:$N$355,$AB333),'PRODUCT DATA'!$B$2:$B$58,0)),'PRODUCT DATA'!$NO$2:$NP$25,2,FALSE()),INDEX('ORDER Form'!$AC$1:$AC$355,$AB333)))&amp;"",""))</f>
        <v/>
      </c>
      <c r="B333" s="49"/>
      <c r="C333" s="51" t="str">
        <f>IF($AB333="","",INDEX('ORDER Form'!$C$1:$C$355,$AB333))</f>
        <v/>
      </c>
      <c r="D333" s="49"/>
      <c r="E333" s="49"/>
      <c r="F333" s="49"/>
      <c r="G333" s="49"/>
      <c r="H333" s="49"/>
      <c r="I333" s="49"/>
      <c r="J333" s="50" t="str">
        <f>IF($AB333="","",INDEX('ORDER Form'!$D$1:$D$355,$AB333)&amp;"")</f>
        <v/>
      </c>
      <c r="K333" s="50" t="str">
        <f>IF($AB333="","",INDEX('ORDER Form'!$E$1:$E$355,$AB333)&amp;"")</f>
        <v/>
      </c>
      <c r="L333" s="50" t="str">
        <f>IF($AB333="","",INDEX('ORDER Form'!$F$1:$F$355,$AB333)&amp;"")</f>
        <v/>
      </c>
      <c r="M333" s="50" t="str">
        <f>IF($AB333="","",INDEX('ORDER Form'!$G$1:$G$355,$AB333)&amp;"")</f>
        <v/>
      </c>
      <c r="N333" s="50" t="str">
        <f>IF($AB333="","",INDEX('ORDER Form'!$H$1:$H$355,$AB333)&amp;"")</f>
        <v/>
      </c>
      <c r="O333" s="50" t="str">
        <f>IF($AB333="","",INDEX('ORDER Form'!$I$1:$I$355,$AB333)&amp;"")</f>
        <v/>
      </c>
      <c r="P333" s="50" t="str">
        <f>IF($AB333="","",INDEX('ORDER Form'!$J$1:$J$355,$AB333)&amp;"")</f>
        <v/>
      </c>
      <c r="Q333" s="50" t="str">
        <f>IF($AB333="","",INDEX('ORDER Form'!$AB$1:$AB$355,$AB333)&amp;"")</f>
        <v/>
      </c>
      <c r="R333" s="50" t="str">
        <f>IF($AB333="","",INDEX('ORDER Form'!$L$1:$L$355,$AB333)&amp;"")</f>
        <v/>
      </c>
      <c r="S333" s="50" t="str">
        <f>IF($AB333="","",INDEX('ORDER Form'!$N$1:$N$355,$AB333)&amp;"")</f>
        <v/>
      </c>
      <c r="T333" s="50" t="str">
        <f>IF($AB333="","",IF($AD333,T$3,INDEX('ORDER Form'!$O$1:$O$355,$AB333))&amp;"")</f>
        <v/>
      </c>
      <c r="U333" s="50" t="str">
        <f>IF($AB333="","",IF($AD333,U$3,INDEX('ORDER Form'!$P$1:$P$355,$AB333))&amp;"")</f>
        <v/>
      </c>
      <c r="V333" s="50" t="str">
        <f>IF($AB333="","",IF($AD333,V$3,INDEX('ORDER Form'!$Q$1:$Q$355,$AB333))&amp;"")</f>
        <v/>
      </c>
      <c r="W333" s="50" t="str">
        <f>IF($AB333="","",IF($AD333,W$3,INDEX('ORDER Form'!$R$1:$R$355,$AB333))&amp;"")</f>
        <v/>
      </c>
      <c r="X333" s="50" t="str">
        <f>IF($AB333="","",IF($AD333,X$3,INDEX('ORDER Form'!$S$1:$S$355,$AB333))&amp;"")</f>
        <v/>
      </c>
      <c r="Y333" s="50" t="str">
        <f>IF($AB333="","",IF($AD333,Y$3,INDEX('ORDER Form'!$T$1:$T$355,$AB333))&amp;"")</f>
        <v/>
      </c>
      <c r="Z333" s="50" t="str">
        <f>IF($AB333="","",IF($AD333,Z$3,INDEX('ORDER Form'!$U$1:$U$355,$AB333))&amp;"")</f>
        <v/>
      </c>
      <c r="AB333" s="51" t="str">
        <f>IFERROR(MATCH(329,$AC$5:$AC$354,0)+5,"")</f>
        <v/>
      </c>
      <c r="AC333" s="51" t="str">
        <f>IF('ORDER Form'!$V334="OK",COUNTIF('ORDER Form'!$V$6:$V334,"OK"),"")</f>
        <v/>
      </c>
      <c r="AD333" s="51" t="str">
        <f>IF($AB333="","",(LEN(TRIM(INDEX('ORDER Form'!$O$1:$O$355,$AB333)))+LEN(TRIM(INDEX('ORDER Form'!$P$1:$P$355,$AB333)))+LEN(TRIM(INDEX('ORDER Form'!$Q$1:$Q$355,$AB333)))+LEN(TRIM(INDEX('ORDER Form'!$R$1:$R$355,$AB333)))+LEN(TRIM(INDEX('ORDER Form'!$S$1:$S$355,$AB333)))+LEN(TRIM(INDEX('ORDER Form'!$T$1:$T$355,$AB333)))+LEN(TRIM(INDEX('ORDER Form'!$U$1:$U$355,$AB333))))=0)</f>
        <v/>
      </c>
    </row>
    <row r="334" spans="1:30" ht="15" customHeight="1" x14ac:dyDescent="0.25">
      <c r="A334" s="50" t="str">
        <f>IF($AB334="","",IFERROR(IF(AND(INDEX('ORDER Form'!$N$1:$N$355,$AB334)="GB",LEFT(UPPER(TRIM(INDEX('ORDER Form'!$L$1:$L$355,$AB334))),2)="BT"),INDEX('ORDER Form'!$AC$1:$AC$355,$AB334),IFERROR(VLOOKUP(INDEX('ORDER Form'!$AC$1:$AC$355,$AB334)&amp;"|"&amp;INDEX('PRODUCT DATA'!$A$2:$A$58,MATCH(INDEX('ORDER Form'!$N$1:$N$355,$AB334),'PRODUCT DATA'!$B$2:$B$58,0)),'PRODUCT DATA'!$NO$2:$NP$25,2,FALSE()),INDEX('ORDER Form'!$AC$1:$AC$355,$AB334)))&amp;"",""))</f>
        <v/>
      </c>
      <c r="B334" s="49"/>
      <c r="C334" s="51" t="str">
        <f>IF($AB334="","",INDEX('ORDER Form'!$C$1:$C$355,$AB334))</f>
        <v/>
      </c>
      <c r="D334" s="49"/>
      <c r="E334" s="49"/>
      <c r="F334" s="49"/>
      <c r="G334" s="49"/>
      <c r="H334" s="49"/>
      <c r="I334" s="49"/>
      <c r="J334" s="50" t="str">
        <f>IF($AB334="","",INDEX('ORDER Form'!$D$1:$D$355,$AB334)&amp;"")</f>
        <v/>
      </c>
      <c r="K334" s="50" t="str">
        <f>IF($AB334="","",INDEX('ORDER Form'!$E$1:$E$355,$AB334)&amp;"")</f>
        <v/>
      </c>
      <c r="L334" s="50" t="str">
        <f>IF($AB334="","",INDEX('ORDER Form'!$F$1:$F$355,$AB334)&amp;"")</f>
        <v/>
      </c>
      <c r="M334" s="50" t="str">
        <f>IF($AB334="","",INDEX('ORDER Form'!$G$1:$G$355,$AB334)&amp;"")</f>
        <v/>
      </c>
      <c r="N334" s="50" t="str">
        <f>IF($AB334="","",INDEX('ORDER Form'!$H$1:$H$355,$AB334)&amp;"")</f>
        <v/>
      </c>
      <c r="O334" s="50" t="str">
        <f>IF($AB334="","",INDEX('ORDER Form'!$I$1:$I$355,$AB334)&amp;"")</f>
        <v/>
      </c>
      <c r="P334" s="50" t="str">
        <f>IF($AB334="","",INDEX('ORDER Form'!$J$1:$J$355,$AB334)&amp;"")</f>
        <v/>
      </c>
      <c r="Q334" s="50" t="str">
        <f>IF($AB334="","",INDEX('ORDER Form'!$AB$1:$AB$355,$AB334)&amp;"")</f>
        <v/>
      </c>
      <c r="R334" s="50" t="str">
        <f>IF($AB334="","",INDEX('ORDER Form'!$L$1:$L$355,$AB334)&amp;"")</f>
        <v/>
      </c>
      <c r="S334" s="50" t="str">
        <f>IF($AB334="","",INDEX('ORDER Form'!$N$1:$N$355,$AB334)&amp;"")</f>
        <v/>
      </c>
      <c r="T334" s="50" t="str">
        <f>IF($AB334="","",IF($AD334,T$3,INDEX('ORDER Form'!$O$1:$O$355,$AB334))&amp;"")</f>
        <v/>
      </c>
      <c r="U334" s="50" t="str">
        <f>IF($AB334="","",IF($AD334,U$3,INDEX('ORDER Form'!$P$1:$P$355,$AB334))&amp;"")</f>
        <v/>
      </c>
      <c r="V334" s="50" t="str">
        <f>IF($AB334="","",IF($AD334,V$3,INDEX('ORDER Form'!$Q$1:$Q$355,$AB334))&amp;"")</f>
        <v/>
      </c>
      <c r="W334" s="50" t="str">
        <f>IF($AB334="","",IF($AD334,W$3,INDEX('ORDER Form'!$R$1:$R$355,$AB334))&amp;"")</f>
        <v/>
      </c>
      <c r="X334" s="50" t="str">
        <f>IF($AB334="","",IF($AD334,X$3,INDEX('ORDER Form'!$S$1:$S$355,$AB334))&amp;"")</f>
        <v/>
      </c>
      <c r="Y334" s="50" t="str">
        <f>IF($AB334="","",IF($AD334,Y$3,INDEX('ORDER Form'!$T$1:$T$355,$AB334))&amp;"")</f>
        <v/>
      </c>
      <c r="Z334" s="50" t="str">
        <f>IF($AB334="","",IF($AD334,Z$3,INDEX('ORDER Form'!$U$1:$U$355,$AB334))&amp;"")</f>
        <v/>
      </c>
      <c r="AB334" s="51" t="str">
        <f>IFERROR(MATCH(330,$AC$5:$AC$354,0)+5,"")</f>
        <v/>
      </c>
      <c r="AC334" s="51" t="str">
        <f>IF('ORDER Form'!$V335="OK",COUNTIF('ORDER Form'!$V$6:$V335,"OK"),"")</f>
        <v/>
      </c>
      <c r="AD334" s="51" t="str">
        <f>IF($AB334="","",(LEN(TRIM(INDEX('ORDER Form'!$O$1:$O$355,$AB334)))+LEN(TRIM(INDEX('ORDER Form'!$P$1:$P$355,$AB334)))+LEN(TRIM(INDEX('ORDER Form'!$Q$1:$Q$355,$AB334)))+LEN(TRIM(INDEX('ORDER Form'!$R$1:$R$355,$AB334)))+LEN(TRIM(INDEX('ORDER Form'!$S$1:$S$355,$AB334)))+LEN(TRIM(INDEX('ORDER Form'!$T$1:$T$355,$AB334)))+LEN(TRIM(INDEX('ORDER Form'!$U$1:$U$355,$AB334))))=0)</f>
        <v/>
      </c>
    </row>
    <row r="335" spans="1:30" ht="15" customHeight="1" x14ac:dyDescent="0.25">
      <c r="A335" s="50" t="str">
        <f>IF($AB335="","",IFERROR(IF(AND(INDEX('ORDER Form'!$N$1:$N$355,$AB335)="GB",LEFT(UPPER(TRIM(INDEX('ORDER Form'!$L$1:$L$355,$AB335))),2)="BT"),INDEX('ORDER Form'!$AC$1:$AC$355,$AB335),IFERROR(VLOOKUP(INDEX('ORDER Form'!$AC$1:$AC$355,$AB335)&amp;"|"&amp;INDEX('PRODUCT DATA'!$A$2:$A$58,MATCH(INDEX('ORDER Form'!$N$1:$N$355,$AB335),'PRODUCT DATA'!$B$2:$B$58,0)),'PRODUCT DATA'!$NO$2:$NP$25,2,FALSE()),INDEX('ORDER Form'!$AC$1:$AC$355,$AB335)))&amp;"",""))</f>
        <v/>
      </c>
      <c r="B335" s="49"/>
      <c r="C335" s="51" t="str">
        <f>IF($AB335="","",INDEX('ORDER Form'!$C$1:$C$355,$AB335))</f>
        <v/>
      </c>
      <c r="D335" s="49"/>
      <c r="E335" s="49"/>
      <c r="F335" s="49"/>
      <c r="G335" s="49"/>
      <c r="H335" s="49"/>
      <c r="I335" s="49"/>
      <c r="J335" s="50" t="str">
        <f>IF($AB335="","",INDEX('ORDER Form'!$D$1:$D$355,$AB335)&amp;"")</f>
        <v/>
      </c>
      <c r="K335" s="50" t="str">
        <f>IF($AB335="","",INDEX('ORDER Form'!$E$1:$E$355,$AB335)&amp;"")</f>
        <v/>
      </c>
      <c r="L335" s="50" t="str">
        <f>IF($AB335="","",INDEX('ORDER Form'!$F$1:$F$355,$AB335)&amp;"")</f>
        <v/>
      </c>
      <c r="M335" s="50" t="str">
        <f>IF($AB335="","",INDEX('ORDER Form'!$G$1:$G$355,$AB335)&amp;"")</f>
        <v/>
      </c>
      <c r="N335" s="50" t="str">
        <f>IF($AB335="","",INDEX('ORDER Form'!$H$1:$H$355,$AB335)&amp;"")</f>
        <v/>
      </c>
      <c r="O335" s="50" t="str">
        <f>IF($AB335="","",INDEX('ORDER Form'!$I$1:$I$355,$AB335)&amp;"")</f>
        <v/>
      </c>
      <c r="P335" s="50" t="str">
        <f>IF($AB335="","",INDEX('ORDER Form'!$J$1:$J$355,$AB335)&amp;"")</f>
        <v/>
      </c>
      <c r="Q335" s="50" t="str">
        <f>IF($AB335="","",INDEX('ORDER Form'!$AB$1:$AB$355,$AB335)&amp;"")</f>
        <v/>
      </c>
      <c r="R335" s="50" t="str">
        <f>IF($AB335="","",INDEX('ORDER Form'!$L$1:$L$355,$AB335)&amp;"")</f>
        <v/>
      </c>
      <c r="S335" s="50" t="str">
        <f>IF($AB335="","",INDEX('ORDER Form'!$N$1:$N$355,$AB335)&amp;"")</f>
        <v/>
      </c>
      <c r="T335" s="50" t="str">
        <f>IF($AB335="","",IF($AD335,T$3,INDEX('ORDER Form'!$O$1:$O$355,$AB335))&amp;"")</f>
        <v/>
      </c>
      <c r="U335" s="50" t="str">
        <f>IF($AB335="","",IF($AD335,U$3,INDEX('ORDER Form'!$P$1:$P$355,$AB335))&amp;"")</f>
        <v/>
      </c>
      <c r="V335" s="50" t="str">
        <f>IF($AB335="","",IF($AD335,V$3,INDEX('ORDER Form'!$Q$1:$Q$355,$AB335))&amp;"")</f>
        <v/>
      </c>
      <c r="W335" s="50" t="str">
        <f>IF($AB335="","",IF($AD335,W$3,INDEX('ORDER Form'!$R$1:$R$355,$AB335))&amp;"")</f>
        <v/>
      </c>
      <c r="X335" s="50" t="str">
        <f>IF($AB335="","",IF($AD335,X$3,INDEX('ORDER Form'!$S$1:$S$355,$AB335))&amp;"")</f>
        <v/>
      </c>
      <c r="Y335" s="50" t="str">
        <f>IF($AB335="","",IF($AD335,Y$3,INDEX('ORDER Form'!$T$1:$T$355,$AB335))&amp;"")</f>
        <v/>
      </c>
      <c r="Z335" s="50" t="str">
        <f>IF($AB335="","",IF($AD335,Z$3,INDEX('ORDER Form'!$U$1:$U$355,$AB335))&amp;"")</f>
        <v/>
      </c>
      <c r="AB335" s="51" t="str">
        <f>IFERROR(MATCH(331,$AC$5:$AC$354,0)+5,"")</f>
        <v/>
      </c>
      <c r="AC335" s="51" t="str">
        <f>IF('ORDER Form'!$V336="OK",COUNTIF('ORDER Form'!$V$6:$V336,"OK"),"")</f>
        <v/>
      </c>
      <c r="AD335" s="51" t="str">
        <f>IF($AB335="","",(LEN(TRIM(INDEX('ORDER Form'!$O$1:$O$355,$AB335)))+LEN(TRIM(INDEX('ORDER Form'!$P$1:$P$355,$AB335)))+LEN(TRIM(INDEX('ORDER Form'!$Q$1:$Q$355,$AB335)))+LEN(TRIM(INDEX('ORDER Form'!$R$1:$R$355,$AB335)))+LEN(TRIM(INDEX('ORDER Form'!$S$1:$S$355,$AB335)))+LEN(TRIM(INDEX('ORDER Form'!$T$1:$T$355,$AB335)))+LEN(TRIM(INDEX('ORDER Form'!$U$1:$U$355,$AB335))))=0)</f>
        <v/>
      </c>
    </row>
    <row r="336" spans="1:30" ht="15" customHeight="1" x14ac:dyDescent="0.25">
      <c r="A336" s="50" t="str">
        <f>IF($AB336="","",IFERROR(IF(AND(INDEX('ORDER Form'!$N$1:$N$355,$AB336)="GB",LEFT(UPPER(TRIM(INDEX('ORDER Form'!$L$1:$L$355,$AB336))),2)="BT"),INDEX('ORDER Form'!$AC$1:$AC$355,$AB336),IFERROR(VLOOKUP(INDEX('ORDER Form'!$AC$1:$AC$355,$AB336)&amp;"|"&amp;INDEX('PRODUCT DATA'!$A$2:$A$58,MATCH(INDEX('ORDER Form'!$N$1:$N$355,$AB336),'PRODUCT DATA'!$B$2:$B$58,0)),'PRODUCT DATA'!$NO$2:$NP$25,2,FALSE()),INDEX('ORDER Form'!$AC$1:$AC$355,$AB336)))&amp;"",""))</f>
        <v/>
      </c>
      <c r="B336" s="49"/>
      <c r="C336" s="51" t="str">
        <f>IF($AB336="","",INDEX('ORDER Form'!$C$1:$C$355,$AB336))</f>
        <v/>
      </c>
      <c r="D336" s="49"/>
      <c r="E336" s="49"/>
      <c r="F336" s="49"/>
      <c r="G336" s="49"/>
      <c r="H336" s="49"/>
      <c r="I336" s="49"/>
      <c r="J336" s="50" t="str">
        <f>IF($AB336="","",INDEX('ORDER Form'!$D$1:$D$355,$AB336)&amp;"")</f>
        <v/>
      </c>
      <c r="K336" s="50" t="str">
        <f>IF($AB336="","",INDEX('ORDER Form'!$E$1:$E$355,$AB336)&amp;"")</f>
        <v/>
      </c>
      <c r="L336" s="50" t="str">
        <f>IF($AB336="","",INDEX('ORDER Form'!$F$1:$F$355,$AB336)&amp;"")</f>
        <v/>
      </c>
      <c r="M336" s="50" t="str">
        <f>IF($AB336="","",INDEX('ORDER Form'!$G$1:$G$355,$AB336)&amp;"")</f>
        <v/>
      </c>
      <c r="N336" s="50" t="str">
        <f>IF($AB336="","",INDEX('ORDER Form'!$H$1:$H$355,$AB336)&amp;"")</f>
        <v/>
      </c>
      <c r="O336" s="50" t="str">
        <f>IF($AB336="","",INDEX('ORDER Form'!$I$1:$I$355,$AB336)&amp;"")</f>
        <v/>
      </c>
      <c r="P336" s="50" t="str">
        <f>IF($AB336="","",INDEX('ORDER Form'!$J$1:$J$355,$AB336)&amp;"")</f>
        <v/>
      </c>
      <c r="Q336" s="50" t="str">
        <f>IF($AB336="","",INDEX('ORDER Form'!$AB$1:$AB$355,$AB336)&amp;"")</f>
        <v/>
      </c>
      <c r="R336" s="50" t="str">
        <f>IF($AB336="","",INDEX('ORDER Form'!$L$1:$L$355,$AB336)&amp;"")</f>
        <v/>
      </c>
      <c r="S336" s="50" t="str">
        <f>IF($AB336="","",INDEX('ORDER Form'!$N$1:$N$355,$AB336)&amp;"")</f>
        <v/>
      </c>
      <c r="T336" s="50" t="str">
        <f>IF($AB336="","",IF($AD336,T$3,INDEX('ORDER Form'!$O$1:$O$355,$AB336))&amp;"")</f>
        <v/>
      </c>
      <c r="U336" s="50" t="str">
        <f>IF($AB336="","",IF($AD336,U$3,INDEX('ORDER Form'!$P$1:$P$355,$AB336))&amp;"")</f>
        <v/>
      </c>
      <c r="V336" s="50" t="str">
        <f>IF($AB336="","",IF($AD336,V$3,INDEX('ORDER Form'!$Q$1:$Q$355,$AB336))&amp;"")</f>
        <v/>
      </c>
      <c r="W336" s="50" t="str">
        <f>IF($AB336="","",IF($AD336,W$3,INDEX('ORDER Form'!$R$1:$R$355,$AB336))&amp;"")</f>
        <v/>
      </c>
      <c r="X336" s="50" t="str">
        <f>IF($AB336="","",IF($AD336,X$3,INDEX('ORDER Form'!$S$1:$S$355,$AB336))&amp;"")</f>
        <v/>
      </c>
      <c r="Y336" s="50" t="str">
        <f>IF($AB336="","",IF($AD336,Y$3,INDEX('ORDER Form'!$T$1:$T$355,$AB336))&amp;"")</f>
        <v/>
      </c>
      <c r="Z336" s="50" t="str">
        <f>IF($AB336="","",IF($AD336,Z$3,INDEX('ORDER Form'!$U$1:$U$355,$AB336))&amp;"")</f>
        <v/>
      </c>
      <c r="AB336" s="51" t="str">
        <f>IFERROR(MATCH(332,$AC$5:$AC$354,0)+5,"")</f>
        <v/>
      </c>
      <c r="AC336" s="51" t="str">
        <f>IF('ORDER Form'!$V337="OK",COUNTIF('ORDER Form'!$V$6:$V337,"OK"),"")</f>
        <v/>
      </c>
      <c r="AD336" s="51" t="str">
        <f>IF($AB336="","",(LEN(TRIM(INDEX('ORDER Form'!$O$1:$O$355,$AB336)))+LEN(TRIM(INDEX('ORDER Form'!$P$1:$P$355,$AB336)))+LEN(TRIM(INDEX('ORDER Form'!$Q$1:$Q$355,$AB336)))+LEN(TRIM(INDEX('ORDER Form'!$R$1:$R$355,$AB336)))+LEN(TRIM(INDEX('ORDER Form'!$S$1:$S$355,$AB336)))+LEN(TRIM(INDEX('ORDER Form'!$T$1:$T$355,$AB336)))+LEN(TRIM(INDEX('ORDER Form'!$U$1:$U$355,$AB336))))=0)</f>
        <v/>
      </c>
    </row>
    <row r="337" spans="1:30" ht="15" customHeight="1" x14ac:dyDescent="0.25">
      <c r="A337" s="50" t="str">
        <f>IF($AB337="","",IFERROR(IF(AND(INDEX('ORDER Form'!$N$1:$N$355,$AB337)="GB",LEFT(UPPER(TRIM(INDEX('ORDER Form'!$L$1:$L$355,$AB337))),2)="BT"),INDEX('ORDER Form'!$AC$1:$AC$355,$AB337),IFERROR(VLOOKUP(INDEX('ORDER Form'!$AC$1:$AC$355,$AB337)&amp;"|"&amp;INDEX('PRODUCT DATA'!$A$2:$A$58,MATCH(INDEX('ORDER Form'!$N$1:$N$355,$AB337),'PRODUCT DATA'!$B$2:$B$58,0)),'PRODUCT DATA'!$NO$2:$NP$25,2,FALSE()),INDEX('ORDER Form'!$AC$1:$AC$355,$AB337)))&amp;"",""))</f>
        <v/>
      </c>
      <c r="B337" s="49"/>
      <c r="C337" s="51" t="str">
        <f>IF($AB337="","",INDEX('ORDER Form'!$C$1:$C$355,$AB337))</f>
        <v/>
      </c>
      <c r="D337" s="49"/>
      <c r="E337" s="49"/>
      <c r="F337" s="49"/>
      <c r="G337" s="49"/>
      <c r="H337" s="49"/>
      <c r="I337" s="49"/>
      <c r="J337" s="50" t="str">
        <f>IF($AB337="","",INDEX('ORDER Form'!$D$1:$D$355,$AB337)&amp;"")</f>
        <v/>
      </c>
      <c r="K337" s="50" t="str">
        <f>IF($AB337="","",INDEX('ORDER Form'!$E$1:$E$355,$AB337)&amp;"")</f>
        <v/>
      </c>
      <c r="L337" s="50" t="str">
        <f>IF($AB337="","",INDEX('ORDER Form'!$F$1:$F$355,$AB337)&amp;"")</f>
        <v/>
      </c>
      <c r="M337" s="50" t="str">
        <f>IF($AB337="","",INDEX('ORDER Form'!$G$1:$G$355,$AB337)&amp;"")</f>
        <v/>
      </c>
      <c r="N337" s="50" t="str">
        <f>IF($AB337="","",INDEX('ORDER Form'!$H$1:$H$355,$AB337)&amp;"")</f>
        <v/>
      </c>
      <c r="O337" s="50" t="str">
        <f>IF($AB337="","",INDEX('ORDER Form'!$I$1:$I$355,$AB337)&amp;"")</f>
        <v/>
      </c>
      <c r="P337" s="50" t="str">
        <f>IF($AB337="","",INDEX('ORDER Form'!$J$1:$J$355,$AB337)&amp;"")</f>
        <v/>
      </c>
      <c r="Q337" s="50" t="str">
        <f>IF($AB337="","",INDEX('ORDER Form'!$AB$1:$AB$355,$AB337)&amp;"")</f>
        <v/>
      </c>
      <c r="R337" s="50" t="str">
        <f>IF($AB337="","",INDEX('ORDER Form'!$L$1:$L$355,$AB337)&amp;"")</f>
        <v/>
      </c>
      <c r="S337" s="50" t="str">
        <f>IF($AB337="","",INDEX('ORDER Form'!$N$1:$N$355,$AB337)&amp;"")</f>
        <v/>
      </c>
      <c r="T337" s="50" t="str">
        <f>IF($AB337="","",IF($AD337,T$3,INDEX('ORDER Form'!$O$1:$O$355,$AB337))&amp;"")</f>
        <v/>
      </c>
      <c r="U337" s="50" t="str">
        <f>IF($AB337="","",IF($AD337,U$3,INDEX('ORDER Form'!$P$1:$P$355,$AB337))&amp;"")</f>
        <v/>
      </c>
      <c r="V337" s="50" t="str">
        <f>IF($AB337="","",IF($AD337,V$3,INDEX('ORDER Form'!$Q$1:$Q$355,$AB337))&amp;"")</f>
        <v/>
      </c>
      <c r="W337" s="50" t="str">
        <f>IF($AB337="","",IF($AD337,W$3,INDEX('ORDER Form'!$R$1:$R$355,$AB337))&amp;"")</f>
        <v/>
      </c>
      <c r="X337" s="50" t="str">
        <f>IF($AB337="","",IF($AD337,X$3,INDEX('ORDER Form'!$S$1:$S$355,$AB337))&amp;"")</f>
        <v/>
      </c>
      <c r="Y337" s="50" t="str">
        <f>IF($AB337="","",IF($AD337,Y$3,INDEX('ORDER Form'!$T$1:$T$355,$AB337))&amp;"")</f>
        <v/>
      </c>
      <c r="Z337" s="50" t="str">
        <f>IF($AB337="","",IF($AD337,Z$3,INDEX('ORDER Form'!$U$1:$U$355,$AB337))&amp;"")</f>
        <v/>
      </c>
      <c r="AB337" s="51" t="str">
        <f>IFERROR(MATCH(333,$AC$5:$AC$354,0)+5,"")</f>
        <v/>
      </c>
      <c r="AC337" s="51" t="str">
        <f>IF('ORDER Form'!$V338="OK",COUNTIF('ORDER Form'!$V$6:$V338,"OK"),"")</f>
        <v/>
      </c>
      <c r="AD337" s="51" t="str">
        <f>IF($AB337="","",(LEN(TRIM(INDEX('ORDER Form'!$O$1:$O$355,$AB337)))+LEN(TRIM(INDEX('ORDER Form'!$P$1:$P$355,$AB337)))+LEN(TRIM(INDEX('ORDER Form'!$Q$1:$Q$355,$AB337)))+LEN(TRIM(INDEX('ORDER Form'!$R$1:$R$355,$AB337)))+LEN(TRIM(INDEX('ORDER Form'!$S$1:$S$355,$AB337)))+LEN(TRIM(INDEX('ORDER Form'!$T$1:$T$355,$AB337)))+LEN(TRIM(INDEX('ORDER Form'!$U$1:$U$355,$AB337))))=0)</f>
        <v/>
      </c>
    </row>
    <row r="338" spans="1:30" ht="15" customHeight="1" x14ac:dyDescent="0.25">
      <c r="A338" s="50" t="str">
        <f>IF($AB338="","",IFERROR(IF(AND(INDEX('ORDER Form'!$N$1:$N$355,$AB338)="GB",LEFT(UPPER(TRIM(INDEX('ORDER Form'!$L$1:$L$355,$AB338))),2)="BT"),INDEX('ORDER Form'!$AC$1:$AC$355,$AB338),IFERROR(VLOOKUP(INDEX('ORDER Form'!$AC$1:$AC$355,$AB338)&amp;"|"&amp;INDEX('PRODUCT DATA'!$A$2:$A$58,MATCH(INDEX('ORDER Form'!$N$1:$N$355,$AB338),'PRODUCT DATA'!$B$2:$B$58,0)),'PRODUCT DATA'!$NO$2:$NP$25,2,FALSE()),INDEX('ORDER Form'!$AC$1:$AC$355,$AB338)))&amp;"",""))</f>
        <v/>
      </c>
      <c r="B338" s="49"/>
      <c r="C338" s="51" t="str">
        <f>IF($AB338="","",INDEX('ORDER Form'!$C$1:$C$355,$AB338))</f>
        <v/>
      </c>
      <c r="D338" s="49"/>
      <c r="E338" s="49"/>
      <c r="F338" s="49"/>
      <c r="G338" s="49"/>
      <c r="H338" s="49"/>
      <c r="I338" s="49"/>
      <c r="J338" s="50" t="str">
        <f>IF($AB338="","",INDEX('ORDER Form'!$D$1:$D$355,$AB338)&amp;"")</f>
        <v/>
      </c>
      <c r="K338" s="50" t="str">
        <f>IF($AB338="","",INDEX('ORDER Form'!$E$1:$E$355,$AB338)&amp;"")</f>
        <v/>
      </c>
      <c r="L338" s="50" t="str">
        <f>IF($AB338="","",INDEX('ORDER Form'!$F$1:$F$355,$AB338)&amp;"")</f>
        <v/>
      </c>
      <c r="M338" s="50" t="str">
        <f>IF($AB338="","",INDEX('ORDER Form'!$G$1:$G$355,$AB338)&amp;"")</f>
        <v/>
      </c>
      <c r="N338" s="50" t="str">
        <f>IF($AB338="","",INDEX('ORDER Form'!$H$1:$H$355,$AB338)&amp;"")</f>
        <v/>
      </c>
      <c r="O338" s="50" t="str">
        <f>IF($AB338="","",INDEX('ORDER Form'!$I$1:$I$355,$AB338)&amp;"")</f>
        <v/>
      </c>
      <c r="P338" s="50" t="str">
        <f>IF($AB338="","",INDEX('ORDER Form'!$J$1:$J$355,$AB338)&amp;"")</f>
        <v/>
      </c>
      <c r="Q338" s="50" t="str">
        <f>IF($AB338="","",INDEX('ORDER Form'!$AB$1:$AB$355,$AB338)&amp;"")</f>
        <v/>
      </c>
      <c r="R338" s="50" t="str">
        <f>IF($AB338="","",INDEX('ORDER Form'!$L$1:$L$355,$AB338)&amp;"")</f>
        <v/>
      </c>
      <c r="S338" s="50" t="str">
        <f>IF($AB338="","",INDEX('ORDER Form'!$N$1:$N$355,$AB338)&amp;"")</f>
        <v/>
      </c>
      <c r="T338" s="50" t="str">
        <f>IF($AB338="","",IF($AD338,T$3,INDEX('ORDER Form'!$O$1:$O$355,$AB338))&amp;"")</f>
        <v/>
      </c>
      <c r="U338" s="50" t="str">
        <f>IF($AB338="","",IF($AD338,U$3,INDEX('ORDER Form'!$P$1:$P$355,$AB338))&amp;"")</f>
        <v/>
      </c>
      <c r="V338" s="50" t="str">
        <f>IF($AB338="","",IF($AD338,V$3,INDEX('ORDER Form'!$Q$1:$Q$355,$AB338))&amp;"")</f>
        <v/>
      </c>
      <c r="W338" s="50" t="str">
        <f>IF($AB338="","",IF($AD338,W$3,INDEX('ORDER Form'!$R$1:$R$355,$AB338))&amp;"")</f>
        <v/>
      </c>
      <c r="X338" s="50" t="str">
        <f>IF($AB338="","",IF($AD338,X$3,INDEX('ORDER Form'!$S$1:$S$355,$AB338))&amp;"")</f>
        <v/>
      </c>
      <c r="Y338" s="50" t="str">
        <f>IF($AB338="","",IF($AD338,Y$3,INDEX('ORDER Form'!$T$1:$T$355,$AB338))&amp;"")</f>
        <v/>
      </c>
      <c r="Z338" s="50" t="str">
        <f>IF($AB338="","",IF($AD338,Z$3,INDEX('ORDER Form'!$U$1:$U$355,$AB338))&amp;"")</f>
        <v/>
      </c>
      <c r="AB338" s="51" t="str">
        <f>IFERROR(MATCH(334,$AC$5:$AC$354,0)+5,"")</f>
        <v/>
      </c>
      <c r="AC338" s="51" t="str">
        <f>IF('ORDER Form'!$V339="OK",COUNTIF('ORDER Form'!$V$6:$V339,"OK"),"")</f>
        <v/>
      </c>
      <c r="AD338" s="51" t="str">
        <f>IF($AB338="","",(LEN(TRIM(INDEX('ORDER Form'!$O$1:$O$355,$AB338)))+LEN(TRIM(INDEX('ORDER Form'!$P$1:$P$355,$AB338)))+LEN(TRIM(INDEX('ORDER Form'!$Q$1:$Q$355,$AB338)))+LEN(TRIM(INDEX('ORDER Form'!$R$1:$R$355,$AB338)))+LEN(TRIM(INDEX('ORDER Form'!$S$1:$S$355,$AB338)))+LEN(TRIM(INDEX('ORDER Form'!$T$1:$T$355,$AB338)))+LEN(TRIM(INDEX('ORDER Form'!$U$1:$U$355,$AB338))))=0)</f>
        <v/>
      </c>
    </row>
    <row r="339" spans="1:30" ht="15" customHeight="1" x14ac:dyDescent="0.25">
      <c r="A339" s="50" t="str">
        <f>IF($AB339="","",IFERROR(IF(AND(INDEX('ORDER Form'!$N$1:$N$355,$AB339)="GB",LEFT(UPPER(TRIM(INDEX('ORDER Form'!$L$1:$L$355,$AB339))),2)="BT"),INDEX('ORDER Form'!$AC$1:$AC$355,$AB339),IFERROR(VLOOKUP(INDEX('ORDER Form'!$AC$1:$AC$355,$AB339)&amp;"|"&amp;INDEX('PRODUCT DATA'!$A$2:$A$58,MATCH(INDEX('ORDER Form'!$N$1:$N$355,$AB339),'PRODUCT DATA'!$B$2:$B$58,0)),'PRODUCT DATA'!$NO$2:$NP$25,2,FALSE()),INDEX('ORDER Form'!$AC$1:$AC$355,$AB339)))&amp;"",""))</f>
        <v/>
      </c>
      <c r="B339" s="49"/>
      <c r="C339" s="51" t="str">
        <f>IF($AB339="","",INDEX('ORDER Form'!$C$1:$C$355,$AB339))</f>
        <v/>
      </c>
      <c r="D339" s="49"/>
      <c r="E339" s="49"/>
      <c r="F339" s="49"/>
      <c r="G339" s="49"/>
      <c r="H339" s="49"/>
      <c r="I339" s="49"/>
      <c r="J339" s="50" t="str">
        <f>IF($AB339="","",INDEX('ORDER Form'!$D$1:$D$355,$AB339)&amp;"")</f>
        <v/>
      </c>
      <c r="K339" s="50" t="str">
        <f>IF($AB339="","",INDEX('ORDER Form'!$E$1:$E$355,$AB339)&amp;"")</f>
        <v/>
      </c>
      <c r="L339" s="50" t="str">
        <f>IF($AB339="","",INDEX('ORDER Form'!$F$1:$F$355,$AB339)&amp;"")</f>
        <v/>
      </c>
      <c r="M339" s="50" t="str">
        <f>IF($AB339="","",INDEX('ORDER Form'!$G$1:$G$355,$AB339)&amp;"")</f>
        <v/>
      </c>
      <c r="N339" s="50" t="str">
        <f>IF($AB339="","",INDEX('ORDER Form'!$H$1:$H$355,$AB339)&amp;"")</f>
        <v/>
      </c>
      <c r="O339" s="50" t="str">
        <f>IF($AB339="","",INDEX('ORDER Form'!$I$1:$I$355,$AB339)&amp;"")</f>
        <v/>
      </c>
      <c r="P339" s="50" t="str">
        <f>IF($AB339="","",INDEX('ORDER Form'!$J$1:$J$355,$AB339)&amp;"")</f>
        <v/>
      </c>
      <c r="Q339" s="50" t="str">
        <f>IF($AB339="","",INDEX('ORDER Form'!$AB$1:$AB$355,$AB339)&amp;"")</f>
        <v/>
      </c>
      <c r="R339" s="50" t="str">
        <f>IF($AB339="","",INDEX('ORDER Form'!$L$1:$L$355,$AB339)&amp;"")</f>
        <v/>
      </c>
      <c r="S339" s="50" t="str">
        <f>IF($AB339="","",INDEX('ORDER Form'!$N$1:$N$355,$AB339)&amp;"")</f>
        <v/>
      </c>
      <c r="T339" s="50" t="str">
        <f>IF($AB339="","",IF($AD339,T$3,INDEX('ORDER Form'!$O$1:$O$355,$AB339))&amp;"")</f>
        <v/>
      </c>
      <c r="U339" s="50" t="str">
        <f>IF($AB339="","",IF($AD339,U$3,INDEX('ORDER Form'!$P$1:$P$355,$AB339))&amp;"")</f>
        <v/>
      </c>
      <c r="V339" s="50" t="str">
        <f>IF($AB339="","",IF($AD339,V$3,INDEX('ORDER Form'!$Q$1:$Q$355,$AB339))&amp;"")</f>
        <v/>
      </c>
      <c r="W339" s="50" t="str">
        <f>IF($AB339="","",IF($AD339,W$3,INDEX('ORDER Form'!$R$1:$R$355,$AB339))&amp;"")</f>
        <v/>
      </c>
      <c r="X339" s="50" t="str">
        <f>IF($AB339="","",IF($AD339,X$3,INDEX('ORDER Form'!$S$1:$S$355,$AB339))&amp;"")</f>
        <v/>
      </c>
      <c r="Y339" s="50" t="str">
        <f>IF($AB339="","",IF($AD339,Y$3,INDEX('ORDER Form'!$T$1:$T$355,$AB339))&amp;"")</f>
        <v/>
      </c>
      <c r="Z339" s="50" t="str">
        <f>IF($AB339="","",IF($AD339,Z$3,INDEX('ORDER Form'!$U$1:$U$355,$AB339))&amp;"")</f>
        <v/>
      </c>
      <c r="AB339" s="51" t="str">
        <f>IFERROR(MATCH(335,$AC$5:$AC$354,0)+5,"")</f>
        <v/>
      </c>
      <c r="AC339" s="51" t="str">
        <f>IF('ORDER Form'!$V340="OK",COUNTIF('ORDER Form'!$V$6:$V340,"OK"),"")</f>
        <v/>
      </c>
      <c r="AD339" s="51" t="str">
        <f>IF($AB339="","",(LEN(TRIM(INDEX('ORDER Form'!$O$1:$O$355,$AB339)))+LEN(TRIM(INDEX('ORDER Form'!$P$1:$P$355,$AB339)))+LEN(TRIM(INDEX('ORDER Form'!$Q$1:$Q$355,$AB339)))+LEN(TRIM(INDEX('ORDER Form'!$R$1:$R$355,$AB339)))+LEN(TRIM(INDEX('ORDER Form'!$S$1:$S$355,$AB339)))+LEN(TRIM(INDEX('ORDER Form'!$T$1:$T$355,$AB339)))+LEN(TRIM(INDEX('ORDER Form'!$U$1:$U$355,$AB339))))=0)</f>
        <v/>
      </c>
    </row>
    <row r="340" spans="1:30" ht="15" customHeight="1" x14ac:dyDescent="0.25">
      <c r="A340" s="50" t="str">
        <f>IF($AB340="","",IFERROR(IF(AND(INDEX('ORDER Form'!$N$1:$N$355,$AB340)="GB",LEFT(UPPER(TRIM(INDEX('ORDER Form'!$L$1:$L$355,$AB340))),2)="BT"),INDEX('ORDER Form'!$AC$1:$AC$355,$AB340),IFERROR(VLOOKUP(INDEX('ORDER Form'!$AC$1:$AC$355,$AB340)&amp;"|"&amp;INDEX('PRODUCT DATA'!$A$2:$A$58,MATCH(INDEX('ORDER Form'!$N$1:$N$355,$AB340),'PRODUCT DATA'!$B$2:$B$58,0)),'PRODUCT DATA'!$NO$2:$NP$25,2,FALSE()),INDEX('ORDER Form'!$AC$1:$AC$355,$AB340)))&amp;"",""))</f>
        <v/>
      </c>
      <c r="B340" s="49"/>
      <c r="C340" s="51" t="str">
        <f>IF($AB340="","",INDEX('ORDER Form'!$C$1:$C$355,$AB340))</f>
        <v/>
      </c>
      <c r="D340" s="49"/>
      <c r="E340" s="49"/>
      <c r="F340" s="49"/>
      <c r="G340" s="49"/>
      <c r="H340" s="49"/>
      <c r="I340" s="49"/>
      <c r="J340" s="50" t="str">
        <f>IF($AB340="","",INDEX('ORDER Form'!$D$1:$D$355,$AB340)&amp;"")</f>
        <v/>
      </c>
      <c r="K340" s="50" t="str">
        <f>IF($AB340="","",INDEX('ORDER Form'!$E$1:$E$355,$AB340)&amp;"")</f>
        <v/>
      </c>
      <c r="L340" s="50" t="str">
        <f>IF($AB340="","",INDEX('ORDER Form'!$F$1:$F$355,$AB340)&amp;"")</f>
        <v/>
      </c>
      <c r="M340" s="50" t="str">
        <f>IF($AB340="","",INDEX('ORDER Form'!$G$1:$G$355,$AB340)&amp;"")</f>
        <v/>
      </c>
      <c r="N340" s="50" t="str">
        <f>IF($AB340="","",INDEX('ORDER Form'!$H$1:$H$355,$AB340)&amp;"")</f>
        <v/>
      </c>
      <c r="O340" s="50" t="str">
        <f>IF($AB340="","",INDEX('ORDER Form'!$I$1:$I$355,$AB340)&amp;"")</f>
        <v/>
      </c>
      <c r="P340" s="50" t="str">
        <f>IF($AB340="","",INDEX('ORDER Form'!$J$1:$J$355,$AB340)&amp;"")</f>
        <v/>
      </c>
      <c r="Q340" s="50" t="str">
        <f>IF($AB340="","",INDEX('ORDER Form'!$AB$1:$AB$355,$AB340)&amp;"")</f>
        <v/>
      </c>
      <c r="R340" s="50" t="str">
        <f>IF($AB340="","",INDEX('ORDER Form'!$L$1:$L$355,$AB340)&amp;"")</f>
        <v/>
      </c>
      <c r="S340" s="50" t="str">
        <f>IF($AB340="","",INDEX('ORDER Form'!$N$1:$N$355,$AB340)&amp;"")</f>
        <v/>
      </c>
      <c r="T340" s="50" t="str">
        <f>IF($AB340="","",IF($AD340,T$3,INDEX('ORDER Form'!$O$1:$O$355,$AB340))&amp;"")</f>
        <v/>
      </c>
      <c r="U340" s="50" t="str">
        <f>IF($AB340="","",IF($AD340,U$3,INDEX('ORDER Form'!$P$1:$P$355,$AB340))&amp;"")</f>
        <v/>
      </c>
      <c r="V340" s="50" t="str">
        <f>IF($AB340="","",IF($AD340,V$3,INDEX('ORDER Form'!$Q$1:$Q$355,$AB340))&amp;"")</f>
        <v/>
      </c>
      <c r="W340" s="50" t="str">
        <f>IF($AB340="","",IF($AD340,W$3,INDEX('ORDER Form'!$R$1:$R$355,$AB340))&amp;"")</f>
        <v/>
      </c>
      <c r="X340" s="50" t="str">
        <f>IF($AB340="","",IF($AD340,X$3,INDEX('ORDER Form'!$S$1:$S$355,$AB340))&amp;"")</f>
        <v/>
      </c>
      <c r="Y340" s="50" t="str">
        <f>IF($AB340="","",IF($AD340,Y$3,INDEX('ORDER Form'!$T$1:$T$355,$AB340))&amp;"")</f>
        <v/>
      </c>
      <c r="Z340" s="50" t="str">
        <f>IF($AB340="","",IF($AD340,Z$3,INDEX('ORDER Form'!$U$1:$U$355,$AB340))&amp;"")</f>
        <v/>
      </c>
      <c r="AB340" s="51" t="str">
        <f>IFERROR(MATCH(336,$AC$5:$AC$354,0)+5,"")</f>
        <v/>
      </c>
      <c r="AC340" s="51" t="str">
        <f>IF('ORDER Form'!$V341="OK",COUNTIF('ORDER Form'!$V$6:$V341,"OK"),"")</f>
        <v/>
      </c>
      <c r="AD340" s="51" t="str">
        <f>IF($AB340="","",(LEN(TRIM(INDEX('ORDER Form'!$O$1:$O$355,$AB340)))+LEN(TRIM(INDEX('ORDER Form'!$P$1:$P$355,$AB340)))+LEN(TRIM(INDEX('ORDER Form'!$Q$1:$Q$355,$AB340)))+LEN(TRIM(INDEX('ORDER Form'!$R$1:$R$355,$AB340)))+LEN(TRIM(INDEX('ORDER Form'!$S$1:$S$355,$AB340)))+LEN(TRIM(INDEX('ORDER Form'!$T$1:$T$355,$AB340)))+LEN(TRIM(INDEX('ORDER Form'!$U$1:$U$355,$AB340))))=0)</f>
        <v/>
      </c>
    </row>
    <row r="341" spans="1:30" ht="15" customHeight="1" x14ac:dyDescent="0.25">
      <c r="A341" s="50" t="str">
        <f>IF($AB341="","",IFERROR(IF(AND(INDEX('ORDER Form'!$N$1:$N$355,$AB341)="GB",LEFT(UPPER(TRIM(INDEX('ORDER Form'!$L$1:$L$355,$AB341))),2)="BT"),INDEX('ORDER Form'!$AC$1:$AC$355,$AB341),IFERROR(VLOOKUP(INDEX('ORDER Form'!$AC$1:$AC$355,$AB341)&amp;"|"&amp;INDEX('PRODUCT DATA'!$A$2:$A$58,MATCH(INDEX('ORDER Form'!$N$1:$N$355,$AB341),'PRODUCT DATA'!$B$2:$B$58,0)),'PRODUCT DATA'!$NO$2:$NP$25,2,FALSE()),INDEX('ORDER Form'!$AC$1:$AC$355,$AB341)))&amp;"",""))</f>
        <v/>
      </c>
      <c r="B341" s="49"/>
      <c r="C341" s="51" t="str">
        <f>IF($AB341="","",INDEX('ORDER Form'!$C$1:$C$355,$AB341))</f>
        <v/>
      </c>
      <c r="D341" s="49"/>
      <c r="E341" s="49"/>
      <c r="F341" s="49"/>
      <c r="G341" s="49"/>
      <c r="H341" s="49"/>
      <c r="I341" s="49"/>
      <c r="J341" s="50" t="str">
        <f>IF($AB341="","",INDEX('ORDER Form'!$D$1:$D$355,$AB341)&amp;"")</f>
        <v/>
      </c>
      <c r="K341" s="50" t="str">
        <f>IF($AB341="","",INDEX('ORDER Form'!$E$1:$E$355,$AB341)&amp;"")</f>
        <v/>
      </c>
      <c r="L341" s="50" t="str">
        <f>IF($AB341="","",INDEX('ORDER Form'!$F$1:$F$355,$AB341)&amp;"")</f>
        <v/>
      </c>
      <c r="M341" s="50" t="str">
        <f>IF($AB341="","",INDEX('ORDER Form'!$G$1:$G$355,$AB341)&amp;"")</f>
        <v/>
      </c>
      <c r="N341" s="50" t="str">
        <f>IF($AB341="","",INDEX('ORDER Form'!$H$1:$H$355,$AB341)&amp;"")</f>
        <v/>
      </c>
      <c r="O341" s="50" t="str">
        <f>IF($AB341="","",INDEX('ORDER Form'!$I$1:$I$355,$AB341)&amp;"")</f>
        <v/>
      </c>
      <c r="P341" s="50" t="str">
        <f>IF($AB341="","",INDEX('ORDER Form'!$J$1:$J$355,$AB341)&amp;"")</f>
        <v/>
      </c>
      <c r="Q341" s="50" t="str">
        <f>IF($AB341="","",INDEX('ORDER Form'!$AB$1:$AB$355,$AB341)&amp;"")</f>
        <v/>
      </c>
      <c r="R341" s="50" t="str">
        <f>IF($AB341="","",INDEX('ORDER Form'!$L$1:$L$355,$AB341)&amp;"")</f>
        <v/>
      </c>
      <c r="S341" s="50" t="str">
        <f>IF($AB341="","",INDEX('ORDER Form'!$N$1:$N$355,$AB341)&amp;"")</f>
        <v/>
      </c>
      <c r="T341" s="50" t="str">
        <f>IF($AB341="","",IF($AD341,T$3,INDEX('ORDER Form'!$O$1:$O$355,$AB341))&amp;"")</f>
        <v/>
      </c>
      <c r="U341" s="50" t="str">
        <f>IF($AB341="","",IF($AD341,U$3,INDEX('ORDER Form'!$P$1:$P$355,$AB341))&amp;"")</f>
        <v/>
      </c>
      <c r="V341" s="50" t="str">
        <f>IF($AB341="","",IF($AD341,V$3,INDEX('ORDER Form'!$Q$1:$Q$355,$AB341))&amp;"")</f>
        <v/>
      </c>
      <c r="W341" s="50" t="str">
        <f>IF($AB341="","",IF($AD341,W$3,INDEX('ORDER Form'!$R$1:$R$355,$AB341))&amp;"")</f>
        <v/>
      </c>
      <c r="X341" s="50" t="str">
        <f>IF($AB341="","",IF($AD341,X$3,INDEX('ORDER Form'!$S$1:$S$355,$AB341))&amp;"")</f>
        <v/>
      </c>
      <c r="Y341" s="50" t="str">
        <f>IF($AB341="","",IF($AD341,Y$3,INDEX('ORDER Form'!$T$1:$T$355,$AB341))&amp;"")</f>
        <v/>
      </c>
      <c r="Z341" s="50" t="str">
        <f>IF($AB341="","",IF($AD341,Z$3,INDEX('ORDER Form'!$U$1:$U$355,$AB341))&amp;"")</f>
        <v/>
      </c>
      <c r="AB341" s="51" t="str">
        <f>IFERROR(MATCH(337,$AC$5:$AC$354,0)+5,"")</f>
        <v/>
      </c>
      <c r="AC341" s="51" t="str">
        <f>IF('ORDER Form'!$V342="OK",COUNTIF('ORDER Form'!$V$6:$V342,"OK"),"")</f>
        <v/>
      </c>
      <c r="AD341" s="51" t="str">
        <f>IF($AB341="","",(LEN(TRIM(INDEX('ORDER Form'!$O$1:$O$355,$AB341)))+LEN(TRIM(INDEX('ORDER Form'!$P$1:$P$355,$AB341)))+LEN(TRIM(INDEX('ORDER Form'!$Q$1:$Q$355,$AB341)))+LEN(TRIM(INDEX('ORDER Form'!$R$1:$R$355,$AB341)))+LEN(TRIM(INDEX('ORDER Form'!$S$1:$S$355,$AB341)))+LEN(TRIM(INDEX('ORDER Form'!$T$1:$T$355,$AB341)))+LEN(TRIM(INDEX('ORDER Form'!$U$1:$U$355,$AB341))))=0)</f>
        <v/>
      </c>
    </row>
    <row r="342" spans="1:30" ht="15" customHeight="1" x14ac:dyDescent="0.25">
      <c r="A342" s="50" t="str">
        <f>IF($AB342="","",IFERROR(IF(AND(INDEX('ORDER Form'!$N$1:$N$355,$AB342)="GB",LEFT(UPPER(TRIM(INDEX('ORDER Form'!$L$1:$L$355,$AB342))),2)="BT"),INDEX('ORDER Form'!$AC$1:$AC$355,$AB342),IFERROR(VLOOKUP(INDEX('ORDER Form'!$AC$1:$AC$355,$AB342)&amp;"|"&amp;INDEX('PRODUCT DATA'!$A$2:$A$58,MATCH(INDEX('ORDER Form'!$N$1:$N$355,$AB342),'PRODUCT DATA'!$B$2:$B$58,0)),'PRODUCT DATA'!$NO$2:$NP$25,2,FALSE()),INDEX('ORDER Form'!$AC$1:$AC$355,$AB342)))&amp;"",""))</f>
        <v/>
      </c>
      <c r="B342" s="49"/>
      <c r="C342" s="51" t="str">
        <f>IF($AB342="","",INDEX('ORDER Form'!$C$1:$C$355,$AB342))</f>
        <v/>
      </c>
      <c r="D342" s="49"/>
      <c r="E342" s="49"/>
      <c r="F342" s="49"/>
      <c r="G342" s="49"/>
      <c r="H342" s="49"/>
      <c r="I342" s="49"/>
      <c r="J342" s="50" t="str">
        <f>IF($AB342="","",INDEX('ORDER Form'!$D$1:$D$355,$AB342)&amp;"")</f>
        <v/>
      </c>
      <c r="K342" s="50" t="str">
        <f>IF($AB342="","",INDEX('ORDER Form'!$E$1:$E$355,$AB342)&amp;"")</f>
        <v/>
      </c>
      <c r="L342" s="50" t="str">
        <f>IF($AB342="","",INDEX('ORDER Form'!$F$1:$F$355,$AB342)&amp;"")</f>
        <v/>
      </c>
      <c r="M342" s="50" t="str">
        <f>IF($AB342="","",INDEX('ORDER Form'!$G$1:$G$355,$AB342)&amp;"")</f>
        <v/>
      </c>
      <c r="N342" s="50" t="str">
        <f>IF($AB342="","",INDEX('ORDER Form'!$H$1:$H$355,$AB342)&amp;"")</f>
        <v/>
      </c>
      <c r="O342" s="50" t="str">
        <f>IF($AB342="","",INDEX('ORDER Form'!$I$1:$I$355,$AB342)&amp;"")</f>
        <v/>
      </c>
      <c r="P342" s="50" t="str">
        <f>IF($AB342="","",INDEX('ORDER Form'!$J$1:$J$355,$AB342)&amp;"")</f>
        <v/>
      </c>
      <c r="Q342" s="50" t="str">
        <f>IF($AB342="","",INDEX('ORDER Form'!$AB$1:$AB$355,$AB342)&amp;"")</f>
        <v/>
      </c>
      <c r="R342" s="50" t="str">
        <f>IF($AB342="","",INDEX('ORDER Form'!$L$1:$L$355,$AB342)&amp;"")</f>
        <v/>
      </c>
      <c r="S342" s="50" t="str">
        <f>IF($AB342="","",INDEX('ORDER Form'!$N$1:$N$355,$AB342)&amp;"")</f>
        <v/>
      </c>
      <c r="T342" s="50" t="str">
        <f>IF($AB342="","",IF($AD342,T$3,INDEX('ORDER Form'!$O$1:$O$355,$AB342))&amp;"")</f>
        <v/>
      </c>
      <c r="U342" s="50" t="str">
        <f>IF($AB342="","",IF($AD342,U$3,INDEX('ORDER Form'!$P$1:$P$355,$AB342))&amp;"")</f>
        <v/>
      </c>
      <c r="V342" s="50" t="str">
        <f>IF($AB342="","",IF($AD342,V$3,INDEX('ORDER Form'!$Q$1:$Q$355,$AB342))&amp;"")</f>
        <v/>
      </c>
      <c r="W342" s="50" t="str">
        <f>IF($AB342="","",IF($AD342,W$3,INDEX('ORDER Form'!$R$1:$R$355,$AB342))&amp;"")</f>
        <v/>
      </c>
      <c r="X342" s="50" t="str">
        <f>IF($AB342="","",IF($AD342,X$3,INDEX('ORDER Form'!$S$1:$S$355,$AB342))&amp;"")</f>
        <v/>
      </c>
      <c r="Y342" s="50" t="str">
        <f>IF($AB342="","",IF($AD342,Y$3,INDEX('ORDER Form'!$T$1:$T$355,$AB342))&amp;"")</f>
        <v/>
      </c>
      <c r="Z342" s="50" t="str">
        <f>IF($AB342="","",IF($AD342,Z$3,INDEX('ORDER Form'!$U$1:$U$355,$AB342))&amp;"")</f>
        <v/>
      </c>
      <c r="AB342" s="51" t="str">
        <f>IFERROR(MATCH(338,$AC$5:$AC$354,0)+5,"")</f>
        <v/>
      </c>
      <c r="AC342" s="51" t="str">
        <f>IF('ORDER Form'!$V343="OK",COUNTIF('ORDER Form'!$V$6:$V343,"OK"),"")</f>
        <v/>
      </c>
      <c r="AD342" s="51" t="str">
        <f>IF($AB342="","",(LEN(TRIM(INDEX('ORDER Form'!$O$1:$O$355,$AB342)))+LEN(TRIM(INDEX('ORDER Form'!$P$1:$P$355,$AB342)))+LEN(TRIM(INDEX('ORDER Form'!$Q$1:$Q$355,$AB342)))+LEN(TRIM(INDEX('ORDER Form'!$R$1:$R$355,$AB342)))+LEN(TRIM(INDEX('ORDER Form'!$S$1:$S$355,$AB342)))+LEN(TRIM(INDEX('ORDER Form'!$T$1:$T$355,$AB342)))+LEN(TRIM(INDEX('ORDER Form'!$U$1:$U$355,$AB342))))=0)</f>
        <v/>
      </c>
    </row>
    <row r="343" spans="1:30" ht="15" customHeight="1" x14ac:dyDescent="0.25">
      <c r="A343" s="50" t="str">
        <f>IF($AB343="","",IFERROR(IF(AND(INDEX('ORDER Form'!$N$1:$N$355,$AB343)="GB",LEFT(UPPER(TRIM(INDEX('ORDER Form'!$L$1:$L$355,$AB343))),2)="BT"),INDEX('ORDER Form'!$AC$1:$AC$355,$AB343),IFERROR(VLOOKUP(INDEX('ORDER Form'!$AC$1:$AC$355,$AB343)&amp;"|"&amp;INDEX('PRODUCT DATA'!$A$2:$A$58,MATCH(INDEX('ORDER Form'!$N$1:$N$355,$AB343),'PRODUCT DATA'!$B$2:$B$58,0)),'PRODUCT DATA'!$NO$2:$NP$25,2,FALSE()),INDEX('ORDER Form'!$AC$1:$AC$355,$AB343)))&amp;"",""))</f>
        <v/>
      </c>
      <c r="B343" s="49"/>
      <c r="C343" s="51" t="str">
        <f>IF($AB343="","",INDEX('ORDER Form'!$C$1:$C$355,$AB343))</f>
        <v/>
      </c>
      <c r="D343" s="49"/>
      <c r="E343" s="49"/>
      <c r="F343" s="49"/>
      <c r="G343" s="49"/>
      <c r="H343" s="49"/>
      <c r="I343" s="49"/>
      <c r="J343" s="50" t="str">
        <f>IF($AB343="","",INDEX('ORDER Form'!$D$1:$D$355,$AB343)&amp;"")</f>
        <v/>
      </c>
      <c r="K343" s="50" t="str">
        <f>IF($AB343="","",INDEX('ORDER Form'!$E$1:$E$355,$AB343)&amp;"")</f>
        <v/>
      </c>
      <c r="L343" s="50" t="str">
        <f>IF($AB343="","",INDEX('ORDER Form'!$F$1:$F$355,$AB343)&amp;"")</f>
        <v/>
      </c>
      <c r="M343" s="50" t="str">
        <f>IF($AB343="","",INDEX('ORDER Form'!$G$1:$G$355,$AB343)&amp;"")</f>
        <v/>
      </c>
      <c r="N343" s="50" t="str">
        <f>IF($AB343="","",INDEX('ORDER Form'!$H$1:$H$355,$AB343)&amp;"")</f>
        <v/>
      </c>
      <c r="O343" s="50" t="str">
        <f>IF($AB343="","",INDEX('ORDER Form'!$I$1:$I$355,$AB343)&amp;"")</f>
        <v/>
      </c>
      <c r="P343" s="50" t="str">
        <f>IF($AB343="","",INDEX('ORDER Form'!$J$1:$J$355,$AB343)&amp;"")</f>
        <v/>
      </c>
      <c r="Q343" s="50" t="str">
        <f>IF($AB343="","",INDEX('ORDER Form'!$AB$1:$AB$355,$AB343)&amp;"")</f>
        <v/>
      </c>
      <c r="R343" s="50" t="str">
        <f>IF($AB343="","",INDEX('ORDER Form'!$L$1:$L$355,$AB343)&amp;"")</f>
        <v/>
      </c>
      <c r="S343" s="50" t="str">
        <f>IF($AB343="","",INDEX('ORDER Form'!$N$1:$N$355,$AB343)&amp;"")</f>
        <v/>
      </c>
      <c r="T343" s="50" t="str">
        <f>IF($AB343="","",IF($AD343,T$3,INDEX('ORDER Form'!$O$1:$O$355,$AB343))&amp;"")</f>
        <v/>
      </c>
      <c r="U343" s="50" t="str">
        <f>IF($AB343="","",IF($AD343,U$3,INDEX('ORDER Form'!$P$1:$P$355,$AB343))&amp;"")</f>
        <v/>
      </c>
      <c r="V343" s="50" t="str">
        <f>IF($AB343="","",IF($AD343,V$3,INDEX('ORDER Form'!$Q$1:$Q$355,$AB343))&amp;"")</f>
        <v/>
      </c>
      <c r="W343" s="50" t="str">
        <f>IF($AB343="","",IF($AD343,W$3,INDEX('ORDER Form'!$R$1:$R$355,$AB343))&amp;"")</f>
        <v/>
      </c>
      <c r="X343" s="50" t="str">
        <f>IF($AB343="","",IF($AD343,X$3,INDEX('ORDER Form'!$S$1:$S$355,$AB343))&amp;"")</f>
        <v/>
      </c>
      <c r="Y343" s="50" t="str">
        <f>IF($AB343="","",IF($AD343,Y$3,INDEX('ORDER Form'!$T$1:$T$355,$AB343))&amp;"")</f>
        <v/>
      </c>
      <c r="Z343" s="50" t="str">
        <f>IF($AB343="","",IF($AD343,Z$3,INDEX('ORDER Form'!$U$1:$U$355,$AB343))&amp;"")</f>
        <v/>
      </c>
      <c r="AB343" s="51" t="str">
        <f>IFERROR(MATCH(339,$AC$5:$AC$354,0)+5,"")</f>
        <v/>
      </c>
      <c r="AC343" s="51" t="str">
        <f>IF('ORDER Form'!$V344="OK",COUNTIF('ORDER Form'!$V$6:$V344,"OK"),"")</f>
        <v/>
      </c>
      <c r="AD343" s="51" t="str">
        <f>IF($AB343="","",(LEN(TRIM(INDEX('ORDER Form'!$O$1:$O$355,$AB343)))+LEN(TRIM(INDEX('ORDER Form'!$P$1:$P$355,$AB343)))+LEN(TRIM(INDEX('ORDER Form'!$Q$1:$Q$355,$AB343)))+LEN(TRIM(INDEX('ORDER Form'!$R$1:$R$355,$AB343)))+LEN(TRIM(INDEX('ORDER Form'!$S$1:$S$355,$AB343)))+LEN(TRIM(INDEX('ORDER Form'!$T$1:$T$355,$AB343)))+LEN(TRIM(INDEX('ORDER Form'!$U$1:$U$355,$AB343))))=0)</f>
        <v/>
      </c>
    </row>
    <row r="344" spans="1:30" ht="15" customHeight="1" x14ac:dyDescent="0.25">
      <c r="A344" s="50" t="str">
        <f>IF($AB344="","",IFERROR(IF(AND(INDEX('ORDER Form'!$N$1:$N$355,$AB344)="GB",LEFT(UPPER(TRIM(INDEX('ORDER Form'!$L$1:$L$355,$AB344))),2)="BT"),INDEX('ORDER Form'!$AC$1:$AC$355,$AB344),IFERROR(VLOOKUP(INDEX('ORDER Form'!$AC$1:$AC$355,$AB344)&amp;"|"&amp;INDEX('PRODUCT DATA'!$A$2:$A$58,MATCH(INDEX('ORDER Form'!$N$1:$N$355,$AB344),'PRODUCT DATA'!$B$2:$B$58,0)),'PRODUCT DATA'!$NO$2:$NP$25,2,FALSE()),INDEX('ORDER Form'!$AC$1:$AC$355,$AB344)))&amp;"",""))</f>
        <v/>
      </c>
      <c r="B344" s="49"/>
      <c r="C344" s="51" t="str">
        <f>IF($AB344="","",INDEX('ORDER Form'!$C$1:$C$355,$AB344))</f>
        <v/>
      </c>
      <c r="D344" s="49"/>
      <c r="E344" s="49"/>
      <c r="F344" s="49"/>
      <c r="G344" s="49"/>
      <c r="H344" s="49"/>
      <c r="I344" s="49"/>
      <c r="J344" s="50" t="str">
        <f>IF($AB344="","",INDEX('ORDER Form'!$D$1:$D$355,$AB344)&amp;"")</f>
        <v/>
      </c>
      <c r="K344" s="50" t="str">
        <f>IF($AB344="","",INDEX('ORDER Form'!$E$1:$E$355,$AB344)&amp;"")</f>
        <v/>
      </c>
      <c r="L344" s="50" t="str">
        <f>IF($AB344="","",INDEX('ORDER Form'!$F$1:$F$355,$AB344)&amp;"")</f>
        <v/>
      </c>
      <c r="M344" s="50" t="str">
        <f>IF($AB344="","",INDEX('ORDER Form'!$G$1:$G$355,$AB344)&amp;"")</f>
        <v/>
      </c>
      <c r="N344" s="50" t="str">
        <f>IF($AB344="","",INDEX('ORDER Form'!$H$1:$H$355,$AB344)&amp;"")</f>
        <v/>
      </c>
      <c r="O344" s="50" t="str">
        <f>IF($AB344="","",INDEX('ORDER Form'!$I$1:$I$355,$AB344)&amp;"")</f>
        <v/>
      </c>
      <c r="P344" s="50" t="str">
        <f>IF($AB344="","",INDEX('ORDER Form'!$J$1:$J$355,$AB344)&amp;"")</f>
        <v/>
      </c>
      <c r="Q344" s="50" t="str">
        <f>IF($AB344="","",INDEX('ORDER Form'!$AB$1:$AB$355,$AB344)&amp;"")</f>
        <v/>
      </c>
      <c r="R344" s="50" t="str">
        <f>IF($AB344="","",INDEX('ORDER Form'!$L$1:$L$355,$AB344)&amp;"")</f>
        <v/>
      </c>
      <c r="S344" s="50" t="str">
        <f>IF($AB344="","",INDEX('ORDER Form'!$N$1:$N$355,$AB344)&amp;"")</f>
        <v/>
      </c>
      <c r="T344" s="50" t="str">
        <f>IF($AB344="","",IF($AD344,T$3,INDEX('ORDER Form'!$O$1:$O$355,$AB344))&amp;"")</f>
        <v/>
      </c>
      <c r="U344" s="50" t="str">
        <f>IF($AB344="","",IF($AD344,U$3,INDEX('ORDER Form'!$P$1:$P$355,$AB344))&amp;"")</f>
        <v/>
      </c>
      <c r="V344" s="50" t="str">
        <f>IF($AB344="","",IF($AD344,V$3,INDEX('ORDER Form'!$Q$1:$Q$355,$AB344))&amp;"")</f>
        <v/>
      </c>
      <c r="W344" s="50" t="str">
        <f>IF($AB344="","",IF($AD344,W$3,INDEX('ORDER Form'!$R$1:$R$355,$AB344))&amp;"")</f>
        <v/>
      </c>
      <c r="X344" s="50" t="str">
        <f>IF($AB344="","",IF($AD344,X$3,INDEX('ORDER Form'!$S$1:$S$355,$AB344))&amp;"")</f>
        <v/>
      </c>
      <c r="Y344" s="50" t="str">
        <f>IF($AB344="","",IF($AD344,Y$3,INDEX('ORDER Form'!$T$1:$T$355,$AB344))&amp;"")</f>
        <v/>
      </c>
      <c r="Z344" s="50" t="str">
        <f>IF($AB344="","",IF($AD344,Z$3,INDEX('ORDER Form'!$U$1:$U$355,$AB344))&amp;"")</f>
        <v/>
      </c>
      <c r="AB344" s="51" t="str">
        <f>IFERROR(MATCH(340,$AC$5:$AC$354,0)+5,"")</f>
        <v/>
      </c>
      <c r="AC344" s="51" t="str">
        <f>IF('ORDER Form'!$V345="OK",COUNTIF('ORDER Form'!$V$6:$V345,"OK"),"")</f>
        <v/>
      </c>
      <c r="AD344" s="51" t="str">
        <f>IF($AB344="","",(LEN(TRIM(INDEX('ORDER Form'!$O$1:$O$355,$AB344)))+LEN(TRIM(INDEX('ORDER Form'!$P$1:$P$355,$AB344)))+LEN(TRIM(INDEX('ORDER Form'!$Q$1:$Q$355,$AB344)))+LEN(TRIM(INDEX('ORDER Form'!$R$1:$R$355,$AB344)))+LEN(TRIM(INDEX('ORDER Form'!$S$1:$S$355,$AB344)))+LEN(TRIM(INDEX('ORDER Form'!$T$1:$T$355,$AB344)))+LEN(TRIM(INDEX('ORDER Form'!$U$1:$U$355,$AB344))))=0)</f>
        <v/>
      </c>
    </row>
    <row r="345" spans="1:30" ht="15" customHeight="1" x14ac:dyDescent="0.25">
      <c r="A345" s="50" t="str">
        <f>IF($AB345="","",IFERROR(IF(AND(INDEX('ORDER Form'!$N$1:$N$355,$AB345)="GB",LEFT(UPPER(TRIM(INDEX('ORDER Form'!$L$1:$L$355,$AB345))),2)="BT"),INDEX('ORDER Form'!$AC$1:$AC$355,$AB345),IFERROR(VLOOKUP(INDEX('ORDER Form'!$AC$1:$AC$355,$AB345)&amp;"|"&amp;INDEX('PRODUCT DATA'!$A$2:$A$58,MATCH(INDEX('ORDER Form'!$N$1:$N$355,$AB345),'PRODUCT DATA'!$B$2:$B$58,0)),'PRODUCT DATA'!$NO$2:$NP$25,2,FALSE()),INDEX('ORDER Form'!$AC$1:$AC$355,$AB345)))&amp;"",""))</f>
        <v/>
      </c>
      <c r="B345" s="49"/>
      <c r="C345" s="51" t="str">
        <f>IF($AB345="","",INDEX('ORDER Form'!$C$1:$C$355,$AB345))</f>
        <v/>
      </c>
      <c r="D345" s="49"/>
      <c r="E345" s="49"/>
      <c r="F345" s="49"/>
      <c r="G345" s="49"/>
      <c r="H345" s="49"/>
      <c r="I345" s="49"/>
      <c r="J345" s="50" t="str">
        <f>IF($AB345="","",INDEX('ORDER Form'!$D$1:$D$355,$AB345)&amp;"")</f>
        <v/>
      </c>
      <c r="K345" s="50" t="str">
        <f>IF($AB345="","",INDEX('ORDER Form'!$E$1:$E$355,$AB345)&amp;"")</f>
        <v/>
      </c>
      <c r="L345" s="50" t="str">
        <f>IF($AB345="","",INDEX('ORDER Form'!$F$1:$F$355,$AB345)&amp;"")</f>
        <v/>
      </c>
      <c r="M345" s="50" t="str">
        <f>IF($AB345="","",INDEX('ORDER Form'!$G$1:$G$355,$AB345)&amp;"")</f>
        <v/>
      </c>
      <c r="N345" s="50" t="str">
        <f>IF($AB345="","",INDEX('ORDER Form'!$H$1:$H$355,$AB345)&amp;"")</f>
        <v/>
      </c>
      <c r="O345" s="50" t="str">
        <f>IF($AB345="","",INDEX('ORDER Form'!$I$1:$I$355,$AB345)&amp;"")</f>
        <v/>
      </c>
      <c r="P345" s="50" t="str">
        <f>IF($AB345="","",INDEX('ORDER Form'!$J$1:$J$355,$AB345)&amp;"")</f>
        <v/>
      </c>
      <c r="Q345" s="50" t="str">
        <f>IF($AB345="","",INDEX('ORDER Form'!$AB$1:$AB$355,$AB345)&amp;"")</f>
        <v/>
      </c>
      <c r="R345" s="50" t="str">
        <f>IF($AB345="","",INDEX('ORDER Form'!$L$1:$L$355,$AB345)&amp;"")</f>
        <v/>
      </c>
      <c r="S345" s="50" t="str">
        <f>IF($AB345="","",INDEX('ORDER Form'!$N$1:$N$355,$AB345)&amp;"")</f>
        <v/>
      </c>
      <c r="T345" s="50" t="str">
        <f>IF($AB345="","",IF($AD345,T$3,INDEX('ORDER Form'!$O$1:$O$355,$AB345))&amp;"")</f>
        <v/>
      </c>
      <c r="U345" s="50" t="str">
        <f>IF($AB345="","",IF($AD345,U$3,INDEX('ORDER Form'!$P$1:$P$355,$AB345))&amp;"")</f>
        <v/>
      </c>
      <c r="V345" s="50" t="str">
        <f>IF($AB345="","",IF($AD345,V$3,INDEX('ORDER Form'!$Q$1:$Q$355,$AB345))&amp;"")</f>
        <v/>
      </c>
      <c r="W345" s="50" t="str">
        <f>IF($AB345="","",IF($AD345,W$3,INDEX('ORDER Form'!$R$1:$R$355,$AB345))&amp;"")</f>
        <v/>
      </c>
      <c r="X345" s="50" t="str">
        <f>IF($AB345="","",IF($AD345,X$3,INDEX('ORDER Form'!$S$1:$S$355,$AB345))&amp;"")</f>
        <v/>
      </c>
      <c r="Y345" s="50" t="str">
        <f>IF($AB345="","",IF($AD345,Y$3,INDEX('ORDER Form'!$T$1:$T$355,$AB345))&amp;"")</f>
        <v/>
      </c>
      <c r="Z345" s="50" t="str">
        <f>IF($AB345="","",IF($AD345,Z$3,INDEX('ORDER Form'!$U$1:$U$355,$AB345))&amp;"")</f>
        <v/>
      </c>
      <c r="AB345" s="51" t="str">
        <f>IFERROR(MATCH(341,$AC$5:$AC$354,0)+5,"")</f>
        <v/>
      </c>
      <c r="AC345" s="51" t="str">
        <f>IF('ORDER Form'!$V346="OK",COUNTIF('ORDER Form'!$V$6:$V346,"OK"),"")</f>
        <v/>
      </c>
      <c r="AD345" s="51" t="str">
        <f>IF($AB345="","",(LEN(TRIM(INDEX('ORDER Form'!$O$1:$O$355,$AB345)))+LEN(TRIM(INDEX('ORDER Form'!$P$1:$P$355,$AB345)))+LEN(TRIM(INDEX('ORDER Form'!$Q$1:$Q$355,$AB345)))+LEN(TRIM(INDEX('ORDER Form'!$R$1:$R$355,$AB345)))+LEN(TRIM(INDEX('ORDER Form'!$S$1:$S$355,$AB345)))+LEN(TRIM(INDEX('ORDER Form'!$T$1:$T$355,$AB345)))+LEN(TRIM(INDEX('ORDER Form'!$U$1:$U$355,$AB345))))=0)</f>
        <v/>
      </c>
    </row>
    <row r="346" spans="1:30" ht="15" customHeight="1" x14ac:dyDescent="0.25">
      <c r="A346" s="50" t="str">
        <f>IF($AB346="","",IFERROR(IF(AND(INDEX('ORDER Form'!$N$1:$N$355,$AB346)="GB",LEFT(UPPER(TRIM(INDEX('ORDER Form'!$L$1:$L$355,$AB346))),2)="BT"),INDEX('ORDER Form'!$AC$1:$AC$355,$AB346),IFERROR(VLOOKUP(INDEX('ORDER Form'!$AC$1:$AC$355,$AB346)&amp;"|"&amp;INDEX('PRODUCT DATA'!$A$2:$A$58,MATCH(INDEX('ORDER Form'!$N$1:$N$355,$AB346),'PRODUCT DATA'!$B$2:$B$58,0)),'PRODUCT DATA'!$NO$2:$NP$25,2,FALSE()),INDEX('ORDER Form'!$AC$1:$AC$355,$AB346)))&amp;"",""))</f>
        <v/>
      </c>
      <c r="B346" s="49"/>
      <c r="C346" s="51" t="str">
        <f>IF($AB346="","",INDEX('ORDER Form'!$C$1:$C$355,$AB346))</f>
        <v/>
      </c>
      <c r="D346" s="49"/>
      <c r="E346" s="49"/>
      <c r="F346" s="49"/>
      <c r="G346" s="49"/>
      <c r="H346" s="49"/>
      <c r="I346" s="49"/>
      <c r="J346" s="50" t="str">
        <f>IF($AB346="","",INDEX('ORDER Form'!$D$1:$D$355,$AB346)&amp;"")</f>
        <v/>
      </c>
      <c r="K346" s="50" t="str">
        <f>IF($AB346="","",INDEX('ORDER Form'!$E$1:$E$355,$AB346)&amp;"")</f>
        <v/>
      </c>
      <c r="L346" s="50" t="str">
        <f>IF($AB346="","",INDEX('ORDER Form'!$F$1:$F$355,$AB346)&amp;"")</f>
        <v/>
      </c>
      <c r="M346" s="50" t="str">
        <f>IF($AB346="","",INDEX('ORDER Form'!$G$1:$G$355,$AB346)&amp;"")</f>
        <v/>
      </c>
      <c r="N346" s="50" t="str">
        <f>IF($AB346="","",INDEX('ORDER Form'!$H$1:$H$355,$AB346)&amp;"")</f>
        <v/>
      </c>
      <c r="O346" s="50" t="str">
        <f>IF($AB346="","",INDEX('ORDER Form'!$I$1:$I$355,$AB346)&amp;"")</f>
        <v/>
      </c>
      <c r="P346" s="50" t="str">
        <f>IF($AB346="","",INDEX('ORDER Form'!$J$1:$J$355,$AB346)&amp;"")</f>
        <v/>
      </c>
      <c r="Q346" s="50" t="str">
        <f>IF($AB346="","",INDEX('ORDER Form'!$AB$1:$AB$355,$AB346)&amp;"")</f>
        <v/>
      </c>
      <c r="R346" s="50" t="str">
        <f>IF($AB346="","",INDEX('ORDER Form'!$L$1:$L$355,$AB346)&amp;"")</f>
        <v/>
      </c>
      <c r="S346" s="50" t="str">
        <f>IF($AB346="","",INDEX('ORDER Form'!$N$1:$N$355,$AB346)&amp;"")</f>
        <v/>
      </c>
      <c r="T346" s="50" t="str">
        <f>IF($AB346="","",IF($AD346,T$3,INDEX('ORDER Form'!$O$1:$O$355,$AB346))&amp;"")</f>
        <v/>
      </c>
      <c r="U346" s="50" t="str">
        <f>IF($AB346="","",IF($AD346,U$3,INDEX('ORDER Form'!$P$1:$P$355,$AB346))&amp;"")</f>
        <v/>
      </c>
      <c r="V346" s="50" t="str">
        <f>IF($AB346="","",IF($AD346,V$3,INDEX('ORDER Form'!$Q$1:$Q$355,$AB346))&amp;"")</f>
        <v/>
      </c>
      <c r="W346" s="50" t="str">
        <f>IF($AB346="","",IF($AD346,W$3,INDEX('ORDER Form'!$R$1:$R$355,$AB346))&amp;"")</f>
        <v/>
      </c>
      <c r="X346" s="50" t="str">
        <f>IF($AB346="","",IF($AD346,X$3,INDEX('ORDER Form'!$S$1:$S$355,$AB346))&amp;"")</f>
        <v/>
      </c>
      <c r="Y346" s="50" t="str">
        <f>IF($AB346="","",IF($AD346,Y$3,INDEX('ORDER Form'!$T$1:$T$355,$AB346))&amp;"")</f>
        <v/>
      </c>
      <c r="Z346" s="50" t="str">
        <f>IF($AB346="","",IF($AD346,Z$3,INDEX('ORDER Form'!$U$1:$U$355,$AB346))&amp;"")</f>
        <v/>
      </c>
      <c r="AB346" s="51" t="str">
        <f>IFERROR(MATCH(342,$AC$5:$AC$354,0)+5,"")</f>
        <v/>
      </c>
      <c r="AC346" s="51" t="str">
        <f>IF('ORDER Form'!$V347="OK",COUNTIF('ORDER Form'!$V$6:$V347,"OK"),"")</f>
        <v/>
      </c>
      <c r="AD346" s="51" t="str">
        <f>IF($AB346="","",(LEN(TRIM(INDEX('ORDER Form'!$O$1:$O$355,$AB346)))+LEN(TRIM(INDEX('ORDER Form'!$P$1:$P$355,$AB346)))+LEN(TRIM(INDEX('ORDER Form'!$Q$1:$Q$355,$AB346)))+LEN(TRIM(INDEX('ORDER Form'!$R$1:$R$355,$AB346)))+LEN(TRIM(INDEX('ORDER Form'!$S$1:$S$355,$AB346)))+LEN(TRIM(INDEX('ORDER Form'!$T$1:$T$355,$AB346)))+LEN(TRIM(INDEX('ORDER Form'!$U$1:$U$355,$AB346))))=0)</f>
        <v/>
      </c>
    </row>
    <row r="347" spans="1:30" ht="15" customHeight="1" x14ac:dyDescent="0.25">
      <c r="A347" s="50" t="str">
        <f>IF($AB347="","",IFERROR(IF(AND(INDEX('ORDER Form'!$N$1:$N$355,$AB347)="GB",LEFT(UPPER(TRIM(INDEX('ORDER Form'!$L$1:$L$355,$AB347))),2)="BT"),INDEX('ORDER Form'!$AC$1:$AC$355,$AB347),IFERROR(VLOOKUP(INDEX('ORDER Form'!$AC$1:$AC$355,$AB347)&amp;"|"&amp;INDEX('PRODUCT DATA'!$A$2:$A$58,MATCH(INDEX('ORDER Form'!$N$1:$N$355,$AB347),'PRODUCT DATA'!$B$2:$B$58,0)),'PRODUCT DATA'!$NO$2:$NP$25,2,FALSE()),INDEX('ORDER Form'!$AC$1:$AC$355,$AB347)))&amp;"",""))</f>
        <v/>
      </c>
      <c r="B347" s="49"/>
      <c r="C347" s="51" t="str">
        <f>IF($AB347="","",INDEX('ORDER Form'!$C$1:$C$355,$AB347))</f>
        <v/>
      </c>
      <c r="D347" s="49"/>
      <c r="E347" s="49"/>
      <c r="F347" s="49"/>
      <c r="G347" s="49"/>
      <c r="H347" s="49"/>
      <c r="I347" s="49"/>
      <c r="J347" s="50" t="str">
        <f>IF($AB347="","",INDEX('ORDER Form'!$D$1:$D$355,$AB347)&amp;"")</f>
        <v/>
      </c>
      <c r="K347" s="50" t="str">
        <f>IF($AB347="","",INDEX('ORDER Form'!$E$1:$E$355,$AB347)&amp;"")</f>
        <v/>
      </c>
      <c r="L347" s="50" t="str">
        <f>IF($AB347="","",INDEX('ORDER Form'!$F$1:$F$355,$AB347)&amp;"")</f>
        <v/>
      </c>
      <c r="M347" s="50" t="str">
        <f>IF($AB347="","",INDEX('ORDER Form'!$G$1:$G$355,$AB347)&amp;"")</f>
        <v/>
      </c>
      <c r="N347" s="50" t="str">
        <f>IF($AB347="","",INDEX('ORDER Form'!$H$1:$H$355,$AB347)&amp;"")</f>
        <v/>
      </c>
      <c r="O347" s="50" t="str">
        <f>IF($AB347="","",INDEX('ORDER Form'!$I$1:$I$355,$AB347)&amp;"")</f>
        <v/>
      </c>
      <c r="P347" s="50" t="str">
        <f>IF($AB347="","",INDEX('ORDER Form'!$J$1:$J$355,$AB347)&amp;"")</f>
        <v/>
      </c>
      <c r="Q347" s="50" t="str">
        <f>IF($AB347="","",INDEX('ORDER Form'!$AB$1:$AB$355,$AB347)&amp;"")</f>
        <v/>
      </c>
      <c r="R347" s="50" t="str">
        <f>IF($AB347="","",INDEX('ORDER Form'!$L$1:$L$355,$AB347)&amp;"")</f>
        <v/>
      </c>
      <c r="S347" s="50" t="str">
        <f>IF($AB347="","",INDEX('ORDER Form'!$N$1:$N$355,$AB347)&amp;"")</f>
        <v/>
      </c>
      <c r="T347" s="50" t="str">
        <f>IF($AB347="","",IF($AD347,T$3,INDEX('ORDER Form'!$O$1:$O$355,$AB347))&amp;"")</f>
        <v/>
      </c>
      <c r="U347" s="50" t="str">
        <f>IF($AB347="","",IF($AD347,U$3,INDEX('ORDER Form'!$P$1:$P$355,$AB347))&amp;"")</f>
        <v/>
      </c>
      <c r="V347" s="50" t="str">
        <f>IF($AB347="","",IF($AD347,V$3,INDEX('ORDER Form'!$Q$1:$Q$355,$AB347))&amp;"")</f>
        <v/>
      </c>
      <c r="W347" s="50" t="str">
        <f>IF($AB347="","",IF($AD347,W$3,INDEX('ORDER Form'!$R$1:$R$355,$AB347))&amp;"")</f>
        <v/>
      </c>
      <c r="X347" s="50" t="str">
        <f>IF($AB347="","",IF($AD347,X$3,INDEX('ORDER Form'!$S$1:$S$355,$AB347))&amp;"")</f>
        <v/>
      </c>
      <c r="Y347" s="50" t="str">
        <f>IF($AB347="","",IF($AD347,Y$3,INDEX('ORDER Form'!$T$1:$T$355,$AB347))&amp;"")</f>
        <v/>
      </c>
      <c r="Z347" s="50" t="str">
        <f>IF($AB347="","",IF($AD347,Z$3,INDEX('ORDER Form'!$U$1:$U$355,$AB347))&amp;"")</f>
        <v/>
      </c>
      <c r="AB347" s="51" t="str">
        <f>IFERROR(MATCH(343,$AC$5:$AC$354,0)+5,"")</f>
        <v/>
      </c>
      <c r="AC347" s="51" t="str">
        <f>IF('ORDER Form'!$V348="OK",COUNTIF('ORDER Form'!$V$6:$V348,"OK"),"")</f>
        <v/>
      </c>
      <c r="AD347" s="51" t="str">
        <f>IF($AB347="","",(LEN(TRIM(INDEX('ORDER Form'!$O$1:$O$355,$AB347)))+LEN(TRIM(INDEX('ORDER Form'!$P$1:$P$355,$AB347)))+LEN(TRIM(INDEX('ORDER Form'!$Q$1:$Q$355,$AB347)))+LEN(TRIM(INDEX('ORDER Form'!$R$1:$R$355,$AB347)))+LEN(TRIM(INDEX('ORDER Form'!$S$1:$S$355,$AB347)))+LEN(TRIM(INDEX('ORDER Form'!$T$1:$T$355,$AB347)))+LEN(TRIM(INDEX('ORDER Form'!$U$1:$U$355,$AB347))))=0)</f>
        <v/>
      </c>
    </row>
    <row r="348" spans="1:30" ht="15" customHeight="1" x14ac:dyDescent="0.25">
      <c r="A348" s="50" t="str">
        <f>IF($AB348="","",IFERROR(IF(AND(INDEX('ORDER Form'!$N$1:$N$355,$AB348)="GB",LEFT(UPPER(TRIM(INDEX('ORDER Form'!$L$1:$L$355,$AB348))),2)="BT"),INDEX('ORDER Form'!$AC$1:$AC$355,$AB348),IFERROR(VLOOKUP(INDEX('ORDER Form'!$AC$1:$AC$355,$AB348)&amp;"|"&amp;INDEX('PRODUCT DATA'!$A$2:$A$58,MATCH(INDEX('ORDER Form'!$N$1:$N$355,$AB348),'PRODUCT DATA'!$B$2:$B$58,0)),'PRODUCT DATA'!$NO$2:$NP$25,2,FALSE()),INDEX('ORDER Form'!$AC$1:$AC$355,$AB348)))&amp;"",""))</f>
        <v/>
      </c>
      <c r="B348" s="49"/>
      <c r="C348" s="51" t="str">
        <f>IF($AB348="","",INDEX('ORDER Form'!$C$1:$C$355,$AB348))</f>
        <v/>
      </c>
      <c r="D348" s="49"/>
      <c r="E348" s="49"/>
      <c r="F348" s="49"/>
      <c r="G348" s="49"/>
      <c r="H348" s="49"/>
      <c r="I348" s="49"/>
      <c r="J348" s="50" t="str">
        <f>IF($AB348="","",INDEX('ORDER Form'!$D$1:$D$355,$AB348)&amp;"")</f>
        <v/>
      </c>
      <c r="K348" s="50" t="str">
        <f>IF($AB348="","",INDEX('ORDER Form'!$E$1:$E$355,$AB348)&amp;"")</f>
        <v/>
      </c>
      <c r="L348" s="50" t="str">
        <f>IF($AB348="","",INDEX('ORDER Form'!$F$1:$F$355,$AB348)&amp;"")</f>
        <v/>
      </c>
      <c r="M348" s="50" t="str">
        <f>IF($AB348="","",INDEX('ORDER Form'!$G$1:$G$355,$AB348)&amp;"")</f>
        <v/>
      </c>
      <c r="N348" s="50" t="str">
        <f>IF($AB348="","",INDEX('ORDER Form'!$H$1:$H$355,$AB348)&amp;"")</f>
        <v/>
      </c>
      <c r="O348" s="50" t="str">
        <f>IF($AB348="","",INDEX('ORDER Form'!$I$1:$I$355,$AB348)&amp;"")</f>
        <v/>
      </c>
      <c r="P348" s="50" t="str">
        <f>IF($AB348="","",INDEX('ORDER Form'!$J$1:$J$355,$AB348)&amp;"")</f>
        <v/>
      </c>
      <c r="Q348" s="50" t="str">
        <f>IF($AB348="","",INDEX('ORDER Form'!$AB$1:$AB$355,$AB348)&amp;"")</f>
        <v/>
      </c>
      <c r="R348" s="50" t="str">
        <f>IF($AB348="","",INDEX('ORDER Form'!$L$1:$L$355,$AB348)&amp;"")</f>
        <v/>
      </c>
      <c r="S348" s="50" t="str">
        <f>IF($AB348="","",INDEX('ORDER Form'!$N$1:$N$355,$AB348)&amp;"")</f>
        <v/>
      </c>
      <c r="T348" s="50" t="str">
        <f>IF($AB348="","",IF($AD348,T$3,INDEX('ORDER Form'!$O$1:$O$355,$AB348))&amp;"")</f>
        <v/>
      </c>
      <c r="U348" s="50" t="str">
        <f>IF($AB348="","",IF($AD348,U$3,INDEX('ORDER Form'!$P$1:$P$355,$AB348))&amp;"")</f>
        <v/>
      </c>
      <c r="V348" s="50" t="str">
        <f>IF($AB348="","",IF($AD348,V$3,INDEX('ORDER Form'!$Q$1:$Q$355,$AB348))&amp;"")</f>
        <v/>
      </c>
      <c r="W348" s="50" t="str">
        <f>IF($AB348="","",IF($AD348,W$3,INDEX('ORDER Form'!$R$1:$R$355,$AB348))&amp;"")</f>
        <v/>
      </c>
      <c r="X348" s="50" t="str">
        <f>IF($AB348="","",IF($AD348,X$3,INDEX('ORDER Form'!$S$1:$S$355,$AB348))&amp;"")</f>
        <v/>
      </c>
      <c r="Y348" s="50" t="str">
        <f>IF($AB348="","",IF($AD348,Y$3,INDEX('ORDER Form'!$T$1:$T$355,$AB348))&amp;"")</f>
        <v/>
      </c>
      <c r="Z348" s="50" t="str">
        <f>IF($AB348="","",IF($AD348,Z$3,INDEX('ORDER Form'!$U$1:$U$355,$AB348))&amp;"")</f>
        <v/>
      </c>
      <c r="AB348" s="51" t="str">
        <f>IFERROR(MATCH(344,$AC$5:$AC$354,0)+5,"")</f>
        <v/>
      </c>
      <c r="AC348" s="51" t="str">
        <f>IF('ORDER Form'!$V349="OK",COUNTIF('ORDER Form'!$V$6:$V349,"OK"),"")</f>
        <v/>
      </c>
      <c r="AD348" s="51" t="str">
        <f>IF($AB348="","",(LEN(TRIM(INDEX('ORDER Form'!$O$1:$O$355,$AB348)))+LEN(TRIM(INDEX('ORDER Form'!$P$1:$P$355,$AB348)))+LEN(TRIM(INDEX('ORDER Form'!$Q$1:$Q$355,$AB348)))+LEN(TRIM(INDEX('ORDER Form'!$R$1:$R$355,$AB348)))+LEN(TRIM(INDEX('ORDER Form'!$S$1:$S$355,$AB348)))+LEN(TRIM(INDEX('ORDER Form'!$T$1:$T$355,$AB348)))+LEN(TRIM(INDEX('ORDER Form'!$U$1:$U$355,$AB348))))=0)</f>
        <v/>
      </c>
    </row>
    <row r="349" spans="1:30" ht="15" customHeight="1" x14ac:dyDescent="0.25">
      <c r="A349" s="50" t="str">
        <f>IF($AB349="","",IFERROR(IF(AND(INDEX('ORDER Form'!$N$1:$N$355,$AB349)="GB",LEFT(UPPER(TRIM(INDEX('ORDER Form'!$L$1:$L$355,$AB349))),2)="BT"),INDEX('ORDER Form'!$AC$1:$AC$355,$AB349),IFERROR(VLOOKUP(INDEX('ORDER Form'!$AC$1:$AC$355,$AB349)&amp;"|"&amp;INDEX('PRODUCT DATA'!$A$2:$A$58,MATCH(INDEX('ORDER Form'!$N$1:$N$355,$AB349),'PRODUCT DATA'!$B$2:$B$58,0)),'PRODUCT DATA'!$NO$2:$NP$25,2,FALSE()),INDEX('ORDER Form'!$AC$1:$AC$355,$AB349)))&amp;"",""))</f>
        <v/>
      </c>
      <c r="B349" s="49"/>
      <c r="C349" s="51" t="str">
        <f>IF($AB349="","",INDEX('ORDER Form'!$C$1:$C$355,$AB349))</f>
        <v/>
      </c>
      <c r="D349" s="49"/>
      <c r="E349" s="49"/>
      <c r="F349" s="49"/>
      <c r="G349" s="49"/>
      <c r="H349" s="49"/>
      <c r="I349" s="49"/>
      <c r="J349" s="50" t="str">
        <f>IF($AB349="","",INDEX('ORDER Form'!$D$1:$D$355,$AB349)&amp;"")</f>
        <v/>
      </c>
      <c r="K349" s="50" t="str">
        <f>IF($AB349="","",INDEX('ORDER Form'!$E$1:$E$355,$AB349)&amp;"")</f>
        <v/>
      </c>
      <c r="L349" s="50" t="str">
        <f>IF($AB349="","",INDEX('ORDER Form'!$F$1:$F$355,$AB349)&amp;"")</f>
        <v/>
      </c>
      <c r="M349" s="50" t="str">
        <f>IF($AB349="","",INDEX('ORDER Form'!$G$1:$G$355,$AB349)&amp;"")</f>
        <v/>
      </c>
      <c r="N349" s="50" t="str">
        <f>IF($AB349="","",INDEX('ORDER Form'!$H$1:$H$355,$AB349)&amp;"")</f>
        <v/>
      </c>
      <c r="O349" s="50" t="str">
        <f>IF($AB349="","",INDEX('ORDER Form'!$I$1:$I$355,$AB349)&amp;"")</f>
        <v/>
      </c>
      <c r="P349" s="50" t="str">
        <f>IF($AB349="","",INDEX('ORDER Form'!$J$1:$J$355,$AB349)&amp;"")</f>
        <v/>
      </c>
      <c r="Q349" s="50" t="str">
        <f>IF($AB349="","",INDEX('ORDER Form'!$AB$1:$AB$355,$AB349)&amp;"")</f>
        <v/>
      </c>
      <c r="R349" s="50" t="str">
        <f>IF($AB349="","",INDEX('ORDER Form'!$L$1:$L$355,$AB349)&amp;"")</f>
        <v/>
      </c>
      <c r="S349" s="50" t="str">
        <f>IF($AB349="","",INDEX('ORDER Form'!$N$1:$N$355,$AB349)&amp;"")</f>
        <v/>
      </c>
      <c r="T349" s="50" t="str">
        <f>IF($AB349="","",IF($AD349,T$3,INDEX('ORDER Form'!$O$1:$O$355,$AB349))&amp;"")</f>
        <v/>
      </c>
      <c r="U349" s="50" t="str">
        <f>IF($AB349="","",IF($AD349,U$3,INDEX('ORDER Form'!$P$1:$P$355,$AB349))&amp;"")</f>
        <v/>
      </c>
      <c r="V349" s="50" t="str">
        <f>IF($AB349="","",IF($AD349,V$3,INDEX('ORDER Form'!$Q$1:$Q$355,$AB349))&amp;"")</f>
        <v/>
      </c>
      <c r="W349" s="50" t="str">
        <f>IF($AB349="","",IF($AD349,W$3,INDEX('ORDER Form'!$R$1:$R$355,$AB349))&amp;"")</f>
        <v/>
      </c>
      <c r="X349" s="50" t="str">
        <f>IF($AB349="","",IF($AD349,X$3,INDEX('ORDER Form'!$S$1:$S$355,$AB349))&amp;"")</f>
        <v/>
      </c>
      <c r="Y349" s="50" t="str">
        <f>IF($AB349="","",IF($AD349,Y$3,INDEX('ORDER Form'!$T$1:$T$355,$AB349))&amp;"")</f>
        <v/>
      </c>
      <c r="Z349" s="50" t="str">
        <f>IF($AB349="","",IF($AD349,Z$3,INDEX('ORDER Form'!$U$1:$U$355,$AB349))&amp;"")</f>
        <v/>
      </c>
      <c r="AB349" s="51" t="str">
        <f>IFERROR(MATCH(345,$AC$5:$AC$354,0)+5,"")</f>
        <v/>
      </c>
      <c r="AC349" s="51" t="str">
        <f>IF('ORDER Form'!$V350="OK",COUNTIF('ORDER Form'!$V$6:$V350,"OK"),"")</f>
        <v/>
      </c>
      <c r="AD349" s="51" t="str">
        <f>IF($AB349="","",(LEN(TRIM(INDEX('ORDER Form'!$O$1:$O$355,$AB349)))+LEN(TRIM(INDEX('ORDER Form'!$P$1:$P$355,$AB349)))+LEN(TRIM(INDEX('ORDER Form'!$Q$1:$Q$355,$AB349)))+LEN(TRIM(INDEX('ORDER Form'!$R$1:$R$355,$AB349)))+LEN(TRIM(INDEX('ORDER Form'!$S$1:$S$355,$AB349)))+LEN(TRIM(INDEX('ORDER Form'!$T$1:$T$355,$AB349)))+LEN(TRIM(INDEX('ORDER Form'!$U$1:$U$355,$AB349))))=0)</f>
        <v/>
      </c>
    </row>
    <row r="350" spans="1:30" ht="15" customHeight="1" x14ac:dyDescent="0.25">
      <c r="A350" s="50" t="str">
        <f>IF($AB350="","",IFERROR(IF(AND(INDEX('ORDER Form'!$N$1:$N$355,$AB350)="GB",LEFT(UPPER(TRIM(INDEX('ORDER Form'!$L$1:$L$355,$AB350))),2)="BT"),INDEX('ORDER Form'!$AC$1:$AC$355,$AB350),IFERROR(VLOOKUP(INDEX('ORDER Form'!$AC$1:$AC$355,$AB350)&amp;"|"&amp;INDEX('PRODUCT DATA'!$A$2:$A$58,MATCH(INDEX('ORDER Form'!$N$1:$N$355,$AB350),'PRODUCT DATA'!$B$2:$B$58,0)),'PRODUCT DATA'!$NO$2:$NP$25,2,FALSE()),INDEX('ORDER Form'!$AC$1:$AC$355,$AB350)))&amp;"",""))</f>
        <v/>
      </c>
      <c r="B350" s="49"/>
      <c r="C350" s="51" t="str">
        <f>IF($AB350="","",INDEX('ORDER Form'!$C$1:$C$355,$AB350))</f>
        <v/>
      </c>
      <c r="D350" s="49"/>
      <c r="E350" s="49"/>
      <c r="F350" s="49"/>
      <c r="G350" s="49"/>
      <c r="H350" s="49"/>
      <c r="I350" s="49"/>
      <c r="J350" s="50" t="str">
        <f>IF($AB350="","",INDEX('ORDER Form'!$D$1:$D$355,$AB350)&amp;"")</f>
        <v/>
      </c>
      <c r="K350" s="50" t="str">
        <f>IF($AB350="","",INDEX('ORDER Form'!$E$1:$E$355,$AB350)&amp;"")</f>
        <v/>
      </c>
      <c r="L350" s="50" t="str">
        <f>IF($AB350="","",INDEX('ORDER Form'!$F$1:$F$355,$AB350)&amp;"")</f>
        <v/>
      </c>
      <c r="M350" s="50" t="str">
        <f>IF($AB350="","",INDEX('ORDER Form'!$G$1:$G$355,$AB350)&amp;"")</f>
        <v/>
      </c>
      <c r="N350" s="50" t="str">
        <f>IF($AB350="","",INDEX('ORDER Form'!$H$1:$H$355,$AB350)&amp;"")</f>
        <v/>
      </c>
      <c r="O350" s="50" t="str">
        <f>IF($AB350="","",INDEX('ORDER Form'!$I$1:$I$355,$AB350)&amp;"")</f>
        <v/>
      </c>
      <c r="P350" s="50" t="str">
        <f>IF($AB350="","",INDEX('ORDER Form'!$J$1:$J$355,$AB350)&amp;"")</f>
        <v/>
      </c>
      <c r="Q350" s="50" t="str">
        <f>IF($AB350="","",INDEX('ORDER Form'!$AB$1:$AB$355,$AB350)&amp;"")</f>
        <v/>
      </c>
      <c r="R350" s="50" t="str">
        <f>IF($AB350="","",INDEX('ORDER Form'!$L$1:$L$355,$AB350)&amp;"")</f>
        <v/>
      </c>
      <c r="S350" s="50" t="str">
        <f>IF($AB350="","",INDEX('ORDER Form'!$N$1:$N$355,$AB350)&amp;"")</f>
        <v/>
      </c>
      <c r="T350" s="50" t="str">
        <f>IF($AB350="","",IF($AD350,T$3,INDEX('ORDER Form'!$O$1:$O$355,$AB350))&amp;"")</f>
        <v/>
      </c>
      <c r="U350" s="50" t="str">
        <f>IF($AB350="","",IF($AD350,U$3,INDEX('ORDER Form'!$P$1:$P$355,$AB350))&amp;"")</f>
        <v/>
      </c>
      <c r="V350" s="50" t="str">
        <f>IF($AB350="","",IF($AD350,V$3,INDEX('ORDER Form'!$Q$1:$Q$355,$AB350))&amp;"")</f>
        <v/>
      </c>
      <c r="W350" s="50" t="str">
        <f>IF($AB350="","",IF($AD350,W$3,INDEX('ORDER Form'!$R$1:$R$355,$AB350))&amp;"")</f>
        <v/>
      </c>
      <c r="X350" s="50" t="str">
        <f>IF($AB350="","",IF($AD350,X$3,INDEX('ORDER Form'!$S$1:$S$355,$AB350))&amp;"")</f>
        <v/>
      </c>
      <c r="Y350" s="50" t="str">
        <f>IF($AB350="","",IF($AD350,Y$3,INDEX('ORDER Form'!$T$1:$T$355,$AB350))&amp;"")</f>
        <v/>
      </c>
      <c r="Z350" s="50" t="str">
        <f>IF($AB350="","",IF($AD350,Z$3,INDEX('ORDER Form'!$U$1:$U$355,$AB350))&amp;"")</f>
        <v/>
      </c>
      <c r="AB350" s="51" t="str">
        <f>IFERROR(MATCH(346,$AC$5:$AC$354,0)+5,"")</f>
        <v/>
      </c>
      <c r="AC350" s="51" t="str">
        <f>IF('ORDER Form'!$V351="OK",COUNTIF('ORDER Form'!$V$6:$V351,"OK"),"")</f>
        <v/>
      </c>
      <c r="AD350" s="51" t="str">
        <f>IF($AB350="","",(LEN(TRIM(INDEX('ORDER Form'!$O$1:$O$355,$AB350)))+LEN(TRIM(INDEX('ORDER Form'!$P$1:$P$355,$AB350)))+LEN(TRIM(INDEX('ORDER Form'!$Q$1:$Q$355,$AB350)))+LEN(TRIM(INDEX('ORDER Form'!$R$1:$R$355,$AB350)))+LEN(TRIM(INDEX('ORDER Form'!$S$1:$S$355,$AB350)))+LEN(TRIM(INDEX('ORDER Form'!$T$1:$T$355,$AB350)))+LEN(TRIM(INDEX('ORDER Form'!$U$1:$U$355,$AB350))))=0)</f>
        <v/>
      </c>
    </row>
    <row r="351" spans="1:30" ht="15" customHeight="1" x14ac:dyDescent="0.25">
      <c r="A351" s="50" t="str">
        <f>IF($AB351="","",IFERROR(IF(AND(INDEX('ORDER Form'!$N$1:$N$355,$AB351)="GB",LEFT(UPPER(TRIM(INDEX('ORDER Form'!$L$1:$L$355,$AB351))),2)="BT"),INDEX('ORDER Form'!$AC$1:$AC$355,$AB351),IFERROR(VLOOKUP(INDEX('ORDER Form'!$AC$1:$AC$355,$AB351)&amp;"|"&amp;INDEX('PRODUCT DATA'!$A$2:$A$58,MATCH(INDEX('ORDER Form'!$N$1:$N$355,$AB351),'PRODUCT DATA'!$B$2:$B$58,0)),'PRODUCT DATA'!$NO$2:$NP$25,2,FALSE()),INDEX('ORDER Form'!$AC$1:$AC$355,$AB351)))&amp;"",""))</f>
        <v/>
      </c>
      <c r="B351" s="49"/>
      <c r="C351" s="51" t="str">
        <f>IF($AB351="","",INDEX('ORDER Form'!$C$1:$C$355,$AB351))</f>
        <v/>
      </c>
      <c r="D351" s="49"/>
      <c r="E351" s="49"/>
      <c r="F351" s="49"/>
      <c r="G351" s="49"/>
      <c r="H351" s="49"/>
      <c r="I351" s="49"/>
      <c r="J351" s="50" t="str">
        <f>IF($AB351="","",INDEX('ORDER Form'!$D$1:$D$355,$AB351)&amp;"")</f>
        <v/>
      </c>
      <c r="K351" s="50" t="str">
        <f>IF($AB351="","",INDEX('ORDER Form'!$E$1:$E$355,$AB351)&amp;"")</f>
        <v/>
      </c>
      <c r="L351" s="50" t="str">
        <f>IF($AB351="","",INDEX('ORDER Form'!$F$1:$F$355,$AB351)&amp;"")</f>
        <v/>
      </c>
      <c r="M351" s="50" t="str">
        <f>IF($AB351="","",INDEX('ORDER Form'!$G$1:$G$355,$AB351)&amp;"")</f>
        <v/>
      </c>
      <c r="N351" s="50" t="str">
        <f>IF($AB351="","",INDEX('ORDER Form'!$H$1:$H$355,$AB351)&amp;"")</f>
        <v/>
      </c>
      <c r="O351" s="50" t="str">
        <f>IF($AB351="","",INDEX('ORDER Form'!$I$1:$I$355,$AB351)&amp;"")</f>
        <v/>
      </c>
      <c r="P351" s="50" t="str">
        <f>IF($AB351="","",INDEX('ORDER Form'!$J$1:$J$355,$AB351)&amp;"")</f>
        <v/>
      </c>
      <c r="Q351" s="50" t="str">
        <f>IF($AB351="","",INDEX('ORDER Form'!$AB$1:$AB$355,$AB351)&amp;"")</f>
        <v/>
      </c>
      <c r="R351" s="50" t="str">
        <f>IF($AB351="","",INDEX('ORDER Form'!$L$1:$L$355,$AB351)&amp;"")</f>
        <v/>
      </c>
      <c r="S351" s="50" t="str">
        <f>IF($AB351="","",INDEX('ORDER Form'!$N$1:$N$355,$AB351)&amp;"")</f>
        <v/>
      </c>
      <c r="T351" s="50" t="str">
        <f>IF($AB351="","",IF($AD351,T$3,INDEX('ORDER Form'!$O$1:$O$355,$AB351))&amp;"")</f>
        <v/>
      </c>
      <c r="U351" s="50" t="str">
        <f>IF($AB351="","",IF($AD351,U$3,INDEX('ORDER Form'!$P$1:$P$355,$AB351))&amp;"")</f>
        <v/>
      </c>
      <c r="V351" s="50" t="str">
        <f>IF($AB351="","",IF($AD351,V$3,INDEX('ORDER Form'!$Q$1:$Q$355,$AB351))&amp;"")</f>
        <v/>
      </c>
      <c r="W351" s="50" t="str">
        <f>IF($AB351="","",IF($AD351,W$3,INDEX('ORDER Form'!$R$1:$R$355,$AB351))&amp;"")</f>
        <v/>
      </c>
      <c r="X351" s="50" t="str">
        <f>IF($AB351="","",IF($AD351,X$3,INDEX('ORDER Form'!$S$1:$S$355,$AB351))&amp;"")</f>
        <v/>
      </c>
      <c r="Y351" s="50" t="str">
        <f>IF($AB351="","",IF($AD351,Y$3,INDEX('ORDER Form'!$T$1:$T$355,$AB351))&amp;"")</f>
        <v/>
      </c>
      <c r="Z351" s="50" t="str">
        <f>IF($AB351="","",IF($AD351,Z$3,INDEX('ORDER Form'!$U$1:$U$355,$AB351))&amp;"")</f>
        <v/>
      </c>
      <c r="AB351" s="51" t="str">
        <f>IFERROR(MATCH(347,$AC$5:$AC$354,0)+5,"")</f>
        <v/>
      </c>
      <c r="AC351" s="51" t="str">
        <f>IF('ORDER Form'!$V352="OK",COUNTIF('ORDER Form'!$V$6:$V352,"OK"),"")</f>
        <v/>
      </c>
      <c r="AD351" s="51" t="str">
        <f>IF($AB351="","",(LEN(TRIM(INDEX('ORDER Form'!$O$1:$O$355,$AB351)))+LEN(TRIM(INDEX('ORDER Form'!$P$1:$P$355,$AB351)))+LEN(TRIM(INDEX('ORDER Form'!$Q$1:$Q$355,$AB351)))+LEN(TRIM(INDEX('ORDER Form'!$R$1:$R$355,$AB351)))+LEN(TRIM(INDEX('ORDER Form'!$S$1:$S$355,$AB351)))+LEN(TRIM(INDEX('ORDER Form'!$T$1:$T$355,$AB351)))+LEN(TRIM(INDEX('ORDER Form'!$U$1:$U$355,$AB351))))=0)</f>
        <v/>
      </c>
    </row>
    <row r="352" spans="1:30" ht="15" customHeight="1" x14ac:dyDescent="0.25">
      <c r="A352" s="50" t="str">
        <f>IF($AB352="","",IFERROR(IF(AND(INDEX('ORDER Form'!$N$1:$N$355,$AB352)="GB",LEFT(UPPER(TRIM(INDEX('ORDER Form'!$L$1:$L$355,$AB352))),2)="BT"),INDEX('ORDER Form'!$AC$1:$AC$355,$AB352),IFERROR(VLOOKUP(INDEX('ORDER Form'!$AC$1:$AC$355,$AB352)&amp;"|"&amp;INDEX('PRODUCT DATA'!$A$2:$A$58,MATCH(INDEX('ORDER Form'!$N$1:$N$355,$AB352),'PRODUCT DATA'!$B$2:$B$58,0)),'PRODUCT DATA'!$NO$2:$NP$25,2,FALSE()),INDEX('ORDER Form'!$AC$1:$AC$355,$AB352)))&amp;"",""))</f>
        <v/>
      </c>
      <c r="B352" s="49"/>
      <c r="C352" s="51" t="str">
        <f>IF($AB352="","",INDEX('ORDER Form'!$C$1:$C$355,$AB352))</f>
        <v/>
      </c>
      <c r="D352" s="49"/>
      <c r="E352" s="49"/>
      <c r="F352" s="49"/>
      <c r="G352" s="49"/>
      <c r="H352" s="49"/>
      <c r="I352" s="49"/>
      <c r="J352" s="50" t="str">
        <f>IF($AB352="","",INDEX('ORDER Form'!$D$1:$D$355,$AB352)&amp;"")</f>
        <v/>
      </c>
      <c r="K352" s="50" t="str">
        <f>IF($AB352="","",INDEX('ORDER Form'!$E$1:$E$355,$AB352)&amp;"")</f>
        <v/>
      </c>
      <c r="L352" s="50" t="str">
        <f>IF($AB352="","",INDEX('ORDER Form'!$F$1:$F$355,$AB352)&amp;"")</f>
        <v/>
      </c>
      <c r="M352" s="50" t="str">
        <f>IF($AB352="","",INDEX('ORDER Form'!$G$1:$G$355,$AB352)&amp;"")</f>
        <v/>
      </c>
      <c r="N352" s="50" t="str">
        <f>IF($AB352="","",INDEX('ORDER Form'!$H$1:$H$355,$AB352)&amp;"")</f>
        <v/>
      </c>
      <c r="O352" s="50" t="str">
        <f>IF($AB352="","",INDEX('ORDER Form'!$I$1:$I$355,$AB352)&amp;"")</f>
        <v/>
      </c>
      <c r="P352" s="50" t="str">
        <f>IF($AB352="","",INDEX('ORDER Form'!$J$1:$J$355,$AB352)&amp;"")</f>
        <v/>
      </c>
      <c r="Q352" s="50" t="str">
        <f>IF($AB352="","",INDEX('ORDER Form'!$AB$1:$AB$355,$AB352)&amp;"")</f>
        <v/>
      </c>
      <c r="R352" s="50" t="str">
        <f>IF($AB352="","",INDEX('ORDER Form'!$L$1:$L$355,$AB352)&amp;"")</f>
        <v/>
      </c>
      <c r="S352" s="50" t="str">
        <f>IF($AB352="","",INDEX('ORDER Form'!$N$1:$N$355,$AB352)&amp;"")</f>
        <v/>
      </c>
      <c r="T352" s="50" t="str">
        <f>IF($AB352="","",IF($AD352,T$3,INDEX('ORDER Form'!$O$1:$O$355,$AB352))&amp;"")</f>
        <v/>
      </c>
      <c r="U352" s="50" t="str">
        <f>IF($AB352="","",IF($AD352,U$3,INDEX('ORDER Form'!$P$1:$P$355,$AB352))&amp;"")</f>
        <v/>
      </c>
      <c r="V352" s="50" t="str">
        <f>IF($AB352="","",IF($AD352,V$3,INDEX('ORDER Form'!$Q$1:$Q$355,$AB352))&amp;"")</f>
        <v/>
      </c>
      <c r="W352" s="50" t="str">
        <f>IF($AB352="","",IF($AD352,W$3,INDEX('ORDER Form'!$R$1:$R$355,$AB352))&amp;"")</f>
        <v/>
      </c>
      <c r="X352" s="50" t="str">
        <f>IF($AB352="","",IF($AD352,X$3,INDEX('ORDER Form'!$S$1:$S$355,$AB352))&amp;"")</f>
        <v/>
      </c>
      <c r="Y352" s="50" t="str">
        <f>IF($AB352="","",IF($AD352,Y$3,INDEX('ORDER Form'!$T$1:$T$355,$AB352))&amp;"")</f>
        <v/>
      </c>
      <c r="Z352" s="50" t="str">
        <f>IF($AB352="","",IF($AD352,Z$3,INDEX('ORDER Form'!$U$1:$U$355,$AB352))&amp;"")</f>
        <v/>
      </c>
      <c r="AB352" s="51" t="str">
        <f>IFERROR(MATCH(348,$AC$5:$AC$354,0)+5,"")</f>
        <v/>
      </c>
      <c r="AC352" s="51" t="str">
        <f>IF('ORDER Form'!$V353="OK",COUNTIF('ORDER Form'!$V$6:$V353,"OK"),"")</f>
        <v/>
      </c>
      <c r="AD352" s="51" t="str">
        <f>IF($AB352="","",(LEN(TRIM(INDEX('ORDER Form'!$O$1:$O$355,$AB352)))+LEN(TRIM(INDEX('ORDER Form'!$P$1:$P$355,$AB352)))+LEN(TRIM(INDEX('ORDER Form'!$Q$1:$Q$355,$AB352)))+LEN(TRIM(INDEX('ORDER Form'!$R$1:$R$355,$AB352)))+LEN(TRIM(INDEX('ORDER Form'!$S$1:$S$355,$AB352)))+LEN(TRIM(INDEX('ORDER Form'!$T$1:$T$355,$AB352)))+LEN(TRIM(INDEX('ORDER Form'!$U$1:$U$355,$AB352))))=0)</f>
        <v/>
      </c>
    </row>
    <row r="353" spans="1:30" ht="15" customHeight="1" x14ac:dyDescent="0.25">
      <c r="A353" s="50" t="str">
        <f>IF($AB353="","",IFERROR(IF(AND(INDEX('ORDER Form'!$N$1:$N$355,$AB353)="GB",LEFT(UPPER(TRIM(INDEX('ORDER Form'!$L$1:$L$355,$AB353))),2)="BT"),INDEX('ORDER Form'!$AC$1:$AC$355,$AB353),IFERROR(VLOOKUP(INDEX('ORDER Form'!$AC$1:$AC$355,$AB353)&amp;"|"&amp;INDEX('PRODUCT DATA'!$A$2:$A$58,MATCH(INDEX('ORDER Form'!$N$1:$N$355,$AB353),'PRODUCT DATA'!$B$2:$B$58,0)),'PRODUCT DATA'!$NO$2:$NP$25,2,FALSE()),INDEX('ORDER Form'!$AC$1:$AC$355,$AB353)))&amp;"",""))</f>
        <v/>
      </c>
      <c r="B353" s="49"/>
      <c r="C353" s="51" t="str">
        <f>IF($AB353="","",INDEX('ORDER Form'!$C$1:$C$355,$AB353))</f>
        <v/>
      </c>
      <c r="D353" s="49"/>
      <c r="E353" s="49"/>
      <c r="F353" s="49"/>
      <c r="G353" s="49"/>
      <c r="H353" s="49"/>
      <c r="I353" s="49"/>
      <c r="J353" s="50" t="str">
        <f>IF($AB353="","",INDEX('ORDER Form'!$D$1:$D$355,$AB353)&amp;"")</f>
        <v/>
      </c>
      <c r="K353" s="50" t="str">
        <f>IF($AB353="","",INDEX('ORDER Form'!$E$1:$E$355,$AB353)&amp;"")</f>
        <v/>
      </c>
      <c r="L353" s="50" t="str">
        <f>IF($AB353="","",INDEX('ORDER Form'!$F$1:$F$355,$AB353)&amp;"")</f>
        <v/>
      </c>
      <c r="M353" s="50" t="str">
        <f>IF($AB353="","",INDEX('ORDER Form'!$G$1:$G$355,$AB353)&amp;"")</f>
        <v/>
      </c>
      <c r="N353" s="50" t="str">
        <f>IF($AB353="","",INDEX('ORDER Form'!$H$1:$H$355,$AB353)&amp;"")</f>
        <v/>
      </c>
      <c r="O353" s="50" t="str">
        <f>IF($AB353="","",INDEX('ORDER Form'!$I$1:$I$355,$AB353)&amp;"")</f>
        <v/>
      </c>
      <c r="P353" s="50" t="str">
        <f>IF($AB353="","",INDEX('ORDER Form'!$J$1:$J$355,$AB353)&amp;"")</f>
        <v/>
      </c>
      <c r="Q353" s="50" t="str">
        <f>IF($AB353="","",INDEX('ORDER Form'!$AB$1:$AB$355,$AB353)&amp;"")</f>
        <v/>
      </c>
      <c r="R353" s="50" t="str">
        <f>IF($AB353="","",INDEX('ORDER Form'!$L$1:$L$355,$AB353)&amp;"")</f>
        <v/>
      </c>
      <c r="S353" s="50" t="str">
        <f>IF($AB353="","",INDEX('ORDER Form'!$N$1:$N$355,$AB353)&amp;"")</f>
        <v/>
      </c>
      <c r="T353" s="50" t="str">
        <f>IF($AB353="","",IF($AD353,T$3,INDEX('ORDER Form'!$O$1:$O$355,$AB353))&amp;"")</f>
        <v/>
      </c>
      <c r="U353" s="50" t="str">
        <f>IF($AB353="","",IF($AD353,U$3,INDEX('ORDER Form'!$P$1:$P$355,$AB353))&amp;"")</f>
        <v/>
      </c>
      <c r="V353" s="50" t="str">
        <f>IF($AB353="","",IF($AD353,V$3,INDEX('ORDER Form'!$Q$1:$Q$355,$AB353))&amp;"")</f>
        <v/>
      </c>
      <c r="W353" s="50" t="str">
        <f>IF($AB353="","",IF($AD353,W$3,INDEX('ORDER Form'!$R$1:$R$355,$AB353))&amp;"")</f>
        <v/>
      </c>
      <c r="X353" s="50" t="str">
        <f>IF($AB353="","",IF($AD353,X$3,INDEX('ORDER Form'!$S$1:$S$355,$AB353))&amp;"")</f>
        <v/>
      </c>
      <c r="Y353" s="50" t="str">
        <f>IF($AB353="","",IF($AD353,Y$3,INDEX('ORDER Form'!$T$1:$T$355,$AB353))&amp;"")</f>
        <v/>
      </c>
      <c r="Z353" s="50" t="str">
        <f>IF($AB353="","",IF($AD353,Z$3,INDEX('ORDER Form'!$U$1:$U$355,$AB353))&amp;"")</f>
        <v/>
      </c>
      <c r="AB353" s="51" t="str">
        <f>IFERROR(MATCH(349,$AC$5:$AC$354,0)+5,"")</f>
        <v/>
      </c>
      <c r="AC353" s="51" t="str">
        <f>IF('ORDER Form'!$V354="OK",COUNTIF('ORDER Form'!$V$6:$V354,"OK"),"")</f>
        <v/>
      </c>
      <c r="AD353" s="51" t="str">
        <f>IF($AB353="","",(LEN(TRIM(INDEX('ORDER Form'!$O$1:$O$355,$AB353)))+LEN(TRIM(INDEX('ORDER Form'!$P$1:$P$355,$AB353)))+LEN(TRIM(INDEX('ORDER Form'!$Q$1:$Q$355,$AB353)))+LEN(TRIM(INDEX('ORDER Form'!$R$1:$R$355,$AB353)))+LEN(TRIM(INDEX('ORDER Form'!$S$1:$S$355,$AB353)))+LEN(TRIM(INDEX('ORDER Form'!$T$1:$T$355,$AB353)))+LEN(TRIM(INDEX('ORDER Form'!$U$1:$U$355,$AB353))))=0)</f>
        <v/>
      </c>
    </row>
    <row r="354" spans="1:30" ht="15" customHeight="1" x14ac:dyDescent="0.25">
      <c r="A354" s="50" t="str">
        <f>IF($AB354="","",IFERROR(IF(AND(INDEX('ORDER Form'!$N$1:$N$355,$AB354)="GB",LEFT(UPPER(TRIM(INDEX('ORDER Form'!$L$1:$L$355,$AB354))),2)="BT"),INDEX('ORDER Form'!$AC$1:$AC$355,$AB354),IFERROR(VLOOKUP(INDEX('ORDER Form'!$AC$1:$AC$355,$AB354)&amp;"|"&amp;INDEX('PRODUCT DATA'!$A$2:$A$58,MATCH(INDEX('ORDER Form'!$N$1:$N$355,$AB354),'PRODUCT DATA'!$B$2:$B$58,0)),'PRODUCT DATA'!$NO$2:$NP$25,2,FALSE()),INDEX('ORDER Form'!$AC$1:$AC$355,$AB354)))&amp;"",""))</f>
        <v/>
      </c>
      <c r="B354" s="49"/>
      <c r="C354" s="51" t="str">
        <f>IF($AB354="","",INDEX('ORDER Form'!$C$1:$C$355,$AB354))</f>
        <v/>
      </c>
      <c r="D354" s="49"/>
      <c r="E354" s="49"/>
      <c r="F354" s="49"/>
      <c r="G354" s="49"/>
      <c r="H354" s="49"/>
      <c r="I354" s="49"/>
      <c r="J354" s="50" t="str">
        <f>IF($AB354="","",INDEX('ORDER Form'!$D$1:$D$355,$AB354)&amp;"")</f>
        <v/>
      </c>
      <c r="K354" s="50" t="str">
        <f>IF($AB354="","",INDEX('ORDER Form'!$E$1:$E$355,$AB354)&amp;"")</f>
        <v/>
      </c>
      <c r="L354" s="50" t="str">
        <f>IF($AB354="","",INDEX('ORDER Form'!$F$1:$F$355,$AB354)&amp;"")</f>
        <v/>
      </c>
      <c r="M354" s="50" t="str">
        <f>IF($AB354="","",INDEX('ORDER Form'!$G$1:$G$355,$AB354)&amp;"")</f>
        <v/>
      </c>
      <c r="N354" s="50" t="str">
        <f>IF($AB354="","",INDEX('ORDER Form'!$H$1:$H$355,$AB354)&amp;"")</f>
        <v/>
      </c>
      <c r="O354" s="50" t="str">
        <f>IF($AB354="","",INDEX('ORDER Form'!$I$1:$I$355,$AB354)&amp;"")</f>
        <v/>
      </c>
      <c r="P354" s="50" t="str">
        <f>IF($AB354="","",INDEX('ORDER Form'!$J$1:$J$355,$AB354)&amp;"")</f>
        <v/>
      </c>
      <c r="Q354" s="50" t="str">
        <f>IF($AB354="","",INDEX('ORDER Form'!$AB$1:$AB$355,$AB354)&amp;"")</f>
        <v/>
      </c>
      <c r="R354" s="50" t="str">
        <f>IF($AB354="","",INDEX('ORDER Form'!$L$1:$L$355,$AB354)&amp;"")</f>
        <v/>
      </c>
      <c r="S354" s="50" t="str">
        <f>IF($AB354="","",INDEX('ORDER Form'!$N$1:$N$355,$AB354)&amp;"")</f>
        <v/>
      </c>
      <c r="T354" s="50" t="str">
        <f>IF($AB354="","",IF($AD354,T$3,INDEX('ORDER Form'!$O$1:$O$355,$AB354))&amp;"")</f>
        <v/>
      </c>
      <c r="U354" s="50" t="str">
        <f>IF($AB354="","",IF($AD354,U$3,INDEX('ORDER Form'!$P$1:$P$355,$AB354))&amp;"")</f>
        <v/>
      </c>
      <c r="V354" s="50" t="str">
        <f>IF($AB354="","",IF($AD354,V$3,INDEX('ORDER Form'!$Q$1:$Q$355,$AB354))&amp;"")</f>
        <v/>
      </c>
      <c r="W354" s="50" t="str">
        <f>IF($AB354="","",IF($AD354,W$3,INDEX('ORDER Form'!$R$1:$R$355,$AB354))&amp;"")</f>
        <v/>
      </c>
      <c r="X354" s="50" t="str">
        <f>IF($AB354="","",IF($AD354,X$3,INDEX('ORDER Form'!$S$1:$S$355,$AB354))&amp;"")</f>
        <v/>
      </c>
      <c r="Y354" s="50" t="str">
        <f>IF($AB354="","",IF($AD354,Y$3,INDEX('ORDER Form'!$T$1:$T$355,$AB354))&amp;"")</f>
        <v/>
      </c>
      <c r="Z354" s="50" t="str">
        <f>IF($AB354="","",IF($AD354,Z$3,INDEX('ORDER Form'!$U$1:$U$355,$AB354))&amp;"")</f>
        <v/>
      </c>
      <c r="AB354" s="51" t="str">
        <f>IFERROR(MATCH(350,$AC$5:$AC$354,0)+5,"")</f>
        <v/>
      </c>
      <c r="AC354" s="51" t="str">
        <f>IF('ORDER Form'!$V355="OK",COUNTIF('ORDER Form'!$V$6:$V355,"OK"),"")</f>
        <v/>
      </c>
      <c r="AD354" s="51" t="str">
        <f>IF($AB354="","",(LEN(TRIM(INDEX('ORDER Form'!$O$1:$O$355,$AB354)))+LEN(TRIM(INDEX('ORDER Form'!$P$1:$P$355,$AB354)))+LEN(TRIM(INDEX('ORDER Form'!$Q$1:$Q$355,$AB354)))+LEN(TRIM(INDEX('ORDER Form'!$R$1:$R$355,$AB354)))+LEN(TRIM(INDEX('ORDER Form'!$S$1:$S$355,$AB354)))+LEN(TRIM(INDEX('ORDER Form'!$T$1:$T$355,$AB354)))+LEN(TRIM(INDEX('ORDER Form'!$U$1:$U$355,$AB354))))=0)</f>
        <v/>
      </c>
    </row>
  </sheetData>
  <mergeCells count="5">
    <mergeCell ref="A1:I1"/>
    <mergeCell ref="J1:N1"/>
    <mergeCell ref="O1:Z1"/>
    <mergeCell ref="A2:Z2"/>
    <mergeCell ref="J3:S3"/>
  </mergeCells>
  <dataValidations count="1">
    <dataValidation type="textLength" operator="lessThanOrEqual" allowBlank="1" showInputMessage="1" showErrorMessage="1" errorTitle="Gift message line too long" error="Each gift message line can be at most 40 characters." promptTitle="Standard gift message" prompt="One line per cell, max 40 characters. Used for any row where the customer left the gift message blank." sqref="T3:Z3" xr:uid="{00000000-0002-0000-0300-000000000000}">
      <formula1>40</formula1>
    </dataValidation>
  </dataValidation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B20"/>
  <sheetViews>
    <sheetView showGridLines="0" workbookViewId="0"/>
  </sheetViews>
  <sheetFormatPr defaultColWidth="8.7109375" defaultRowHeight="15" x14ac:dyDescent="0.25"/>
  <cols>
    <col min="1" max="1" width="30" customWidth="1"/>
    <col min="2" max="2" width="90" customWidth="1"/>
  </cols>
  <sheetData>
    <row r="1" spans="1:2" ht="17.25" customHeight="1" x14ac:dyDescent="0.25">
      <c r="A1" s="3" t="s">
        <v>40</v>
      </c>
    </row>
    <row r="3" spans="1:2" ht="19.5" customHeight="1" x14ac:dyDescent="0.25">
      <c r="A3" s="7" t="s">
        <v>41</v>
      </c>
      <c r="B3" s="7" t="s">
        <v>42</v>
      </c>
    </row>
    <row r="4" spans="1:2" ht="60" customHeight="1" x14ac:dyDescent="0.25">
      <c r="A4" s="8" t="s">
        <v>43</v>
      </c>
      <c r="B4" s="8" t="s">
        <v>44</v>
      </c>
    </row>
    <row r="5" spans="1:2" ht="60" customHeight="1" x14ac:dyDescent="0.25">
      <c r="A5" s="8" t="s">
        <v>45</v>
      </c>
      <c r="B5" s="8" t="s">
        <v>46</v>
      </c>
    </row>
    <row r="6" spans="1:2" ht="60" customHeight="1" x14ac:dyDescent="0.25">
      <c r="A6" s="8" t="s">
        <v>47</v>
      </c>
      <c r="B6" s="8" t="s">
        <v>48</v>
      </c>
    </row>
    <row r="7" spans="1:2" ht="60" customHeight="1" x14ac:dyDescent="0.25">
      <c r="A7" s="8" t="s">
        <v>49</v>
      </c>
      <c r="B7" s="8" t="s">
        <v>50</v>
      </c>
    </row>
    <row r="8" spans="1:2" ht="60" customHeight="1" x14ac:dyDescent="0.25">
      <c r="A8" s="8" t="s">
        <v>51</v>
      </c>
      <c r="B8" s="8" t="s">
        <v>52</v>
      </c>
    </row>
    <row r="9" spans="1:2" ht="60" customHeight="1" x14ac:dyDescent="0.25">
      <c r="A9" s="8" t="s">
        <v>53</v>
      </c>
      <c r="B9" s="8" t="s">
        <v>54</v>
      </c>
    </row>
    <row r="10" spans="1:2" ht="60" customHeight="1" x14ac:dyDescent="0.25">
      <c r="A10" s="8" t="s">
        <v>55</v>
      </c>
      <c r="B10" s="8" t="s">
        <v>56</v>
      </c>
    </row>
    <row r="11" spans="1:2" ht="60" customHeight="1" x14ac:dyDescent="0.25">
      <c r="A11" s="8" t="s">
        <v>57</v>
      </c>
      <c r="B11" s="8" t="s">
        <v>58</v>
      </c>
    </row>
    <row r="12" spans="1:2" ht="60" customHeight="1" x14ac:dyDescent="0.25">
      <c r="A12" s="8" t="s">
        <v>59</v>
      </c>
      <c r="B12" s="8" t="s">
        <v>60</v>
      </c>
    </row>
    <row r="13" spans="1:2" ht="60" customHeight="1" x14ac:dyDescent="0.25">
      <c r="A13" s="8" t="s">
        <v>61</v>
      </c>
      <c r="B13" s="8" t="s">
        <v>62</v>
      </c>
    </row>
    <row r="14" spans="1:2" ht="60" customHeight="1" x14ac:dyDescent="0.25">
      <c r="A14" s="8" t="s">
        <v>63</v>
      </c>
      <c r="B14" s="8" t="s">
        <v>64</v>
      </c>
    </row>
    <row r="15" spans="1:2" ht="60" customHeight="1" x14ac:dyDescent="0.25">
      <c r="A15" s="8" t="s">
        <v>65</v>
      </c>
      <c r="B15" s="8" t="s">
        <v>66</v>
      </c>
    </row>
    <row r="16" spans="1:2" ht="60" customHeight="1" x14ac:dyDescent="0.25">
      <c r="A16" s="8" t="s">
        <v>67</v>
      </c>
      <c r="B16" s="8" t="s">
        <v>68</v>
      </c>
    </row>
    <row r="17" spans="1:2" ht="60" customHeight="1" x14ac:dyDescent="0.25">
      <c r="A17" s="8" t="s">
        <v>69</v>
      </c>
      <c r="B17" s="8" t="s">
        <v>70</v>
      </c>
    </row>
    <row r="18" spans="1:2" ht="60" customHeight="1" x14ac:dyDescent="0.25">
      <c r="A18" s="8" t="s">
        <v>71</v>
      </c>
      <c r="B18" s="8" t="s">
        <v>72</v>
      </c>
    </row>
    <row r="19" spans="1:2" ht="60" customHeight="1" x14ac:dyDescent="0.25">
      <c r="A19" s="8" t="s">
        <v>73</v>
      </c>
      <c r="B19" s="8" t="s">
        <v>74</v>
      </c>
    </row>
    <row r="20" spans="1:2" ht="60" customHeight="1" x14ac:dyDescent="0.25">
      <c r="A20" s="8" t="s">
        <v>75</v>
      </c>
      <c r="B20" s="8" t="s">
        <v>2717</v>
      </c>
    </row>
  </sheetData>
  <sheetProtection sheet="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31"/>
  <sheetViews>
    <sheetView showGridLines="0" workbookViewId="0"/>
  </sheetViews>
  <sheetFormatPr defaultColWidth="8.7109375" defaultRowHeight="15" x14ac:dyDescent="0.25"/>
  <cols>
    <col min="1" max="1" width="26" customWidth="1"/>
    <col min="2" max="2" width="100" customWidth="1"/>
  </cols>
  <sheetData>
    <row r="1" spans="1:2" ht="17.25" customHeight="1" x14ac:dyDescent="0.25">
      <c r="A1" s="3" t="s">
        <v>76</v>
      </c>
    </row>
    <row r="3" spans="1:2" ht="39.75" customHeight="1" x14ac:dyDescent="0.25">
      <c r="A3" s="2" t="s">
        <v>77</v>
      </c>
      <c r="B3" s="1" t="s">
        <v>78</v>
      </c>
    </row>
    <row r="4" spans="1:2" ht="39.75" customHeight="1" x14ac:dyDescent="0.25">
      <c r="A4" s="2" t="s">
        <v>79</v>
      </c>
      <c r="B4" s="1" t="s">
        <v>80</v>
      </c>
    </row>
    <row r="5" spans="1:2" ht="39.75" customHeight="1" x14ac:dyDescent="0.25">
      <c r="A5" s="2" t="s">
        <v>81</v>
      </c>
      <c r="B5" s="1" t="s">
        <v>82</v>
      </c>
    </row>
    <row r="6" spans="1:2" ht="39.75" customHeight="1" x14ac:dyDescent="0.25">
      <c r="A6" s="2" t="s">
        <v>83</v>
      </c>
      <c r="B6" s="1" t="s">
        <v>84</v>
      </c>
    </row>
    <row r="8" spans="1:2" ht="15" customHeight="1" x14ac:dyDescent="0.25">
      <c r="A8" s="9" t="s">
        <v>85</v>
      </c>
    </row>
    <row r="9" spans="1:2" ht="60" customHeight="1" x14ac:dyDescent="0.25">
      <c r="A9" s="6" t="s">
        <v>86</v>
      </c>
      <c r="B9" s="1" t="s">
        <v>87</v>
      </c>
    </row>
    <row r="10" spans="1:2" ht="60" customHeight="1" x14ac:dyDescent="0.25">
      <c r="A10" s="6" t="s">
        <v>86</v>
      </c>
      <c r="B10" s="1" t="s">
        <v>88</v>
      </c>
    </row>
    <row r="11" spans="1:2" ht="60" customHeight="1" x14ac:dyDescent="0.25">
      <c r="A11" s="6" t="s">
        <v>86</v>
      </c>
      <c r="B11" s="1" t="s">
        <v>89</v>
      </c>
    </row>
    <row r="12" spans="1:2" ht="60" customHeight="1" x14ac:dyDescent="0.25">
      <c r="A12" s="6" t="s">
        <v>86</v>
      </c>
      <c r="B12" s="1" t="s">
        <v>90</v>
      </c>
    </row>
    <row r="13" spans="1:2" ht="60" customHeight="1" x14ac:dyDescent="0.25">
      <c r="A13" s="6" t="s">
        <v>86</v>
      </c>
      <c r="B13" s="1" t="s">
        <v>91</v>
      </c>
    </row>
    <row r="14" spans="1:2" ht="60" customHeight="1" x14ac:dyDescent="0.25">
      <c r="A14" s="6" t="s">
        <v>86</v>
      </c>
      <c r="B14" s="1" t="s">
        <v>92</v>
      </c>
    </row>
    <row r="15" spans="1:2" ht="60" customHeight="1" x14ac:dyDescent="0.25">
      <c r="A15" s="6" t="s">
        <v>86</v>
      </c>
      <c r="B15" s="1" t="s">
        <v>93</v>
      </c>
    </row>
    <row r="16" spans="1:2" ht="60" customHeight="1" x14ac:dyDescent="0.25">
      <c r="A16" s="6" t="s">
        <v>86</v>
      </c>
      <c r="B16" s="1" t="s">
        <v>94</v>
      </c>
    </row>
    <row r="17" spans="1:2" ht="60" customHeight="1" x14ac:dyDescent="0.25">
      <c r="A17" s="6" t="s">
        <v>86</v>
      </c>
      <c r="B17" s="1" t="s">
        <v>95</v>
      </c>
    </row>
    <row r="18" spans="1:2" ht="60" customHeight="1" x14ac:dyDescent="0.25">
      <c r="A18" s="6" t="s">
        <v>86</v>
      </c>
      <c r="B18" s="1" t="s">
        <v>96</v>
      </c>
    </row>
    <row r="19" spans="1:2" ht="60" customHeight="1" x14ac:dyDescent="0.25">
      <c r="A19" s="6" t="s">
        <v>86</v>
      </c>
      <c r="B19" s="1" t="s">
        <v>97</v>
      </c>
    </row>
    <row r="20" spans="1:2" ht="60" customHeight="1" x14ac:dyDescent="0.25">
      <c r="A20" s="6" t="s">
        <v>86</v>
      </c>
      <c r="B20" s="1" t="s">
        <v>98</v>
      </c>
    </row>
    <row r="21" spans="1:2" ht="60" customHeight="1" x14ac:dyDescent="0.25">
      <c r="A21" s="6" t="s">
        <v>86</v>
      </c>
      <c r="B21" s="1" t="s">
        <v>99</v>
      </c>
    </row>
    <row r="22" spans="1:2" ht="60" customHeight="1" x14ac:dyDescent="0.25">
      <c r="A22" s="6" t="s">
        <v>86</v>
      </c>
      <c r="B22" s="1" t="s">
        <v>100</v>
      </c>
    </row>
    <row r="23" spans="1:2" ht="60" customHeight="1" x14ac:dyDescent="0.25">
      <c r="A23" s="6" t="s">
        <v>86</v>
      </c>
      <c r="B23" s="1" t="s">
        <v>101</v>
      </c>
    </row>
    <row r="24" spans="1:2" ht="60" customHeight="1" x14ac:dyDescent="0.25">
      <c r="A24" s="6" t="s">
        <v>86</v>
      </c>
      <c r="B24" s="1" t="s">
        <v>102</v>
      </c>
    </row>
    <row r="26" spans="1:2" ht="41.25" customHeight="1" x14ac:dyDescent="0.25">
      <c r="A26" s="2" t="s">
        <v>103</v>
      </c>
      <c r="B26" s="1" t="s">
        <v>104</v>
      </c>
    </row>
    <row r="27" spans="1:2" ht="60" customHeight="1" x14ac:dyDescent="0.25">
      <c r="A27" s="6" t="s">
        <v>86</v>
      </c>
      <c r="B27" s="1" t="s">
        <v>105</v>
      </c>
    </row>
    <row r="28" spans="1:2" ht="60" customHeight="1" x14ac:dyDescent="0.25">
      <c r="A28" s="6" t="s">
        <v>86</v>
      </c>
      <c r="B28" s="1" t="s">
        <v>106</v>
      </c>
    </row>
    <row r="29" spans="1:2" ht="60" customHeight="1" x14ac:dyDescent="0.25">
      <c r="A29" s="6" t="s">
        <v>86</v>
      </c>
      <c r="B29" s="1" t="s">
        <v>107</v>
      </c>
    </row>
    <row r="30" spans="1:2" ht="60" customHeight="1" x14ac:dyDescent="0.25">
      <c r="A30" s="6" t="s">
        <v>86</v>
      </c>
      <c r="B30" s="1" t="s">
        <v>108</v>
      </c>
    </row>
    <row r="31" spans="1:2" ht="60" customHeight="1" x14ac:dyDescent="0.25">
      <c r="A31" s="6" t="s">
        <v>86</v>
      </c>
      <c r="B31" s="1" t="s">
        <v>109</v>
      </c>
    </row>
  </sheetData>
  <sheetProtection sheet="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1763"/>
  <sheetViews>
    <sheetView showGridLines="0" workbookViewId="0"/>
  </sheetViews>
  <sheetFormatPr defaultColWidth="8.7109375" defaultRowHeight="15" x14ac:dyDescent="0.25"/>
  <cols>
    <col min="1" max="1" width="110" customWidth="1"/>
  </cols>
  <sheetData>
    <row r="1" spans="1:1" ht="17.25" customHeight="1" x14ac:dyDescent="0.25">
      <c r="A1" s="3" t="s">
        <v>110</v>
      </c>
    </row>
    <row r="3" spans="1:1" ht="30" customHeight="1" x14ac:dyDescent="0.25">
      <c r="A3" s="1"/>
    </row>
    <row r="4" spans="1:1" ht="30" customHeight="1" x14ac:dyDescent="0.25">
      <c r="A4" s="1" t="s">
        <v>111</v>
      </c>
    </row>
    <row r="5" spans="1:1" ht="45" customHeight="1" x14ac:dyDescent="0.25">
      <c r="A5" s="1" t="s">
        <v>112</v>
      </c>
    </row>
    <row r="6" spans="1:1" ht="45" customHeight="1" x14ac:dyDescent="0.25">
      <c r="A6" s="1" t="s">
        <v>113</v>
      </c>
    </row>
    <row r="7" spans="1:1" ht="30" customHeight="1" x14ac:dyDescent="0.25">
      <c r="A7" s="1"/>
    </row>
    <row r="8" spans="1:1" ht="45" customHeight="1" x14ac:dyDescent="0.25">
      <c r="A8" s="1" t="s">
        <v>114</v>
      </c>
    </row>
    <row r="9" spans="1:1" ht="30" customHeight="1" x14ac:dyDescent="0.25">
      <c r="A9" s="1"/>
    </row>
    <row r="10" spans="1:1" ht="45" customHeight="1" x14ac:dyDescent="0.25">
      <c r="A10" s="1" t="s">
        <v>115</v>
      </c>
    </row>
    <row r="11" spans="1:1" ht="30" customHeight="1" x14ac:dyDescent="0.25">
      <c r="A11" s="1"/>
    </row>
    <row r="12" spans="1:1" ht="45" customHeight="1" x14ac:dyDescent="0.25">
      <c r="A12" s="1" t="s">
        <v>116</v>
      </c>
    </row>
    <row r="13" spans="1:1" ht="30" customHeight="1" x14ac:dyDescent="0.25">
      <c r="A13" s="1"/>
    </row>
    <row r="14" spans="1:1" ht="45" customHeight="1" x14ac:dyDescent="0.25">
      <c r="A14" s="1" t="s">
        <v>117</v>
      </c>
    </row>
    <row r="15" spans="1:1" ht="30" customHeight="1" x14ac:dyDescent="0.25">
      <c r="A15" s="1"/>
    </row>
    <row r="16" spans="1:1" ht="45" customHeight="1" x14ac:dyDescent="0.25">
      <c r="A16" s="1" t="s">
        <v>118</v>
      </c>
    </row>
    <row r="17" spans="1:1" ht="30" customHeight="1" x14ac:dyDescent="0.25">
      <c r="A17" s="1"/>
    </row>
    <row r="18" spans="1:1" ht="45" customHeight="1" x14ac:dyDescent="0.25">
      <c r="A18" s="1" t="s">
        <v>119</v>
      </c>
    </row>
    <row r="19" spans="1:1" ht="30" customHeight="1" x14ac:dyDescent="0.25">
      <c r="A19" s="1"/>
    </row>
    <row r="20" spans="1:1" ht="45" customHeight="1" x14ac:dyDescent="0.25">
      <c r="A20" s="1" t="s">
        <v>120</v>
      </c>
    </row>
    <row r="21" spans="1:1" ht="30" customHeight="1" x14ac:dyDescent="0.25">
      <c r="A21" s="1"/>
    </row>
    <row r="22" spans="1:1" ht="45" customHeight="1" x14ac:dyDescent="0.25">
      <c r="A22" s="1" t="s">
        <v>121</v>
      </c>
    </row>
    <row r="23" spans="1:1" ht="30" customHeight="1" x14ac:dyDescent="0.25">
      <c r="A23" s="1"/>
    </row>
    <row r="24" spans="1:1" ht="45" customHeight="1" x14ac:dyDescent="0.25">
      <c r="A24" s="1" t="s">
        <v>122</v>
      </c>
    </row>
    <row r="25" spans="1:1" ht="30" customHeight="1" x14ac:dyDescent="0.25">
      <c r="A25" s="1"/>
    </row>
    <row r="26" spans="1:1" ht="45" customHeight="1" x14ac:dyDescent="0.25">
      <c r="A26" s="1" t="s">
        <v>123</v>
      </c>
    </row>
    <row r="27" spans="1:1" ht="30" customHeight="1" x14ac:dyDescent="0.25">
      <c r="A27" s="1"/>
    </row>
    <row r="28" spans="1:1" ht="45" customHeight="1" x14ac:dyDescent="0.25">
      <c r="A28" s="1" t="s">
        <v>124</v>
      </c>
    </row>
    <row r="29" spans="1:1" ht="30" customHeight="1" x14ac:dyDescent="0.25">
      <c r="A29" s="1"/>
    </row>
    <row r="30" spans="1:1" ht="45" customHeight="1" x14ac:dyDescent="0.25">
      <c r="A30" s="10" t="s">
        <v>125</v>
      </c>
    </row>
    <row r="31" spans="1:1" ht="30" customHeight="1" x14ac:dyDescent="0.25">
      <c r="A31" s="1"/>
    </row>
    <row r="32" spans="1:1" ht="45" customHeight="1" x14ac:dyDescent="0.25">
      <c r="A32" s="10" t="s">
        <v>126</v>
      </c>
    </row>
    <row r="33" spans="1:1" ht="30" customHeight="1" x14ac:dyDescent="0.25">
      <c r="A33" s="1"/>
    </row>
    <row r="34" spans="1:1" ht="45" customHeight="1" x14ac:dyDescent="0.25">
      <c r="A34" s="11" t="s">
        <v>127</v>
      </c>
    </row>
    <row r="35" spans="1:1" ht="30" customHeight="1" x14ac:dyDescent="0.25">
      <c r="A35" s="1" t="s">
        <v>128</v>
      </c>
    </row>
    <row r="36" spans="1:1" ht="30" customHeight="1" x14ac:dyDescent="0.25">
      <c r="A36" s="1" t="s">
        <v>129</v>
      </c>
    </row>
    <row r="37" spans="1:1" ht="45" customHeight="1" x14ac:dyDescent="0.25">
      <c r="A37" s="1" t="s">
        <v>130</v>
      </c>
    </row>
    <row r="38" spans="1:1" ht="45" customHeight="1" x14ac:dyDescent="0.25">
      <c r="A38" s="1" t="s">
        <v>131</v>
      </c>
    </row>
    <row r="39" spans="1:1" ht="45" customHeight="1" x14ac:dyDescent="0.25">
      <c r="A39" s="1" t="s">
        <v>132</v>
      </c>
    </row>
    <row r="40" spans="1:1" ht="45" customHeight="1" x14ac:dyDescent="0.25">
      <c r="A40" s="1" t="s">
        <v>133</v>
      </c>
    </row>
    <row r="41" spans="1:1" ht="30" customHeight="1" x14ac:dyDescent="0.25">
      <c r="A41" s="1" t="s">
        <v>134</v>
      </c>
    </row>
    <row r="42" spans="1:1" ht="45" customHeight="1" x14ac:dyDescent="0.25">
      <c r="A42" s="1" t="s">
        <v>135</v>
      </c>
    </row>
    <row r="43" spans="1:1" ht="45" customHeight="1" x14ac:dyDescent="0.25">
      <c r="A43" s="1" t="s">
        <v>136</v>
      </c>
    </row>
    <row r="44" spans="1:1" ht="45" customHeight="1" x14ac:dyDescent="0.25">
      <c r="A44" s="1" t="s">
        <v>137</v>
      </c>
    </row>
    <row r="45" spans="1:1" ht="45" customHeight="1" x14ac:dyDescent="0.25">
      <c r="A45" s="1" t="s">
        <v>138</v>
      </c>
    </row>
    <row r="46" spans="1:1" ht="45" customHeight="1" x14ac:dyDescent="0.25">
      <c r="A46" s="1" t="s">
        <v>139</v>
      </c>
    </row>
    <row r="47" spans="1:1" ht="45" customHeight="1" x14ac:dyDescent="0.25">
      <c r="A47" s="1" t="s">
        <v>140</v>
      </c>
    </row>
    <row r="48" spans="1:1" ht="45" customHeight="1" x14ac:dyDescent="0.25">
      <c r="A48" s="1" t="s">
        <v>141</v>
      </c>
    </row>
    <row r="49" spans="1:1" ht="45" customHeight="1" x14ac:dyDescent="0.25">
      <c r="A49" s="1" t="s">
        <v>142</v>
      </c>
    </row>
    <row r="50" spans="1:1" ht="45" customHeight="1" x14ac:dyDescent="0.25">
      <c r="A50" s="1" t="s">
        <v>143</v>
      </c>
    </row>
    <row r="51" spans="1:1" ht="45" customHeight="1" x14ac:dyDescent="0.25">
      <c r="A51" s="1" t="s">
        <v>144</v>
      </c>
    </row>
    <row r="52" spans="1:1" ht="45" customHeight="1" x14ac:dyDescent="0.25">
      <c r="A52" s="1" t="s">
        <v>145</v>
      </c>
    </row>
    <row r="53" spans="1:1" ht="30" customHeight="1" x14ac:dyDescent="0.25">
      <c r="A53" s="1"/>
    </row>
    <row r="54" spans="1:1" ht="45" customHeight="1" x14ac:dyDescent="0.25">
      <c r="A54" s="1" t="s">
        <v>146</v>
      </c>
    </row>
    <row r="56" spans="1:1" ht="13.5" customHeight="1" x14ac:dyDescent="0.25">
      <c r="A56" s="12" t="s">
        <v>147</v>
      </c>
    </row>
    <row r="57" spans="1:1" ht="13.5" customHeight="1" x14ac:dyDescent="0.25">
      <c r="A57" s="12"/>
    </row>
    <row r="58" spans="1:1" ht="13.5" customHeight="1" x14ac:dyDescent="0.25">
      <c r="A58" s="12" t="s">
        <v>148</v>
      </c>
    </row>
    <row r="59" spans="1:1" ht="13.5" customHeight="1" x14ac:dyDescent="0.25">
      <c r="A59" s="12" t="s">
        <v>149</v>
      </c>
    </row>
    <row r="60" spans="1:1" ht="13.5" customHeight="1" x14ac:dyDescent="0.25">
      <c r="A60" s="12" t="s">
        <v>150</v>
      </c>
    </row>
    <row r="61" spans="1:1" ht="13.5" customHeight="1" x14ac:dyDescent="0.25">
      <c r="A61" s="12" t="s">
        <v>151</v>
      </c>
    </row>
    <row r="62" spans="1:1" ht="13.5" customHeight="1" x14ac:dyDescent="0.25">
      <c r="A62" s="12" t="s">
        <v>152</v>
      </c>
    </row>
    <row r="63" spans="1:1" ht="13.5" customHeight="1" x14ac:dyDescent="0.25">
      <c r="A63" s="12" t="s">
        <v>153</v>
      </c>
    </row>
    <row r="64" spans="1:1" ht="13.5" customHeight="1" x14ac:dyDescent="0.25">
      <c r="A64" s="12" t="s">
        <v>154</v>
      </c>
    </row>
    <row r="65" spans="1:1" ht="13.5" customHeight="1" x14ac:dyDescent="0.25">
      <c r="A65" s="12" t="s">
        <v>155</v>
      </c>
    </row>
    <row r="66" spans="1:1" ht="13.5" customHeight="1" x14ac:dyDescent="0.25">
      <c r="A66" s="12" t="s">
        <v>156</v>
      </c>
    </row>
    <row r="67" spans="1:1" ht="13.5" customHeight="1" x14ac:dyDescent="0.25">
      <c r="A67" s="12" t="s">
        <v>157</v>
      </c>
    </row>
    <row r="68" spans="1:1" ht="13.5" customHeight="1" x14ac:dyDescent="0.25">
      <c r="A68" s="12" t="s">
        <v>158</v>
      </c>
    </row>
    <row r="69" spans="1:1" ht="13.5" customHeight="1" x14ac:dyDescent="0.25">
      <c r="A69" s="12" t="s">
        <v>159</v>
      </c>
    </row>
    <row r="70" spans="1:1" ht="13.5" customHeight="1" x14ac:dyDescent="0.25">
      <c r="A70" s="12" t="s">
        <v>160</v>
      </c>
    </row>
    <row r="71" spans="1:1" ht="13.5" customHeight="1" x14ac:dyDescent="0.25">
      <c r="A71" s="12" t="s">
        <v>161</v>
      </c>
    </row>
    <row r="72" spans="1:1" ht="13.5" customHeight="1" x14ac:dyDescent="0.25">
      <c r="A72" s="12" t="s">
        <v>162</v>
      </c>
    </row>
    <row r="73" spans="1:1" ht="13.5" customHeight="1" x14ac:dyDescent="0.25">
      <c r="A73" s="12" t="s">
        <v>163</v>
      </c>
    </row>
    <row r="74" spans="1:1" ht="13.5" customHeight="1" x14ac:dyDescent="0.25">
      <c r="A74" s="12" t="s">
        <v>164</v>
      </c>
    </row>
    <row r="75" spans="1:1" ht="13.5" customHeight="1" x14ac:dyDescent="0.25">
      <c r="A75" s="12" t="s">
        <v>165</v>
      </c>
    </row>
    <row r="76" spans="1:1" ht="13.5" customHeight="1" x14ac:dyDescent="0.25">
      <c r="A76" s="12" t="s">
        <v>166</v>
      </c>
    </row>
    <row r="77" spans="1:1" ht="13.5" customHeight="1" x14ac:dyDescent="0.25">
      <c r="A77" s="12" t="s">
        <v>167</v>
      </c>
    </row>
    <row r="78" spans="1:1" ht="13.5" customHeight="1" x14ac:dyDescent="0.25">
      <c r="A78" s="12" t="s">
        <v>168</v>
      </c>
    </row>
    <row r="79" spans="1:1" ht="13.5" customHeight="1" x14ac:dyDescent="0.25">
      <c r="A79" s="12" t="s">
        <v>169</v>
      </c>
    </row>
    <row r="80" spans="1:1" ht="13.5" customHeight="1" x14ac:dyDescent="0.25">
      <c r="A80" s="12" t="s">
        <v>170</v>
      </c>
    </row>
    <row r="81" spans="1:1" ht="13.5" customHeight="1" x14ac:dyDescent="0.25">
      <c r="A81" s="12" t="s">
        <v>171</v>
      </c>
    </row>
    <row r="82" spans="1:1" ht="13.5" customHeight="1" x14ac:dyDescent="0.25">
      <c r="A82" s="12" t="s">
        <v>172</v>
      </c>
    </row>
    <row r="83" spans="1:1" ht="13.5" customHeight="1" x14ac:dyDescent="0.25">
      <c r="A83" s="12" t="s">
        <v>173</v>
      </c>
    </row>
    <row r="84" spans="1:1" ht="13.5" customHeight="1" x14ac:dyDescent="0.25">
      <c r="A84" s="12" t="s">
        <v>157</v>
      </c>
    </row>
    <row r="85" spans="1:1" ht="13.5" customHeight="1" x14ac:dyDescent="0.25">
      <c r="A85" s="12" t="s">
        <v>174</v>
      </c>
    </row>
    <row r="86" spans="1:1" ht="13.5" customHeight="1" x14ac:dyDescent="0.25">
      <c r="A86" s="12" t="s">
        <v>175</v>
      </c>
    </row>
    <row r="87" spans="1:1" ht="13.5" customHeight="1" x14ac:dyDescent="0.25">
      <c r="A87" s="12" t="s">
        <v>176</v>
      </c>
    </row>
    <row r="88" spans="1:1" ht="13.5" customHeight="1" x14ac:dyDescent="0.25">
      <c r="A88" s="12" t="s">
        <v>177</v>
      </c>
    </row>
    <row r="89" spans="1:1" ht="13.5" customHeight="1" x14ac:dyDescent="0.25">
      <c r="A89" s="12" t="s">
        <v>178</v>
      </c>
    </row>
    <row r="90" spans="1:1" ht="13.5" customHeight="1" x14ac:dyDescent="0.25">
      <c r="A90" s="12" t="s">
        <v>179</v>
      </c>
    </row>
    <row r="91" spans="1:1" ht="13.5" customHeight="1" x14ac:dyDescent="0.25">
      <c r="A91" s="12" t="s">
        <v>180</v>
      </c>
    </row>
    <row r="92" spans="1:1" ht="13.5" customHeight="1" x14ac:dyDescent="0.25">
      <c r="A92" s="12" t="s">
        <v>181</v>
      </c>
    </row>
    <row r="93" spans="1:1" ht="13.5" customHeight="1" x14ac:dyDescent="0.25">
      <c r="A93" s="12" t="s">
        <v>182</v>
      </c>
    </row>
    <row r="94" spans="1:1" ht="13.5" customHeight="1" x14ac:dyDescent="0.25">
      <c r="A94" s="12" t="s">
        <v>183</v>
      </c>
    </row>
    <row r="95" spans="1:1" ht="13.5" customHeight="1" x14ac:dyDescent="0.25">
      <c r="A95" s="12" t="s">
        <v>184</v>
      </c>
    </row>
    <row r="96" spans="1:1" ht="13.5" customHeight="1" x14ac:dyDescent="0.25">
      <c r="A96" s="12" t="s">
        <v>157</v>
      </c>
    </row>
    <row r="97" spans="1:1" ht="13.5" customHeight="1" x14ac:dyDescent="0.25">
      <c r="A97" s="12" t="s">
        <v>185</v>
      </c>
    </row>
    <row r="98" spans="1:1" ht="13.5" customHeight="1" x14ac:dyDescent="0.25">
      <c r="A98" s="12" t="s">
        <v>186</v>
      </c>
    </row>
    <row r="99" spans="1:1" ht="13.5" customHeight="1" x14ac:dyDescent="0.25">
      <c r="A99" s="12" t="s">
        <v>187</v>
      </c>
    </row>
    <row r="100" spans="1:1" ht="13.5" customHeight="1" x14ac:dyDescent="0.25">
      <c r="A100" s="12" t="s">
        <v>188</v>
      </c>
    </row>
    <row r="101" spans="1:1" ht="13.5" customHeight="1" x14ac:dyDescent="0.25">
      <c r="A101" s="12" t="s">
        <v>189</v>
      </c>
    </row>
    <row r="102" spans="1:1" ht="13.5" customHeight="1" x14ac:dyDescent="0.25">
      <c r="A102" s="12" t="s">
        <v>190</v>
      </c>
    </row>
    <row r="103" spans="1:1" ht="13.5" customHeight="1" x14ac:dyDescent="0.25">
      <c r="A103" s="12" t="s">
        <v>191</v>
      </c>
    </row>
    <row r="104" spans="1:1" ht="13.5" customHeight="1" x14ac:dyDescent="0.25">
      <c r="A104" s="12" t="s">
        <v>192</v>
      </c>
    </row>
    <row r="105" spans="1:1" ht="13.5" customHeight="1" x14ac:dyDescent="0.25">
      <c r="A105" s="12" t="s">
        <v>193</v>
      </c>
    </row>
    <row r="106" spans="1:1" ht="13.5" customHeight="1" x14ac:dyDescent="0.25">
      <c r="A106" s="12" t="s">
        <v>194</v>
      </c>
    </row>
    <row r="107" spans="1:1" ht="13.5" customHeight="1" x14ac:dyDescent="0.25">
      <c r="A107" s="12" t="s">
        <v>195</v>
      </c>
    </row>
    <row r="108" spans="1:1" ht="13.5" customHeight="1" x14ac:dyDescent="0.25">
      <c r="A108" s="12" t="s">
        <v>196</v>
      </c>
    </row>
    <row r="109" spans="1:1" ht="13.5" customHeight="1" x14ac:dyDescent="0.25">
      <c r="A109" s="12" t="s">
        <v>197</v>
      </c>
    </row>
    <row r="110" spans="1:1" ht="13.5" customHeight="1" x14ac:dyDescent="0.25">
      <c r="A110" s="12" t="s">
        <v>198</v>
      </c>
    </row>
    <row r="111" spans="1:1" ht="13.5" customHeight="1" x14ac:dyDescent="0.25">
      <c r="A111" s="12" t="s">
        <v>199</v>
      </c>
    </row>
    <row r="112" spans="1:1" ht="13.5" customHeight="1" x14ac:dyDescent="0.25">
      <c r="A112" s="12" t="s">
        <v>200</v>
      </c>
    </row>
    <row r="113" spans="1:1" ht="13.5" customHeight="1" x14ac:dyDescent="0.25">
      <c r="A113" s="12" t="s">
        <v>201</v>
      </c>
    </row>
    <row r="114" spans="1:1" ht="13.5" customHeight="1" x14ac:dyDescent="0.25">
      <c r="A114" s="12" t="s">
        <v>202</v>
      </c>
    </row>
    <row r="115" spans="1:1" ht="13.5" customHeight="1" x14ac:dyDescent="0.25">
      <c r="A115" s="12" t="s">
        <v>157</v>
      </c>
    </row>
    <row r="116" spans="1:1" ht="13.5" customHeight="1" x14ac:dyDescent="0.25">
      <c r="A116" s="12" t="s">
        <v>203</v>
      </c>
    </row>
    <row r="117" spans="1:1" ht="13.5" customHeight="1" x14ac:dyDescent="0.25">
      <c r="A117" s="12" t="s">
        <v>204</v>
      </c>
    </row>
    <row r="118" spans="1:1" ht="13.5" customHeight="1" x14ac:dyDescent="0.25">
      <c r="A118" s="12" t="s">
        <v>205</v>
      </c>
    </row>
    <row r="119" spans="1:1" ht="13.5" customHeight="1" x14ac:dyDescent="0.25">
      <c r="A119" s="12" t="s">
        <v>206</v>
      </c>
    </row>
    <row r="120" spans="1:1" ht="13.5" customHeight="1" x14ac:dyDescent="0.25">
      <c r="A120" s="12" t="s">
        <v>207</v>
      </c>
    </row>
    <row r="121" spans="1:1" ht="13.5" customHeight="1" x14ac:dyDescent="0.25">
      <c r="A121" s="12" t="s">
        <v>208</v>
      </c>
    </row>
    <row r="122" spans="1:1" ht="13.5" customHeight="1" x14ac:dyDescent="0.25">
      <c r="A122" s="12" t="s">
        <v>157</v>
      </c>
    </row>
    <row r="123" spans="1:1" ht="13.5" customHeight="1" x14ac:dyDescent="0.25">
      <c r="A123" s="12" t="s">
        <v>209</v>
      </c>
    </row>
    <row r="124" spans="1:1" ht="13.5" customHeight="1" x14ac:dyDescent="0.25">
      <c r="A124" s="12" t="s">
        <v>210</v>
      </c>
    </row>
    <row r="125" spans="1:1" ht="13.5" customHeight="1" x14ac:dyDescent="0.25">
      <c r="A125" s="12" t="s">
        <v>211</v>
      </c>
    </row>
    <row r="126" spans="1:1" ht="13.5" customHeight="1" x14ac:dyDescent="0.25">
      <c r="A126" s="12" t="s">
        <v>212</v>
      </c>
    </row>
    <row r="127" spans="1:1" ht="13.5" customHeight="1" x14ac:dyDescent="0.25">
      <c r="A127" s="12" t="s">
        <v>213</v>
      </c>
    </row>
    <row r="128" spans="1:1" ht="13.5" customHeight="1" x14ac:dyDescent="0.25">
      <c r="A128" s="12" t="s">
        <v>214</v>
      </c>
    </row>
    <row r="129" spans="1:1" ht="13.5" customHeight="1" x14ac:dyDescent="0.25">
      <c r="A129" s="12" t="s">
        <v>215</v>
      </c>
    </row>
    <row r="130" spans="1:1" ht="13.5" customHeight="1" x14ac:dyDescent="0.25">
      <c r="A130" s="12" t="s">
        <v>157</v>
      </c>
    </row>
    <row r="131" spans="1:1" ht="13.5" customHeight="1" x14ac:dyDescent="0.25">
      <c r="A131" s="12" t="s">
        <v>216</v>
      </c>
    </row>
    <row r="132" spans="1:1" ht="13.5" customHeight="1" x14ac:dyDescent="0.25">
      <c r="A132" s="12" t="s">
        <v>217</v>
      </c>
    </row>
    <row r="133" spans="1:1" ht="13.5" customHeight="1" x14ac:dyDescent="0.25">
      <c r="A133" s="12" t="s">
        <v>218</v>
      </c>
    </row>
    <row r="134" spans="1:1" ht="13.5" customHeight="1" x14ac:dyDescent="0.25">
      <c r="A134" s="12" t="s">
        <v>219</v>
      </c>
    </row>
    <row r="135" spans="1:1" ht="13.5" customHeight="1" x14ac:dyDescent="0.25">
      <c r="A135" s="12" t="s">
        <v>220</v>
      </c>
    </row>
    <row r="136" spans="1:1" ht="13.5" customHeight="1" x14ac:dyDescent="0.25">
      <c r="A136" s="12" t="s">
        <v>221</v>
      </c>
    </row>
    <row r="137" spans="1:1" ht="13.5" customHeight="1" x14ac:dyDescent="0.25">
      <c r="A137" s="12" t="s">
        <v>222</v>
      </c>
    </row>
    <row r="138" spans="1:1" ht="13.5" customHeight="1" x14ac:dyDescent="0.25">
      <c r="A138" s="12" t="s">
        <v>223</v>
      </c>
    </row>
    <row r="139" spans="1:1" ht="13.5" customHeight="1" x14ac:dyDescent="0.25">
      <c r="A139" s="12" t="s">
        <v>224</v>
      </c>
    </row>
    <row r="140" spans="1:1" ht="13.5" customHeight="1" x14ac:dyDescent="0.25">
      <c r="A140" s="12" t="s">
        <v>225</v>
      </c>
    </row>
    <row r="141" spans="1:1" ht="13.5" customHeight="1" x14ac:dyDescent="0.25">
      <c r="A141" s="12" t="s">
        <v>226</v>
      </c>
    </row>
    <row r="142" spans="1:1" ht="13.5" customHeight="1" x14ac:dyDescent="0.25">
      <c r="A142" s="12" t="s">
        <v>227</v>
      </c>
    </row>
    <row r="143" spans="1:1" ht="13.5" customHeight="1" x14ac:dyDescent="0.25">
      <c r="A143" s="12" t="s">
        <v>228</v>
      </c>
    </row>
    <row r="144" spans="1:1" ht="13.5" customHeight="1" x14ac:dyDescent="0.25">
      <c r="A144" s="12" t="s">
        <v>229</v>
      </c>
    </row>
    <row r="145" spans="1:1" ht="13.5" customHeight="1" x14ac:dyDescent="0.25">
      <c r="A145" s="12" t="s">
        <v>230</v>
      </c>
    </row>
    <row r="146" spans="1:1" ht="13.5" customHeight="1" x14ac:dyDescent="0.25">
      <c r="A146" s="12" t="s">
        <v>231</v>
      </c>
    </row>
    <row r="147" spans="1:1" ht="13.5" customHeight="1" x14ac:dyDescent="0.25">
      <c r="A147" s="12" t="s">
        <v>232</v>
      </c>
    </row>
    <row r="148" spans="1:1" ht="13.5" customHeight="1" x14ac:dyDescent="0.25">
      <c r="A148" s="12" t="s">
        <v>233</v>
      </c>
    </row>
    <row r="149" spans="1:1" ht="13.5" customHeight="1" x14ac:dyDescent="0.25">
      <c r="A149" s="12" t="s">
        <v>234</v>
      </c>
    </row>
    <row r="150" spans="1:1" ht="13.5" customHeight="1" x14ac:dyDescent="0.25">
      <c r="A150" s="12" t="s">
        <v>235</v>
      </c>
    </row>
    <row r="151" spans="1:1" ht="13.5" customHeight="1" x14ac:dyDescent="0.25">
      <c r="A151" s="12" t="s">
        <v>236</v>
      </c>
    </row>
    <row r="152" spans="1:1" ht="13.5" customHeight="1" x14ac:dyDescent="0.25">
      <c r="A152" s="12" t="s">
        <v>237</v>
      </c>
    </row>
    <row r="153" spans="1:1" ht="13.5" customHeight="1" x14ac:dyDescent="0.25">
      <c r="A153" s="12" t="s">
        <v>238</v>
      </c>
    </row>
    <row r="154" spans="1:1" ht="13.5" customHeight="1" x14ac:dyDescent="0.25">
      <c r="A154" s="12" t="s">
        <v>239</v>
      </c>
    </row>
    <row r="155" spans="1:1" ht="13.5" customHeight="1" x14ac:dyDescent="0.25">
      <c r="A155" s="12" t="s">
        <v>240</v>
      </c>
    </row>
    <row r="156" spans="1:1" ht="13.5" customHeight="1" x14ac:dyDescent="0.25">
      <c r="A156" s="12" t="s">
        <v>241</v>
      </c>
    </row>
    <row r="157" spans="1:1" ht="13.5" customHeight="1" x14ac:dyDescent="0.25">
      <c r="A157" s="12" t="s">
        <v>242</v>
      </c>
    </row>
    <row r="158" spans="1:1" ht="13.5" customHeight="1" x14ac:dyDescent="0.25">
      <c r="A158" s="12" t="s">
        <v>243</v>
      </c>
    </row>
    <row r="159" spans="1:1" ht="13.5" customHeight="1" x14ac:dyDescent="0.25">
      <c r="A159" s="12" t="s">
        <v>244</v>
      </c>
    </row>
    <row r="160" spans="1:1" ht="13.5" customHeight="1" x14ac:dyDescent="0.25">
      <c r="A160" s="12" t="s">
        <v>157</v>
      </c>
    </row>
    <row r="161" spans="1:1" ht="13.5" customHeight="1" x14ac:dyDescent="0.25">
      <c r="A161" s="12" t="s">
        <v>245</v>
      </c>
    </row>
    <row r="162" spans="1:1" ht="13.5" customHeight="1" x14ac:dyDescent="0.25">
      <c r="A162" s="12" t="s">
        <v>246</v>
      </c>
    </row>
    <row r="163" spans="1:1" ht="13.5" customHeight="1" x14ac:dyDescent="0.25">
      <c r="A163" s="12" t="s">
        <v>247</v>
      </c>
    </row>
    <row r="164" spans="1:1" ht="13.5" customHeight="1" x14ac:dyDescent="0.25">
      <c r="A164" s="12" t="s">
        <v>248</v>
      </c>
    </row>
    <row r="165" spans="1:1" ht="13.5" customHeight="1" x14ac:dyDescent="0.25">
      <c r="A165" s="12" t="s">
        <v>249</v>
      </c>
    </row>
    <row r="166" spans="1:1" ht="13.5" customHeight="1" x14ac:dyDescent="0.25">
      <c r="A166" s="12" t="s">
        <v>250</v>
      </c>
    </row>
    <row r="167" spans="1:1" ht="13.5" customHeight="1" x14ac:dyDescent="0.25">
      <c r="A167" s="12" t="s">
        <v>251</v>
      </c>
    </row>
    <row r="168" spans="1:1" ht="13.5" customHeight="1" x14ac:dyDescent="0.25">
      <c r="A168" s="12" t="s">
        <v>252</v>
      </c>
    </row>
    <row r="169" spans="1:1" ht="13.5" customHeight="1" x14ac:dyDescent="0.25">
      <c r="A169" s="12" t="s">
        <v>253</v>
      </c>
    </row>
    <row r="170" spans="1:1" ht="13.5" customHeight="1" x14ac:dyDescent="0.25">
      <c r="A170" s="12" t="s">
        <v>254</v>
      </c>
    </row>
    <row r="171" spans="1:1" ht="13.5" customHeight="1" x14ac:dyDescent="0.25">
      <c r="A171" s="12" t="s">
        <v>255</v>
      </c>
    </row>
    <row r="172" spans="1:1" ht="13.5" customHeight="1" x14ac:dyDescent="0.25">
      <c r="A172" s="12" t="s">
        <v>157</v>
      </c>
    </row>
    <row r="173" spans="1:1" ht="13.5" customHeight="1" x14ac:dyDescent="0.25">
      <c r="A173" s="12" t="s">
        <v>256</v>
      </c>
    </row>
    <row r="174" spans="1:1" ht="13.5" customHeight="1" x14ac:dyDescent="0.25">
      <c r="A174" s="12" t="s">
        <v>257</v>
      </c>
    </row>
    <row r="175" spans="1:1" ht="13.5" customHeight="1" x14ac:dyDescent="0.25">
      <c r="A175" s="12" t="s">
        <v>258</v>
      </c>
    </row>
    <row r="176" spans="1:1" ht="13.5" customHeight="1" x14ac:dyDescent="0.25">
      <c r="A176" s="12" t="s">
        <v>259</v>
      </c>
    </row>
    <row r="177" spans="1:1" ht="13.5" customHeight="1" x14ac:dyDescent="0.25">
      <c r="A177" s="12" t="s">
        <v>260</v>
      </c>
    </row>
    <row r="178" spans="1:1" ht="13.5" customHeight="1" x14ac:dyDescent="0.25">
      <c r="A178" s="12" t="s">
        <v>261</v>
      </c>
    </row>
    <row r="179" spans="1:1" ht="13.5" customHeight="1" x14ac:dyDescent="0.25">
      <c r="A179" s="12" t="s">
        <v>262</v>
      </c>
    </row>
    <row r="180" spans="1:1" ht="13.5" customHeight="1" x14ac:dyDescent="0.25">
      <c r="A180" s="12" t="s">
        <v>263</v>
      </c>
    </row>
    <row r="181" spans="1:1" ht="13.5" customHeight="1" x14ac:dyDescent="0.25">
      <c r="A181" s="12" t="s">
        <v>264</v>
      </c>
    </row>
    <row r="182" spans="1:1" ht="13.5" customHeight="1" x14ac:dyDescent="0.25">
      <c r="A182" s="12" t="s">
        <v>265</v>
      </c>
    </row>
    <row r="183" spans="1:1" ht="13.5" customHeight="1" x14ac:dyDescent="0.25">
      <c r="A183" s="12" t="s">
        <v>266</v>
      </c>
    </row>
    <row r="184" spans="1:1" ht="13.5" customHeight="1" x14ac:dyDescent="0.25">
      <c r="A184" s="12" t="s">
        <v>267</v>
      </c>
    </row>
    <row r="185" spans="1:1" ht="13.5" customHeight="1" x14ac:dyDescent="0.25">
      <c r="A185" s="12" t="s">
        <v>268</v>
      </c>
    </row>
    <row r="186" spans="1:1" ht="13.5" customHeight="1" x14ac:dyDescent="0.25">
      <c r="A186" s="12" t="s">
        <v>269</v>
      </c>
    </row>
    <row r="187" spans="1:1" ht="13.5" customHeight="1" x14ac:dyDescent="0.25">
      <c r="A187" s="12" t="s">
        <v>270</v>
      </c>
    </row>
    <row r="188" spans="1:1" ht="13.5" customHeight="1" x14ac:dyDescent="0.25">
      <c r="A188" s="12" t="s">
        <v>271</v>
      </c>
    </row>
    <row r="189" spans="1:1" ht="13.5" customHeight="1" x14ac:dyDescent="0.25">
      <c r="A189" s="12" t="s">
        <v>272</v>
      </c>
    </row>
    <row r="190" spans="1:1" ht="13.5" customHeight="1" x14ac:dyDescent="0.25">
      <c r="A190" s="12" t="s">
        <v>273</v>
      </c>
    </row>
    <row r="191" spans="1:1" ht="13.5" customHeight="1" x14ac:dyDescent="0.25">
      <c r="A191" s="12" t="s">
        <v>274</v>
      </c>
    </row>
    <row r="192" spans="1:1" ht="13.5" customHeight="1" x14ac:dyDescent="0.25">
      <c r="A192" s="12" t="s">
        <v>275</v>
      </c>
    </row>
    <row r="193" spans="1:1" ht="13.5" customHeight="1" x14ac:dyDescent="0.25">
      <c r="A193" s="12" t="s">
        <v>276</v>
      </c>
    </row>
    <row r="194" spans="1:1" ht="13.5" customHeight="1" x14ac:dyDescent="0.25">
      <c r="A194" s="12" t="s">
        <v>157</v>
      </c>
    </row>
    <row r="195" spans="1:1" ht="13.5" customHeight="1" x14ac:dyDescent="0.25">
      <c r="A195" s="12" t="s">
        <v>277</v>
      </c>
    </row>
    <row r="196" spans="1:1" ht="13.5" customHeight="1" x14ac:dyDescent="0.25">
      <c r="A196" s="12" t="s">
        <v>278</v>
      </c>
    </row>
    <row r="197" spans="1:1" ht="13.5" customHeight="1" x14ac:dyDescent="0.25">
      <c r="A197" s="12" t="s">
        <v>279</v>
      </c>
    </row>
    <row r="198" spans="1:1" ht="13.5" customHeight="1" x14ac:dyDescent="0.25">
      <c r="A198" s="12" t="s">
        <v>280</v>
      </c>
    </row>
    <row r="199" spans="1:1" ht="13.5" customHeight="1" x14ac:dyDescent="0.25">
      <c r="A199" s="12" t="s">
        <v>281</v>
      </c>
    </row>
    <row r="200" spans="1:1" ht="13.5" customHeight="1" x14ac:dyDescent="0.25">
      <c r="A200" s="12" t="s">
        <v>282</v>
      </c>
    </row>
    <row r="201" spans="1:1" ht="13.5" customHeight="1" x14ac:dyDescent="0.25">
      <c r="A201" s="12" t="s">
        <v>283</v>
      </c>
    </row>
    <row r="202" spans="1:1" ht="13.5" customHeight="1" x14ac:dyDescent="0.25">
      <c r="A202" s="12" t="s">
        <v>284</v>
      </c>
    </row>
    <row r="203" spans="1:1" ht="13.5" customHeight="1" x14ac:dyDescent="0.25">
      <c r="A203" s="12" t="s">
        <v>285</v>
      </c>
    </row>
    <row r="204" spans="1:1" ht="13.5" customHeight="1" x14ac:dyDescent="0.25">
      <c r="A204" s="12" t="s">
        <v>286</v>
      </c>
    </row>
    <row r="205" spans="1:1" ht="13.5" customHeight="1" x14ac:dyDescent="0.25">
      <c r="A205" s="12" t="s">
        <v>287</v>
      </c>
    </row>
    <row r="206" spans="1:1" ht="13.5" customHeight="1" x14ac:dyDescent="0.25">
      <c r="A206" s="12" t="s">
        <v>288</v>
      </c>
    </row>
    <row r="207" spans="1:1" ht="13.5" customHeight="1" x14ac:dyDescent="0.25">
      <c r="A207" s="12" t="s">
        <v>289</v>
      </c>
    </row>
    <row r="208" spans="1:1" ht="13.5" customHeight="1" x14ac:dyDescent="0.25">
      <c r="A208" s="12" t="s">
        <v>157</v>
      </c>
    </row>
    <row r="209" spans="1:1" ht="13.5" customHeight="1" x14ac:dyDescent="0.25">
      <c r="A209" s="12" t="s">
        <v>290</v>
      </c>
    </row>
    <row r="210" spans="1:1" ht="13.5" customHeight="1" x14ac:dyDescent="0.25">
      <c r="A210" s="12" t="s">
        <v>291</v>
      </c>
    </row>
    <row r="211" spans="1:1" ht="13.5" customHeight="1" x14ac:dyDescent="0.25">
      <c r="A211" s="12" t="s">
        <v>292</v>
      </c>
    </row>
    <row r="212" spans="1:1" ht="13.5" customHeight="1" x14ac:dyDescent="0.25">
      <c r="A212" s="12" t="s">
        <v>293</v>
      </c>
    </row>
    <row r="213" spans="1:1" ht="13.5" customHeight="1" x14ac:dyDescent="0.25">
      <c r="A213" s="12" t="s">
        <v>294</v>
      </c>
    </row>
    <row r="214" spans="1:1" ht="13.5" customHeight="1" x14ac:dyDescent="0.25">
      <c r="A214" s="12" t="s">
        <v>295</v>
      </c>
    </row>
    <row r="215" spans="1:1" ht="13.5" customHeight="1" x14ac:dyDescent="0.25">
      <c r="A215" s="12" t="s">
        <v>296</v>
      </c>
    </row>
    <row r="216" spans="1:1" ht="13.5" customHeight="1" x14ac:dyDescent="0.25">
      <c r="A216" s="12" t="s">
        <v>297</v>
      </c>
    </row>
    <row r="217" spans="1:1" ht="13.5" customHeight="1" x14ac:dyDescent="0.25">
      <c r="A217" s="12" t="s">
        <v>298</v>
      </c>
    </row>
    <row r="218" spans="1:1" ht="13.5" customHeight="1" x14ac:dyDescent="0.25">
      <c r="A218" s="12" t="s">
        <v>299</v>
      </c>
    </row>
    <row r="219" spans="1:1" ht="13.5" customHeight="1" x14ac:dyDescent="0.25">
      <c r="A219" s="12" t="s">
        <v>300</v>
      </c>
    </row>
    <row r="220" spans="1:1" ht="13.5" customHeight="1" x14ac:dyDescent="0.25">
      <c r="A220" s="12" t="s">
        <v>301</v>
      </c>
    </row>
    <row r="221" spans="1:1" ht="13.5" customHeight="1" x14ac:dyDescent="0.25">
      <c r="A221" s="12" t="s">
        <v>302</v>
      </c>
    </row>
    <row r="222" spans="1:1" ht="13.5" customHeight="1" x14ac:dyDescent="0.25">
      <c r="A222" s="12" t="s">
        <v>303</v>
      </c>
    </row>
    <row r="223" spans="1:1" ht="13.5" customHeight="1" x14ac:dyDescent="0.25">
      <c r="A223" s="12" t="s">
        <v>304</v>
      </c>
    </row>
    <row r="224" spans="1:1" ht="13.5" customHeight="1" x14ac:dyDescent="0.25">
      <c r="A224" s="12" t="s">
        <v>305</v>
      </c>
    </row>
    <row r="225" spans="1:1" ht="13.5" customHeight="1" x14ac:dyDescent="0.25">
      <c r="A225" s="12" t="s">
        <v>306</v>
      </c>
    </row>
    <row r="226" spans="1:1" ht="13.5" customHeight="1" x14ac:dyDescent="0.25">
      <c r="A226" s="12" t="s">
        <v>307</v>
      </c>
    </row>
    <row r="227" spans="1:1" ht="13.5" customHeight="1" x14ac:dyDescent="0.25">
      <c r="A227" s="12" t="s">
        <v>308</v>
      </c>
    </row>
    <row r="228" spans="1:1" ht="13.5" customHeight="1" x14ac:dyDescent="0.25">
      <c r="A228" s="12" t="s">
        <v>309</v>
      </c>
    </row>
    <row r="229" spans="1:1" ht="13.5" customHeight="1" x14ac:dyDescent="0.25">
      <c r="A229" s="12" t="s">
        <v>310</v>
      </c>
    </row>
    <row r="230" spans="1:1" ht="13.5" customHeight="1" x14ac:dyDescent="0.25">
      <c r="A230" s="12" t="s">
        <v>157</v>
      </c>
    </row>
    <row r="231" spans="1:1" ht="13.5" customHeight="1" x14ac:dyDescent="0.25">
      <c r="A231" s="12" t="s">
        <v>311</v>
      </c>
    </row>
    <row r="232" spans="1:1" ht="13.5" customHeight="1" x14ac:dyDescent="0.25">
      <c r="A232" s="12" t="s">
        <v>312</v>
      </c>
    </row>
    <row r="233" spans="1:1" ht="13.5" customHeight="1" x14ac:dyDescent="0.25">
      <c r="A233" s="12" t="s">
        <v>313</v>
      </c>
    </row>
    <row r="234" spans="1:1" ht="13.5" customHeight="1" x14ac:dyDescent="0.25">
      <c r="A234" s="12" t="s">
        <v>314</v>
      </c>
    </row>
    <row r="235" spans="1:1" ht="13.5" customHeight="1" x14ac:dyDescent="0.25">
      <c r="A235" s="12" t="s">
        <v>315</v>
      </c>
    </row>
    <row r="236" spans="1:1" ht="13.5" customHeight="1" x14ac:dyDescent="0.25">
      <c r="A236" s="12" t="s">
        <v>316</v>
      </c>
    </row>
    <row r="237" spans="1:1" ht="13.5" customHeight="1" x14ac:dyDescent="0.25">
      <c r="A237" s="12" t="s">
        <v>317</v>
      </c>
    </row>
    <row r="238" spans="1:1" ht="13.5" customHeight="1" x14ac:dyDescent="0.25">
      <c r="A238" s="12" t="s">
        <v>318</v>
      </c>
    </row>
    <row r="239" spans="1:1" ht="13.5" customHeight="1" x14ac:dyDescent="0.25">
      <c r="A239" s="12" t="s">
        <v>319</v>
      </c>
    </row>
    <row r="240" spans="1:1" ht="13.5" customHeight="1" x14ac:dyDescent="0.25">
      <c r="A240" s="12" t="s">
        <v>320</v>
      </c>
    </row>
    <row r="241" spans="1:1" ht="13.5" customHeight="1" x14ac:dyDescent="0.25">
      <c r="A241" s="12" t="s">
        <v>321</v>
      </c>
    </row>
    <row r="242" spans="1:1" ht="13.5" customHeight="1" x14ac:dyDescent="0.25">
      <c r="A242" s="12" t="s">
        <v>322</v>
      </c>
    </row>
    <row r="243" spans="1:1" ht="13.5" customHeight="1" x14ac:dyDescent="0.25">
      <c r="A243" s="12" t="s">
        <v>323</v>
      </c>
    </row>
    <row r="244" spans="1:1" ht="13.5" customHeight="1" x14ac:dyDescent="0.25">
      <c r="A244" s="12" t="s">
        <v>324</v>
      </c>
    </row>
    <row r="245" spans="1:1" ht="13.5" customHeight="1" x14ac:dyDescent="0.25">
      <c r="A245" s="12" t="s">
        <v>325</v>
      </c>
    </row>
    <row r="246" spans="1:1" ht="13.5" customHeight="1" x14ac:dyDescent="0.25">
      <c r="A246" s="12" t="s">
        <v>326</v>
      </c>
    </row>
    <row r="247" spans="1:1" ht="13.5" customHeight="1" x14ac:dyDescent="0.25">
      <c r="A247" s="12" t="s">
        <v>327</v>
      </c>
    </row>
    <row r="248" spans="1:1" ht="13.5" customHeight="1" x14ac:dyDescent="0.25">
      <c r="A248" s="12" t="s">
        <v>328</v>
      </c>
    </row>
    <row r="249" spans="1:1" ht="13.5" customHeight="1" x14ac:dyDescent="0.25">
      <c r="A249" s="12" t="s">
        <v>329</v>
      </c>
    </row>
    <row r="250" spans="1:1" ht="13.5" customHeight="1" x14ac:dyDescent="0.25">
      <c r="A250" s="12" t="s">
        <v>330</v>
      </c>
    </row>
    <row r="251" spans="1:1" ht="13.5" customHeight="1" x14ac:dyDescent="0.25">
      <c r="A251" s="12" t="s">
        <v>331</v>
      </c>
    </row>
    <row r="252" spans="1:1" ht="13.5" customHeight="1" x14ac:dyDescent="0.25">
      <c r="A252" s="12" t="s">
        <v>332</v>
      </c>
    </row>
    <row r="253" spans="1:1" ht="13.5" customHeight="1" x14ac:dyDescent="0.25">
      <c r="A253" s="12" t="s">
        <v>333</v>
      </c>
    </row>
    <row r="254" spans="1:1" ht="13.5" customHeight="1" x14ac:dyDescent="0.25">
      <c r="A254" s="12" t="s">
        <v>157</v>
      </c>
    </row>
    <row r="255" spans="1:1" ht="13.5" customHeight="1" x14ac:dyDescent="0.25">
      <c r="A255" s="12" t="s">
        <v>334</v>
      </c>
    </row>
    <row r="256" spans="1:1" ht="13.5" customHeight="1" x14ac:dyDescent="0.25">
      <c r="A256" s="12" t="s">
        <v>335</v>
      </c>
    </row>
    <row r="257" spans="1:1" ht="13.5" customHeight="1" x14ac:dyDescent="0.25">
      <c r="A257" s="12" t="s">
        <v>336</v>
      </c>
    </row>
    <row r="258" spans="1:1" ht="13.5" customHeight="1" x14ac:dyDescent="0.25">
      <c r="A258" s="12" t="s">
        <v>337</v>
      </c>
    </row>
    <row r="259" spans="1:1" ht="13.5" customHeight="1" x14ac:dyDescent="0.25">
      <c r="A259" s="12" t="s">
        <v>338</v>
      </c>
    </row>
    <row r="260" spans="1:1" ht="13.5" customHeight="1" x14ac:dyDescent="0.25">
      <c r="A260" s="12" t="s">
        <v>339</v>
      </c>
    </row>
    <row r="261" spans="1:1" ht="13.5" customHeight="1" x14ac:dyDescent="0.25">
      <c r="A261" s="12" t="s">
        <v>340</v>
      </c>
    </row>
    <row r="262" spans="1:1" ht="13.5" customHeight="1" x14ac:dyDescent="0.25">
      <c r="A262" s="12" t="s">
        <v>341</v>
      </c>
    </row>
    <row r="263" spans="1:1" ht="13.5" customHeight="1" x14ac:dyDescent="0.25">
      <c r="A263" s="12" t="s">
        <v>342</v>
      </c>
    </row>
    <row r="264" spans="1:1" ht="13.5" customHeight="1" x14ac:dyDescent="0.25">
      <c r="A264" s="12" t="s">
        <v>343</v>
      </c>
    </row>
    <row r="265" spans="1:1" ht="13.5" customHeight="1" x14ac:dyDescent="0.25">
      <c r="A265" s="12" t="s">
        <v>344</v>
      </c>
    </row>
    <row r="266" spans="1:1" ht="13.5" customHeight="1" x14ac:dyDescent="0.25">
      <c r="A266" s="12" t="s">
        <v>345</v>
      </c>
    </row>
    <row r="267" spans="1:1" ht="13.5" customHeight="1" x14ac:dyDescent="0.25">
      <c r="A267" s="12" t="s">
        <v>346</v>
      </c>
    </row>
    <row r="268" spans="1:1" ht="13.5" customHeight="1" x14ac:dyDescent="0.25">
      <c r="A268" s="12" t="s">
        <v>157</v>
      </c>
    </row>
    <row r="269" spans="1:1" ht="13.5" customHeight="1" x14ac:dyDescent="0.25">
      <c r="A269" s="12" t="s">
        <v>347</v>
      </c>
    </row>
    <row r="270" spans="1:1" ht="13.5" customHeight="1" x14ac:dyDescent="0.25">
      <c r="A270" s="12" t="s">
        <v>348</v>
      </c>
    </row>
    <row r="271" spans="1:1" ht="13.5" customHeight="1" x14ac:dyDescent="0.25">
      <c r="A271" s="12" t="s">
        <v>349</v>
      </c>
    </row>
    <row r="272" spans="1:1" ht="13.5" customHeight="1" x14ac:dyDescent="0.25">
      <c r="A272" s="12" t="s">
        <v>350</v>
      </c>
    </row>
    <row r="273" spans="1:1" ht="13.5" customHeight="1" x14ac:dyDescent="0.25">
      <c r="A273" s="12" t="s">
        <v>351</v>
      </c>
    </row>
    <row r="274" spans="1:1" ht="13.5" customHeight="1" x14ac:dyDescent="0.25">
      <c r="A274" s="12" t="s">
        <v>352</v>
      </c>
    </row>
    <row r="275" spans="1:1" ht="13.5" customHeight="1" x14ac:dyDescent="0.25">
      <c r="A275" s="12" t="s">
        <v>353</v>
      </c>
    </row>
    <row r="276" spans="1:1" ht="13.5" customHeight="1" x14ac:dyDescent="0.25">
      <c r="A276" s="12" t="s">
        <v>354</v>
      </c>
    </row>
    <row r="277" spans="1:1" ht="13.5" customHeight="1" x14ac:dyDescent="0.25">
      <c r="A277" s="12" t="s">
        <v>355</v>
      </c>
    </row>
    <row r="278" spans="1:1" ht="13.5" customHeight="1" x14ac:dyDescent="0.25">
      <c r="A278" s="12" t="s">
        <v>356</v>
      </c>
    </row>
    <row r="279" spans="1:1" ht="13.5" customHeight="1" x14ac:dyDescent="0.25">
      <c r="A279" s="12" t="s">
        <v>357</v>
      </c>
    </row>
    <row r="280" spans="1:1" ht="13.5" customHeight="1" x14ac:dyDescent="0.25">
      <c r="A280" s="12" t="s">
        <v>358</v>
      </c>
    </row>
    <row r="281" spans="1:1" ht="13.5" customHeight="1" x14ac:dyDescent="0.25">
      <c r="A281" s="12"/>
    </row>
    <row r="282" spans="1:1" ht="13.5" customHeight="1" x14ac:dyDescent="0.25">
      <c r="A282" s="12" t="s">
        <v>359</v>
      </c>
    </row>
    <row r="283" spans="1:1" ht="13.5" customHeight="1" x14ac:dyDescent="0.25">
      <c r="A283" s="12" t="s">
        <v>360</v>
      </c>
    </row>
    <row r="284" spans="1:1" ht="13.5" customHeight="1" x14ac:dyDescent="0.25">
      <c r="A284" s="12" t="s">
        <v>361</v>
      </c>
    </row>
    <row r="285" spans="1:1" ht="13.5" customHeight="1" x14ac:dyDescent="0.25">
      <c r="A285" s="12" t="s">
        <v>362</v>
      </c>
    </row>
    <row r="286" spans="1:1" ht="13.5" customHeight="1" x14ac:dyDescent="0.25">
      <c r="A286" s="12" t="s">
        <v>363</v>
      </c>
    </row>
    <row r="287" spans="1:1" ht="13.5" customHeight="1" x14ac:dyDescent="0.25">
      <c r="A287" s="12" t="s">
        <v>364</v>
      </c>
    </row>
    <row r="288" spans="1:1" ht="13.5" customHeight="1" x14ac:dyDescent="0.25">
      <c r="A288" s="12" t="s">
        <v>365</v>
      </c>
    </row>
    <row r="289" spans="1:1" ht="13.5" customHeight="1" x14ac:dyDescent="0.25">
      <c r="A289" s="12" t="s">
        <v>366</v>
      </c>
    </row>
    <row r="290" spans="1:1" ht="13.5" customHeight="1" x14ac:dyDescent="0.25">
      <c r="A290" s="12" t="s">
        <v>367</v>
      </c>
    </row>
    <row r="291" spans="1:1" ht="13.5" customHeight="1" x14ac:dyDescent="0.25">
      <c r="A291" s="12" t="s">
        <v>368</v>
      </c>
    </row>
    <row r="292" spans="1:1" ht="13.5" customHeight="1" x14ac:dyDescent="0.25">
      <c r="A292" s="12" t="s">
        <v>369</v>
      </c>
    </row>
    <row r="293" spans="1:1" ht="13.5" customHeight="1" x14ac:dyDescent="0.25">
      <c r="A293" s="12" t="s">
        <v>370</v>
      </c>
    </row>
    <row r="294" spans="1:1" ht="13.5" customHeight="1" x14ac:dyDescent="0.25">
      <c r="A294" s="12" t="s">
        <v>371</v>
      </c>
    </row>
    <row r="295" spans="1:1" ht="13.5" customHeight="1" x14ac:dyDescent="0.25">
      <c r="A295" s="12" t="s">
        <v>372</v>
      </c>
    </row>
    <row r="296" spans="1:1" ht="13.5" customHeight="1" x14ac:dyDescent="0.25">
      <c r="A296" s="12" t="s">
        <v>373</v>
      </c>
    </row>
    <row r="297" spans="1:1" ht="13.5" customHeight="1" x14ac:dyDescent="0.25">
      <c r="A297" s="12" t="s">
        <v>374</v>
      </c>
    </row>
    <row r="298" spans="1:1" ht="13.5" customHeight="1" x14ac:dyDescent="0.25">
      <c r="A298" s="12" t="s">
        <v>375</v>
      </c>
    </row>
    <row r="299" spans="1:1" ht="13.5" customHeight="1" x14ac:dyDescent="0.25">
      <c r="A299" s="12" t="s">
        <v>376</v>
      </c>
    </row>
    <row r="300" spans="1:1" ht="13.5" customHeight="1" x14ac:dyDescent="0.25">
      <c r="A300" s="12" t="s">
        <v>377</v>
      </c>
    </row>
    <row r="301" spans="1:1" ht="13.5" customHeight="1" x14ac:dyDescent="0.25">
      <c r="A301" s="12" t="s">
        <v>378</v>
      </c>
    </row>
    <row r="302" spans="1:1" ht="13.5" customHeight="1" x14ac:dyDescent="0.25">
      <c r="A302" s="12" t="s">
        <v>379</v>
      </c>
    </row>
    <row r="303" spans="1:1" ht="13.5" customHeight="1" x14ac:dyDescent="0.25">
      <c r="A303" s="12" t="s">
        <v>380</v>
      </c>
    </row>
    <row r="304" spans="1:1" ht="13.5" customHeight="1" x14ac:dyDescent="0.25">
      <c r="A304" s="12" t="s">
        <v>381</v>
      </c>
    </row>
    <row r="305" spans="1:1" ht="13.5" customHeight="1" x14ac:dyDescent="0.25">
      <c r="A305" s="12"/>
    </row>
    <row r="306" spans="1:1" ht="13.5" customHeight="1" x14ac:dyDescent="0.25">
      <c r="A306" s="12" t="s">
        <v>382</v>
      </c>
    </row>
    <row r="307" spans="1:1" ht="13.5" customHeight="1" x14ac:dyDescent="0.25">
      <c r="A307" s="12" t="s">
        <v>383</v>
      </c>
    </row>
    <row r="308" spans="1:1" ht="13.5" customHeight="1" x14ac:dyDescent="0.25">
      <c r="A308" s="12" t="s">
        <v>384</v>
      </c>
    </row>
    <row r="309" spans="1:1" ht="13.5" customHeight="1" x14ac:dyDescent="0.25">
      <c r="A309" s="12" t="s">
        <v>385</v>
      </c>
    </row>
    <row r="310" spans="1:1" ht="13.5" customHeight="1" x14ac:dyDescent="0.25">
      <c r="A310" s="12" t="s">
        <v>386</v>
      </c>
    </row>
    <row r="311" spans="1:1" ht="13.5" customHeight="1" x14ac:dyDescent="0.25">
      <c r="A311" s="12" t="s">
        <v>387</v>
      </c>
    </row>
    <row r="312" spans="1:1" ht="13.5" customHeight="1" x14ac:dyDescent="0.25">
      <c r="A312" s="12" t="s">
        <v>388</v>
      </c>
    </row>
    <row r="313" spans="1:1" ht="13.5" customHeight="1" x14ac:dyDescent="0.25">
      <c r="A313" s="12" t="s">
        <v>389</v>
      </c>
    </row>
    <row r="314" spans="1:1" ht="13.5" customHeight="1" x14ac:dyDescent="0.25">
      <c r="A314" s="12" t="s">
        <v>390</v>
      </c>
    </row>
    <row r="315" spans="1:1" ht="13.5" customHeight="1" x14ac:dyDescent="0.25">
      <c r="A315" s="12" t="s">
        <v>391</v>
      </c>
    </row>
    <row r="316" spans="1:1" ht="13.5" customHeight="1" x14ac:dyDescent="0.25">
      <c r="A316" s="12" t="s">
        <v>392</v>
      </c>
    </row>
    <row r="317" spans="1:1" ht="13.5" customHeight="1" x14ac:dyDescent="0.25">
      <c r="A317" s="12" t="s">
        <v>393</v>
      </c>
    </row>
    <row r="318" spans="1:1" ht="13.5" customHeight="1" x14ac:dyDescent="0.25">
      <c r="A318" s="12" t="s">
        <v>394</v>
      </c>
    </row>
    <row r="319" spans="1:1" ht="13.5" customHeight="1" x14ac:dyDescent="0.25">
      <c r="A319" s="12" t="s">
        <v>395</v>
      </c>
    </row>
    <row r="320" spans="1:1" ht="13.5" customHeight="1" x14ac:dyDescent="0.25">
      <c r="A320" s="12"/>
    </row>
    <row r="321" spans="1:1" ht="13.5" customHeight="1" x14ac:dyDescent="0.25">
      <c r="A321" s="12" t="s">
        <v>396</v>
      </c>
    </row>
    <row r="322" spans="1:1" ht="13.5" customHeight="1" x14ac:dyDescent="0.25">
      <c r="A322" s="12" t="s">
        <v>397</v>
      </c>
    </row>
    <row r="323" spans="1:1" ht="13.5" customHeight="1" x14ac:dyDescent="0.25">
      <c r="A323" s="12" t="s">
        <v>398</v>
      </c>
    </row>
    <row r="324" spans="1:1" ht="13.5" customHeight="1" x14ac:dyDescent="0.25">
      <c r="A324" s="12" t="s">
        <v>399</v>
      </c>
    </row>
    <row r="325" spans="1:1" ht="13.5" customHeight="1" x14ac:dyDescent="0.25">
      <c r="A325" s="12" t="s">
        <v>400</v>
      </c>
    </row>
    <row r="326" spans="1:1" ht="13.5" customHeight="1" x14ac:dyDescent="0.25">
      <c r="A326" s="12" t="s">
        <v>401</v>
      </c>
    </row>
    <row r="327" spans="1:1" ht="13.5" customHeight="1" x14ac:dyDescent="0.25">
      <c r="A327" s="12" t="s">
        <v>402</v>
      </c>
    </row>
    <row r="328" spans="1:1" ht="13.5" customHeight="1" x14ac:dyDescent="0.25">
      <c r="A328" s="12" t="s">
        <v>403</v>
      </c>
    </row>
    <row r="329" spans="1:1" ht="13.5" customHeight="1" x14ac:dyDescent="0.25">
      <c r="A329" s="12" t="s">
        <v>404</v>
      </c>
    </row>
    <row r="330" spans="1:1" ht="13.5" customHeight="1" x14ac:dyDescent="0.25">
      <c r="A330" s="12"/>
    </row>
    <row r="331" spans="1:1" ht="13.5" customHeight="1" x14ac:dyDescent="0.25">
      <c r="A331" s="12" t="s">
        <v>405</v>
      </c>
    </row>
    <row r="332" spans="1:1" ht="13.5" customHeight="1" x14ac:dyDescent="0.25">
      <c r="A332" s="12" t="s">
        <v>406</v>
      </c>
    </row>
    <row r="333" spans="1:1" ht="13.5" customHeight="1" x14ac:dyDescent="0.25">
      <c r="A333" s="12"/>
    </row>
    <row r="334" spans="1:1" ht="13.5" customHeight="1" x14ac:dyDescent="0.25">
      <c r="A334" s="12" t="s">
        <v>407</v>
      </c>
    </row>
    <row r="335" spans="1:1" ht="13.5" customHeight="1" x14ac:dyDescent="0.25">
      <c r="A335" s="12" t="s">
        <v>408</v>
      </c>
    </row>
    <row r="336" spans="1:1" ht="13.5" customHeight="1" x14ac:dyDescent="0.25">
      <c r="A336" s="12" t="s">
        <v>409</v>
      </c>
    </row>
    <row r="337" spans="1:1" ht="13.5" customHeight="1" x14ac:dyDescent="0.25">
      <c r="A337" s="12" t="s">
        <v>410</v>
      </c>
    </row>
    <row r="338" spans="1:1" ht="13.5" customHeight="1" x14ac:dyDescent="0.25">
      <c r="A338" s="12" t="s">
        <v>411</v>
      </c>
    </row>
    <row r="339" spans="1:1" ht="13.5" customHeight="1" x14ac:dyDescent="0.25">
      <c r="A339" s="12" t="s">
        <v>412</v>
      </c>
    </row>
    <row r="340" spans="1:1" ht="13.5" customHeight="1" x14ac:dyDescent="0.25">
      <c r="A340" s="12" t="s">
        <v>413</v>
      </c>
    </row>
    <row r="341" spans="1:1" ht="13.5" customHeight="1" x14ac:dyDescent="0.25">
      <c r="A341" s="12"/>
    </row>
    <row r="342" spans="1:1" ht="13.5" customHeight="1" x14ac:dyDescent="0.25">
      <c r="A342" s="12" t="s">
        <v>414</v>
      </c>
    </row>
    <row r="343" spans="1:1" ht="13.5" customHeight="1" x14ac:dyDescent="0.25">
      <c r="A343" s="12" t="s">
        <v>415</v>
      </c>
    </row>
    <row r="344" spans="1:1" ht="13.5" customHeight="1" x14ac:dyDescent="0.25">
      <c r="A344" s="12" t="s">
        <v>416</v>
      </c>
    </row>
    <row r="345" spans="1:1" ht="13.5" customHeight="1" x14ac:dyDescent="0.25">
      <c r="A345" s="12" t="s">
        <v>417</v>
      </c>
    </row>
    <row r="346" spans="1:1" ht="13.5" customHeight="1" x14ac:dyDescent="0.25">
      <c r="A346" s="12" t="s">
        <v>418</v>
      </c>
    </row>
    <row r="347" spans="1:1" ht="13.5" customHeight="1" x14ac:dyDescent="0.25">
      <c r="A347" s="12" t="s">
        <v>419</v>
      </c>
    </row>
    <row r="348" spans="1:1" ht="13.5" customHeight="1" x14ac:dyDescent="0.25">
      <c r="A348" s="12" t="s">
        <v>420</v>
      </c>
    </row>
    <row r="349" spans="1:1" ht="13.5" customHeight="1" x14ac:dyDescent="0.25">
      <c r="A349" s="12" t="s">
        <v>421</v>
      </c>
    </row>
    <row r="350" spans="1:1" ht="13.5" customHeight="1" x14ac:dyDescent="0.25">
      <c r="A350" s="12" t="s">
        <v>422</v>
      </c>
    </row>
    <row r="351" spans="1:1" ht="13.5" customHeight="1" x14ac:dyDescent="0.25">
      <c r="A351" s="12" t="s">
        <v>423</v>
      </c>
    </row>
    <row r="352" spans="1:1" ht="13.5" customHeight="1" x14ac:dyDescent="0.25">
      <c r="A352" s="12" t="s">
        <v>424</v>
      </c>
    </row>
    <row r="353" spans="1:1" ht="13.5" customHeight="1" x14ac:dyDescent="0.25">
      <c r="A353" s="12" t="s">
        <v>425</v>
      </c>
    </row>
    <row r="354" spans="1:1" ht="13.5" customHeight="1" x14ac:dyDescent="0.25">
      <c r="A354" s="12" t="s">
        <v>426</v>
      </c>
    </row>
    <row r="355" spans="1:1" ht="13.5" customHeight="1" x14ac:dyDescent="0.25">
      <c r="A355" s="12" t="s">
        <v>427</v>
      </c>
    </row>
    <row r="356" spans="1:1" ht="13.5" customHeight="1" x14ac:dyDescent="0.25">
      <c r="A356" s="12" t="s">
        <v>428</v>
      </c>
    </row>
    <row r="357" spans="1:1" ht="13.5" customHeight="1" x14ac:dyDescent="0.25">
      <c r="A357" s="12" t="s">
        <v>429</v>
      </c>
    </row>
    <row r="358" spans="1:1" ht="13.5" customHeight="1" x14ac:dyDescent="0.25">
      <c r="A358" s="12"/>
    </row>
    <row r="359" spans="1:1" ht="13.5" customHeight="1" x14ac:dyDescent="0.25">
      <c r="A359" s="12" t="s">
        <v>430</v>
      </c>
    </row>
    <row r="360" spans="1:1" ht="13.5" customHeight="1" x14ac:dyDescent="0.25">
      <c r="A360" s="12" t="s">
        <v>431</v>
      </c>
    </row>
    <row r="361" spans="1:1" ht="13.5" customHeight="1" x14ac:dyDescent="0.25">
      <c r="A361" s="12" t="s">
        <v>432</v>
      </c>
    </row>
    <row r="362" spans="1:1" ht="13.5" customHeight="1" x14ac:dyDescent="0.25">
      <c r="A362" s="12" t="s">
        <v>433</v>
      </c>
    </row>
    <row r="363" spans="1:1" ht="13.5" customHeight="1" x14ac:dyDescent="0.25">
      <c r="A363" s="12" t="s">
        <v>434</v>
      </c>
    </row>
    <row r="364" spans="1:1" ht="13.5" customHeight="1" x14ac:dyDescent="0.25">
      <c r="A364" s="12" t="s">
        <v>435</v>
      </c>
    </row>
    <row r="365" spans="1:1" ht="13.5" customHeight="1" x14ac:dyDescent="0.25">
      <c r="A365" s="12" t="s">
        <v>436</v>
      </c>
    </row>
    <row r="366" spans="1:1" ht="13.5" customHeight="1" x14ac:dyDescent="0.25">
      <c r="A366" s="12" t="s">
        <v>437</v>
      </c>
    </row>
    <row r="367" spans="1:1" ht="13.5" customHeight="1" x14ac:dyDescent="0.25">
      <c r="A367" s="12" t="s">
        <v>438</v>
      </c>
    </row>
    <row r="368" spans="1:1" ht="13.5" customHeight="1" x14ac:dyDescent="0.25">
      <c r="A368" s="12" t="s">
        <v>419</v>
      </c>
    </row>
    <row r="369" spans="1:1" ht="13.5" customHeight="1" x14ac:dyDescent="0.25">
      <c r="A369" s="12" t="s">
        <v>420</v>
      </c>
    </row>
    <row r="370" spans="1:1" ht="13.5" customHeight="1" x14ac:dyDescent="0.25">
      <c r="A370" s="12" t="s">
        <v>439</v>
      </c>
    </row>
    <row r="371" spans="1:1" ht="13.5" customHeight="1" x14ac:dyDescent="0.25">
      <c r="A371" s="12" t="s">
        <v>440</v>
      </c>
    </row>
    <row r="372" spans="1:1" ht="13.5" customHeight="1" x14ac:dyDescent="0.25">
      <c r="A372" s="12" t="s">
        <v>441</v>
      </c>
    </row>
    <row r="373" spans="1:1" ht="13.5" customHeight="1" x14ac:dyDescent="0.25">
      <c r="A373" s="12" t="s">
        <v>426</v>
      </c>
    </row>
    <row r="374" spans="1:1" ht="13.5" customHeight="1" x14ac:dyDescent="0.25">
      <c r="A374" s="12" t="s">
        <v>442</v>
      </c>
    </row>
    <row r="375" spans="1:1" ht="13.5" customHeight="1" x14ac:dyDescent="0.25">
      <c r="A375" s="12" t="s">
        <v>443</v>
      </c>
    </row>
    <row r="376" spans="1:1" ht="13.5" customHeight="1" x14ac:dyDescent="0.25">
      <c r="A376" s="12" t="s">
        <v>444</v>
      </c>
    </row>
    <row r="377" spans="1:1" ht="13.5" customHeight="1" x14ac:dyDescent="0.25">
      <c r="A377" s="12" t="s">
        <v>445</v>
      </c>
    </row>
    <row r="378" spans="1:1" ht="13.5" customHeight="1" x14ac:dyDescent="0.25">
      <c r="A378" s="12" t="s">
        <v>446</v>
      </c>
    </row>
    <row r="379" spans="1:1" ht="13.5" customHeight="1" x14ac:dyDescent="0.25">
      <c r="A379" s="12" t="s">
        <v>447</v>
      </c>
    </row>
    <row r="380" spans="1:1" ht="13.5" customHeight="1" x14ac:dyDescent="0.25">
      <c r="A380" s="12" t="s">
        <v>448</v>
      </c>
    </row>
    <row r="381" spans="1:1" ht="13.5" customHeight="1" x14ac:dyDescent="0.25">
      <c r="A381" s="12" t="s">
        <v>449</v>
      </c>
    </row>
    <row r="382" spans="1:1" ht="13.5" customHeight="1" x14ac:dyDescent="0.25">
      <c r="A382" s="12" t="s">
        <v>450</v>
      </c>
    </row>
    <row r="383" spans="1:1" ht="13.5" customHeight="1" x14ac:dyDescent="0.25">
      <c r="A383" s="12" t="s">
        <v>427</v>
      </c>
    </row>
    <row r="384" spans="1:1" ht="13.5" customHeight="1" x14ac:dyDescent="0.25">
      <c r="A384" s="12" t="s">
        <v>428</v>
      </c>
    </row>
    <row r="385" spans="1:1" ht="13.5" customHeight="1" x14ac:dyDescent="0.25">
      <c r="A385" s="12" t="s">
        <v>429</v>
      </c>
    </row>
    <row r="386" spans="1:1" ht="13.5" customHeight="1" x14ac:dyDescent="0.25">
      <c r="A386" s="12"/>
    </row>
    <row r="387" spans="1:1" ht="13.5" customHeight="1" x14ac:dyDescent="0.25">
      <c r="A387" s="12" t="s">
        <v>451</v>
      </c>
    </row>
    <row r="388" spans="1:1" ht="13.5" customHeight="1" x14ac:dyDescent="0.25">
      <c r="A388" s="12" t="s">
        <v>452</v>
      </c>
    </row>
    <row r="389" spans="1:1" ht="13.5" customHeight="1" x14ac:dyDescent="0.25">
      <c r="A389" s="12" t="s">
        <v>453</v>
      </c>
    </row>
    <row r="390" spans="1:1" ht="13.5" customHeight="1" x14ac:dyDescent="0.25">
      <c r="A390" s="12" t="s">
        <v>454</v>
      </c>
    </row>
    <row r="391" spans="1:1" ht="13.5" customHeight="1" x14ac:dyDescent="0.25">
      <c r="A391" s="12" t="s">
        <v>455</v>
      </c>
    </row>
    <row r="392" spans="1:1" ht="13.5" customHeight="1" x14ac:dyDescent="0.25">
      <c r="A392" s="12" t="s">
        <v>456</v>
      </c>
    </row>
    <row r="393" spans="1:1" ht="13.5" customHeight="1" x14ac:dyDescent="0.25">
      <c r="A393" s="12" t="s">
        <v>427</v>
      </c>
    </row>
    <row r="394" spans="1:1" ht="13.5" customHeight="1" x14ac:dyDescent="0.25">
      <c r="A394" s="12" t="s">
        <v>428</v>
      </c>
    </row>
    <row r="395" spans="1:1" ht="13.5" customHeight="1" x14ac:dyDescent="0.25">
      <c r="A395" s="12" t="s">
        <v>429</v>
      </c>
    </row>
    <row r="396" spans="1:1" ht="13.5" customHeight="1" x14ac:dyDescent="0.25">
      <c r="A396" s="12" t="s">
        <v>457</v>
      </c>
    </row>
    <row r="397" spans="1:1" ht="13.5" customHeight="1" x14ac:dyDescent="0.25">
      <c r="A397" s="12" t="s">
        <v>458</v>
      </c>
    </row>
    <row r="398" spans="1:1" ht="13.5" customHeight="1" x14ac:dyDescent="0.25">
      <c r="A398" s="12" t="s">
        <v>459</v>
      </c>
    </row>
    <row r="399" spans="1:1" ht="13.5" customHeight="1" x14ac:dyDescent="0.25">
      <c r="A399" s="12" t="s">
        <v>460</v>
      </c>
    </row>
    <row r="400" spans="1:1" ht="13.5" customHeight="1" x14ac:dyDescent="0.25">
      <c r="A400" s="12" t="s">
        <v>427</v>
      </c>
    </row>
    <row r="401" spans="1:1" ht="13.5" customHeight="1" x14ac:dyDescent="0.25">
      <c r="A401" s="12" t="s">
        <v>428</v>
      </c>
    </row>
    <row r="402" spans="1:1" ht="13.5" customHeight="1" x14ac:dyDescent="0.25">
      <c r="A402" s="12" t="s">
        <v>429</v>
      </c>
    </row>
    <row r="403" spans="1:1" ht="13.5" customHeight="1" x14ac:dyDescent="0.25">
      <c r="A403" s="12"/>
    </row>
    <row r="404" spans="1:1" ht="13.5" customHeight="1" x14ac:dyDescent="0.25">
      <c r="A404" s="12" t="s">
        <v>461</v>
      </c>
    </row>
    <row r="405" spans="1:1" ht="13.5" customHeight="1" x14ac:dyDescent="0.25">
      <c r="A405" s="12" t="s">
        <v>462</v>
      </c>
    </row>
    <row r="406" spans="1:1" ht="13.5" customHeight="1" x14ac:dyDescent="0.25">
      <c r="A406" s="12" t="s">
        <v>463</v>
      </c>
    </row>
    <row r="407" spans="1:1" ht="13.5" customHeight="1" x14ac:dyDescent="0.25">
      <c r="A407" s="12" t="s">
        <v>464</v>
      </c>
    </row>
    <row r="408" spans="1:1" ht="13.5" customHeight="1" x14ac:dyDescent="0.25">
      <c r="A408" s="12" t="s">
        <v>465</v>
      </c>
    </row>
    <row r="409" spans="1:1" ht="13.5" customHeight="1" x14ac:dyDescent="0.25">
      <c r="A409" s="12" t="s">
        <v>427</v>
      </c>
    </row>
    <row r="410" spans="1:1" ht="13.5" customHeight="1" x14ac:dyDescent="0.25">
      <c r="A410" s="12" t="s">
        <v>466</v>
      </c>
    </row>
    <row r="411" spans="1:1" ht="13.5" customHeight="1" x14ac:dyDescent="0.25">
      <c r="A411" s="12" t="s">
        <v>467</v>
      </c>
    </row>
    <row r="412" spans="1:1" ht="13.5" customHeight="1" x14ac:dyDescent="0.25">
      <c r="A412" s="12" t="s">
        <v>468</v>
      </c>
    </row>
    <row r="413" spans="1:1" ht="13.5" customHeight="1" x14ac:dyDescent="0.25">
      <c r="A413" s="12" t="s">
        <v>428</v>
      </c>
    </row>
    <row r="414" spans="1:1" ht="13.5" customHeight="1" x14ac:dyDescent="0.25">
      <c r="A414" s="12" t="s">
        <v>429</v>
      </c>
    </row>
    <row r="415" spans="1:1" ht="13.5" customHeight="1" x14ac:dyDescent="0.25">
      <c r="A415" s="12"/>
    </row>
    <row r="416" spans="1:1" ht="13.5" customHeight="1" x14ac:dyDescent="0.25">
      <c r="A416" s="12" t="s">
        <v>469</v>
      </c>
    </row>
    <row r="417" spans="1:1" ht="13.5" customHeight="1" x14ac:dyDescent="0.25">
      <c r="A417" s="12" t="s">
        <v>470</v>
      </c>
    </row>
    <row r="418" spans="1:1" ht="13.5" customHeight="1" x14ac:dyDescent="0.25">
      <c r="A418" s="12" t="s">
        <v>471</v>
      </c>
    </row>
    <row r="419" spans="1:1" ht="13.5" customHeight="1" x14ac:dyDescent="0.25">
      <c r="A419" s="12" t="s">
        <v>472</v>
      </c>
    </row>
    <row r="420" spans="1:1" ht="13.5" customHeight="1" x14ac:dyDescent="0.25">
      <c r="A420" s="12" t="s">
        <v>473</v>
      </c>
    </row>
    <row r="421" spans="1:1" ht="13.5" customHeight="1" x14ac:dyDescent="0.25">
      <c r="A421" s="12" t="s">
        <v>474</v>
      </c>
    </row>
    <row r="422" spans="1:1" ht="13.5" customHeight="1" x14ac:dyDescent="0.25">
      <c r="A422" s="12" t="s">
        <v>475</v>
      </c>
    </row>
    <row r="423" spans="1:1" ht="13.5" customHeight="1" x14ac:dyDescent="0.25">
      <c r="A423" s="12" t="s">
        <v>476</v>
      </c>
    </row>
    <row r="424" spans="1:1" ht="13.5" customHeight="1" x14ac:dyDescent="0.25">
      <c r="A424" s="12" t="s">
        <v>477</v>
      </c>
    </row>
    <row r="425" spans="1:1" ht="13.5" customHeight="1" x14ac:dyDescent="0.25">
      <c r="A425" s="12" t="s">
        <v>426</v>
      </c>
    </row>
    <row r="426" spans="1:1" ht="13.5" customHeight="1" x14ac:dyDescent="0.25">
      <c r="A426" s="12" t="s">
        <v>478</v>
      </c>
    </row>
    <row r="427" spans="1:1" ht="13.5" customHeight="1" x14ac:dyDescent="0.25">
      <c r="A427" s="12" t="s">
        <v>479</v>
      </c>
    </row>
    <row r="428" spans="1:1" ht="13.5" customHeight="1" x14ac:dyDescent="0.25">
      <c r="A428" s="12"/>
    </row>
    <row r="429" spans="1:1" ht="13.5" customHeight="1" x14ac:dyDescent="0.25">
      <c r="A429" s="12" t="s">
        <v>480</v>
      </c>
    </row>
    <row r="430" spans="1:1" ht="13.5" customHeight="1" x14ac:dyDescent="0.25">
      <c r="A430" s="12" t="s">
        <v>481</v>
      </c>
    </row>
    <row r="431" spans="1:1" ht="13.5" customHeight="1" x14ac:dyDescent="0.25">
      <c r="A431" s="12" t="s">
        <v>482</v>
      </c>
    </row>
    <row r="432" spans="1:1" ht="13.5" customHeight="1" x14ac:dyDescent="0.25">
      <c r="A432" s="12" t="s">
        <v>483</v>
      </c>
    </row>
    <row r="433" spans="1:1" ht="13.5" customHeight="1" x14ac:dyDescent="0.25">
      <c r="A433" s="12" t="s">
        <v>484</v>
      </c>
    </row>
    <row r="434" spans="1:1" ht="13.5" customHeight="1" x14ac:dyDescent="0.25">
      <c r="A434" s="12" t="s">
        <v>472</v>
      </c>
    </row>
    <row r="435" spans="1:1" ht="13.5" customHeight="1" x14ac:dyDescent="0.25">
      <c r="A435" s="12" t="s">
        <v>485</v>
      </c>
    </row>
    <row r="436" spans="1:1" ht="13.5" customHeight="1" x14ac:dyDescent="0.25">
      <c r="A436" s="12" t="s">
        <v>479</v>
      </c>
    </row>
    <row r="437" spans="1:1" ht="13.5" customHeight="1" x14ac:dyDescent="0.25">
      <c r="A437" s="12"/>
    </row>
    <row r="438" spans="1:1" ht="13.5" customHeight="1" x14ac:dyDescent="0.25">
      <c r="A438" s="12" t="s">
        <v>486</v>
      </c>
    </row>
    <row r="439" spans="1:1" ht="13.5" customHeight="1" x14ac:dyDescent="0.25">
      <c r="A439" s="12" t="s">
        <v>487</v>
      </c>
    </row>
    <row r="440" spans="1:1" ht="13.5" customHeight="1" x14ac:dyDescent="0.25">
      <c r="A440" s="12" t="s">
        <v>488</v>
      </c>
    </row>
    <row r="441" spans="1:1" ht="13.5" customHeight="1" x14ac:dyDescent="0.25">
      <c r="A441" s="12" t="s">
        <v>489</v>
      </c>
    </row>
    <row r="442" spans="1:1" ht="13.5" customHeight="1" x14ac:dyDescent="0.25">
      <c r="A442" s="12" t="s">
        <v>472</v>
      </c>
    </row>
    <row r="443" spans="1:1" ht="13.5" customHeight="1" x14ac:dyDescent="0.25">
      <c r="A443" s="12" t="s">
        <v>490</v>
      </c>
    </row>
    <row r="444" spans="1:1" ht="13.5" customHeight="1" x14ac:dyDescent="0.25">
      <c r="A444" s="12" t="s">
        <v>479</v>
      </c>
    </row>
    <row r="445" spans="1:1" ht="13.5" customHeight="1" x14ac:dyDescent="0.25">
      <c r="A445" s="12"/>
    </row>
    <row r="446" spans="1:1" ht="13.5" customHeight="1" x14ac:dyDescent="0.25">
      <c r="A446" s="12" t="s">
        <v>491</v>
      </c>
    </row>
    <row r="447" spans="1:1" ht="13.5" customHeight="1" x14ac:dyDescent="0.25">
      <c r="A447" s="12" t="s">
        <v>492</v>
      </c>
    </row>
    <row r="448" spans="1:1" ht="13.5" customHeight="1" x14ac:dyDescent="0.25">
      <c r="A448" s="12" t="s">
        <v>493</v>
      </c>
    </row>
    <row r="449" spans="1:1" ht="13.5" customHeight="1" x14ac:dyDescent="0.25">
      <c r="A449" s="12"/>
    </row>
    <row r="450" spans="1:1" ht="13.5" customHeight="1" x14ac:dyDescent="0.25">
      <c r="A450" s="12" t="s">
        <v>494</v>
      </c>
    </row>
    <row r="451" spans="1:1" ht="13.5" customHeight="1" x14ac:dyDescent="0.25">
      <c r="A451" s="12" t="s">
        <v>495</v>
      </c>
    </row>
    <row r="452" spans="1:1" ht="13.5" customHeight="1" x14ac:dyDescent="0.25">
      <c r="A452" s="12" t="s">
        <v>496</v>
      </c>
    </row>
    <row r="453" spans="1:1" ht="13.5" customHeight="1" x14ac:dyDescent="0.25">
      <c r="A453" s="12" t="s">
        <v>497</v>
      </c>
    </row>
    <row r="454" spans="1:1" ht="13.5" customHeight="1" x14ac:dyDescent="0.25">
      <c r="A454" s="12" t="s">
        <v>498</v>
      </c>
    </row>
    <row r="455" spans="1:1" ht="13.5" customHeight="1" x14ac:dyDescent="0.25">
      <c r="A455" s="12" t="s">
        <v>499</v>
      </c>
    </row>
    <row r="456" spans="1:1" ht="13.5" customHeight="1" x14ac:dyDescent="0.25">
      <c r="A456" s="12" t="s">
        <v>500</v>
      </c>
    </row>
    <row r="457" spans="1:1" ht="13.5" customHeight="1" x14ac:dyDescent="0.25">
      <c r="A457" s="12" t="s">
        <v>501</v>
      </c>
    </row>
    <row r="458" spans="1:1" ht="13.5" customHeight="1" x14ac:dyDescent="0.25">
      <c r="A458" s="12" t="s">
        <v>502</v>
      </c>
    </row>
    <row r="459" spans="1:1" ht="13.5" customHeight="1" x14ac:dyDescent="0.25">
      <c r="A459" s="12" t="s">
        <v>503</v>
      </c>
    </row>
    <row r="460" spans="1:1" ht="13.5" customHeight="1" x14ac:dyDescent="0.25">
      <c r="A460" s="12" t="s">
        <v>504</v>
      </c>
    </row>
    <row r="461" spans="1:1" ht="13.5" customHeight="1" x14ac:dyDescent="0.25">
      <c r="A461" s="12" t="s">
        <v>505</v>
      </c>
    </row>
    <row r="462" spans="1:1" ht="13.5" customHeight="1" x14ac:dyDescent="0.25">
      <c r="A462" s="12" t="s">
        <v>506</v>
      </c>
    </row>
    <row r="463" spans="1:1" ht="13.5" customHeight="1" x14ac:dyDescent="0.25">
      <c r="A463" s="12" t="s">
        <v>507</v>
      </c>
    </row>
    <row r="464" spans="1:1" ht="13.5" customHeight="1" x14ac:dyDescent="0.25">
      <c r="A464" s="12" t="s">
        <v>508</v>
      </c>
    </row>
    <row r="465" spans="1:1" ht="13.5" customHeight="1" x14ac:dyDescent="0.25">
      <c r="A465" s="12"/>
    </row>
    <row r="466" spans="1:1" ht="13.5" customHeight="1" x14ac:dyDescent="0.25">
      <c r="A466" s="12" t="s">
        <v>509</v>
      </c>
    </row>
    <row r="467" spans="1:1" ht="13.5" customHeight="1" x14ac:dyDescent="0.25">
      <c r="A467" s="12" t="s">
        <v>510</v>
      </c>
    </row>
    <row r="468" spans="1:1" ht="13.5" customHeight="1" x14ac:dyDescent="0.25">
      <c r="A468" s="12" t="s">
        <v>511</v>
      </c>
    </row>
    <row r="469" spans="1:1" ht="13.5" customHeight="1" x14ac:dyDescent="0.25">
      <c r="A469" s="12" t="s">
        <v>429</v>
      </c>
    </row>
    <row r="470" spans="1:1" ht="13.5" customHeight="1" x14ac:dyDescent="0.25">
      <c r="A470" s="12"/>
    </row>
    <row r="471" spans="1:1" ht="13.5" customHeight="1" x14ac:dyDescent="0.25">
      <c r="A471" s="12" t="s">
        <v>512</v>
      </c>
    </row>
    <row r="472" spans="1:1" ht="13.5" customHeight="1" x14ac:dyDescent="0.25">
      <c r="A472" s="12" t="s">
        <v>513</v>
      </c>
    </row>
    <row r="473" spans="1:1" ht="13.5" customHeight="1" x14ac:dyDescent="0.25">
      <c r="A473" s="12" t="s">
        <v>514</v>
      </c>
    </row>
    <row r="474" spans="1:1" ht="13.5" customHeight="1" x14ac:dyDescent="0.25">
      <c r="A474" s="12" t="s">
        <v>515</v>
      </c>
    </row>
    <row r="475" spans="1:1" ht="13.5" customHeight="1" x14ac:dyDescent="0.25">
      <c r="A475" s="12"/>
    </row>
    <row r="476" spans="1:1" ht="13.5" customHeight="1" x14ac:dyDescent="0.25">
      <c r="A476" s="12" t="s">
        <v>516</v>
      </c>
    </row>
    <row r="477" spans="1:1" ht="13.5" customHeight="1" x14ac:dyDescent="0.25">
      <c r="A477" s="12"/>
    </row>
    <row r="478" spans="1:1" ht="13.5" customHeight="1" x14ac:dyDescent="0.25">
      <c r="A478" s="12" t="s">
        <v>517</v>
      </c>
    </row>
    <row r="479" spans="1:1" ht="13.5" customHeight="1" x14ac:dyDescent="0.25">
      <c r="A479" s="12" t="s">
        <v>518</v>
      </c>
    </row>
    <row r="480" spans="1:1" ht="13.5" customHeight="1" x14ac:dyDescent="0.25">
      <c r="A480" s="12" t="s">
        <v>519</v>
      </c>
    </row>
    <row r="481" spans="1:1" ht="13.5" customHeight="1" x14ac:dyDescent="0.25">
      <c r="A481" s="12" t="s">
        <v>520</v>
      </c>
    </row>
    <row r="482" spans="1:1" ht="13.5" customHeight="1" x14ac:dyDescent="0.25">
      <c r="A482" s="12" t="s">
        <v>521</v>
      </c>
    </row>
    <row r="483" spans="1:1" ht="13.5" customHeight="1" x14ac:dyDescent="0.25">
      <c r="A483" s="12" t="s">
        <v>522</v>
      </c>
    </row>
    <row r="484" spans="1:1" ht="13.5" customHeight="1" x14ac:dyDescent="0.25">
      <c r="A484" s="12" t="s">
        <v>520</v>
      </c>
    </row>
    <row r="485" spans="1:1" ht="13.5" customHeight="1" x14ac:dyDescent="0.25">
      <c r="A485" s="12" t="s">
        <v>478</v>
      </c>
    </row>
    <row r="486" spans="1:1" ht="13.5" customHeight="1" x14ac:dyDescent="0.25">
      <c r="A486" s="12" t="s">
        <v>523</v>
      </c>
    </row>
    <row r="487" spans="1:1" ht="13.5" customHeight="1" x14ac:dyDescent="0.25">
      <c r="A487" s="12"/>
    </row>
    <row r="488" spans="1:1" ht="13.5" customHeight="1" x14ac:dyDescent="0.25">
      <c r="A488" s="12" t="s">
        <v>524</v>
      </c>
    </row>
    <row r="489" spans="1:1" ht="13.5" customHeight="1" x14ac:dyDescent="0.25">
      <c r="A489" s="12" t="s">
        <v>525</v>
      </c>
    </row>
    <row r="490" spans="1:1" ht="13.5" customHeight="1" x14ac:dyDescent="0.25">
      <c r="A490" s="12"/>
    </row>
    <row r="491" spans="1:1" ht="13.5" customHeight="1" x14ac:dyDescent="0.25">
      <c r="A491" s="12" t="s">
        <v>526</v>
      </c>
    </row>
    <row r="492" spans="1:1" ht="13.5" customHeight="1" x14ac:dyDescent="0.25">
      <c r="A492" s="12" t="s">
        <v>527</v>
      </c>
    </row>
    <row r="493" spans="1:1" ht="13.5" customHeight="1" x14ac:dyDescent="0.25">
      <c r="A493" s="12" t="s">
        <v>528</v>
      </c>
    </row>
    <row r="494" spans="1:1" ht="13.5" customHeight="1" x14ac:dyDescent="0.25">
      <c r="A494" s="12" t="s">
        <v>506</v>
      </c>
    </row>
    <row r="495" spans="1:1" ht="13.5" customHeight="1" x14ac:dyDescent="0.25">
      <c r="A495" s="12" t="s">
        <v>507</v>
      </c>
    </row>
    <row r="496" spans="1:1" ht="13.5" customHeight="1" x14ac:dyDescent="0.25">
      <c r="A496" s="12" t="s">
        <v>508</v>
      </c>
    </row>
    <row r="497" spans="1:1" ht="13.5" customHeight="1" x14ac:dyDescent="0.25">
      <c r="A497" s="12"/>
    </row>
    <row r="498" spans="1:1" ht="13.5" customHeight="1" x14ac:dyDescent="0.25">
      <c r="A498" s="12" t="s">
        <v>529</v>
      </c>
    </row>
    <row r="499" spans="1:1" ht="13.5" customHeight="1" x14ac:dyDescent="0.25">
      <c r="A499" s="12" t="s">
        <v>512</v>
      </c>
    </row>
    <row r="500" spans="1:1" ht="13.5" customHeight="1" x14ac:dyDescent="0.25">
      <c r="A500" s="12" t="s">
        <v>513</v>
      </c>
    </row>
    <row r="501" spans="1:1" ht="13.5" customHeight="1" x14ac:dyDescent="0.25">
      <c r="A501" s="12" t="s">
        <v>514</v>
      </c>
    </row>
    <row r="502" spans="1:1" ht="13.5" customHeight="1" x14ac:dyDescent="0.25">
      <c r="A502" s="12" t="s">
        <v>515</v>
      </c>
    </row>
    <row r="503" spans="1:1" ht="13.5" customHeight="1" x14ac:dyDescent="0.25">
      <c r="A503" s="12"/>
    </row>
    <row r="504" spans="1:1" ht="13.5" customHeight="1" x14ac:dyDescent="0.25">
      <c r="A504" s="12" t="s">
        <v>516</v>
      </c>
    </row>
    <row r="505" spans="1:1" ht="13.5" customHeight="1" x14ac:dyDescent="0.25">
      <c r="A505" s="12" t="s">
        <v>517</v>
      </c>
    </row>
    <row r="506" spans="1:1" ht="13.5" customHeight="1" x14ac:dyDescent="0.25">
      <c r="A506" s="12" t="s">
        <v>530</v>
      </c>
    </row>
    <row r="507" spans="1:1" ht="13.5" customHeight="1" x14ac:dyDescent="0.25">
      <c r="A507" s="12" t="s">
        <v>531</v>
      </c>
    </row>
    <row r="508" spans="1:1" ht="13.5" customHeight="1" x14ac:dyDescent="0.25">
      <c r="A508" s="12" t="s">
        <v>520</v>
      </c>
    </row>
    <row r="509" spans="1:1" ht="13.5" customHeight="1" x14ac:dyDescent="0.25">
      <c r="A509" s="12" t="s">
        <v>478</v>
      </c>
    </row>
    <row r="510" spans="1:1" ht="13.5" customHeight="1" x14ac:dyDescent="0.25">
      <c r="A510" s="12" t="s">
        <v>523</v>
      </c>
    </row>
    <row r="511" spans="1:1" ht="13.5" customHeight="1" x14ac:dyDescent="0.25">
      <c r="A511" s="12" t="s">
        <v>532</v>
      </c>
    </row>
    <row r="512" spans="1:1" ht="13.5" customHeight="1" x14ac:dyDescent="0.25">
      <c r="A512" s="12" t="s">
        <v>525</v>
      </c>
    </row>
    <row r="513" spans="1:1" ht="13.5" customHeight="1" x14ac:dyDescent="0.25">
      <c r="A513" s="12"/>
    </row>
    <row r="514" spans="1:1" ht="13.5" customHeight="1" x14ac:dyDescent="0.25">
      <c r="A514" s="12" t="s">
        <v>533</v>
      </c>
    </row>
    <row r="515" spans="1:1" ht="13.5" customHeight="1" x14ac:dyDescent="0.25">
      <c r="A515" s="12" t="s">
        <v>534</v>
      </c>
    </row>
    <row r="516" spans="1:1" ht="13.5" customHeight="1" x14ac:dyDescent="0.25">
      <c r="A516" s="12" t="s">
        <v>535</v>
      </c>
    </row>
    <row r="517" spans="1:1" ht="13.5" customHeight="1" x14ac:dyDescent="0.25">
      <c r="A517" s="12" t="s">
        <v>536</v>
      </c>
    </row>
    <row r="518" spans="1:1" ht="13.5" customHeight="1" x14ac:dyDescent="0.25">
      <c r="A518" s="12" t="s">
        <v>537</v>
      </c>
    </row>
    <row r="519" spans="1:1" ht="13.5" customHeight="1" x14ac:dyDescent="0.25">
      <c r="A519" s="12" t="s">
        <v>538</v>
      </c>
    </row>
    <row r="520" spans="1:1" ht="13.5" customHeight="1" x14ac:dyDescent="0.25">
      <c r="A520" s="12" t="s">
        <v>539</v>
      </c>
    </row>
    <row r="521" spans="1:1" ht="13.5" customHeight="1" x14ac:dyDescent="0.25">
      <c r="A521" s="12" t="s">
        <v>540</v>
      </c>
    </row>
    <row r="522" spans="1:1" ht="13.5" customHeight="1" x14ac:dyDescent="0.25">
      <c r="A522" s="12" t="s">
        <v>541</v>
      </c>
    </row>
    <row r="523" spans="1:1" ht="13.5" customHeight="1" x14ac:dyDescent="0.25">
      <c r="A523" s="12" t="s">
        <v>542</v>
      </c>
    </row>
    <row r="524" spans="1:1" ht="13.5" customHeight="1" x14ac:dyDescent="0.25">
      <c r="A524" s="12" t="s">
        <v>543</v>
      </c>
    </row>
    <row r="525" spans="1:1" ht="13.5" customHeight="1" x14ac:dyDescent="0.25">
      <c r="A525" s="12" t="s">
        <v>544</v>
      </c>
    </row>
    <row r="526" spans="1:1" ht="13.5" customHeight="1" x14ac:dyDescent="0.25">
      <c r="A526" s="12" t="s">
        <v>545</v>
      </c>
    </row>
    <row r="527" spans="1:1" ht="13.5" customHeight="1" x14ac:dyDescent="0.25">
      <c r="A527" s="12" t="s">
        <v>546</v>
      </c>
    </row>
    <row r="528" spans="1:1" ht="13.5" customHeight="1" x14ac:dyDescent="0.25">
      <c r="A528" s="12" t="s">
        <v>547</v>
      </c>
    </row>
    <row r="529" spans="1:1" ht="13.5" customHeight="1" x14ac:dyDescent="0.25">
      <c r="A529" s="12" t="s">
        <v>548</v>
      </c>
    </row>
    <row r="530" spans="1:1" ht="13.5" customHeight="1" x14ac:dyDescent="0.25">
      <c r="A530" s="12" t="s">
        <v>511</v>
      </c>
    </row>
    <row r="531" spans="1:1" ht="13.5" customHeight="1" x14ac:dyDescent="0.25">
      <c r="A531" s="12" t="s">
        <v>429</v>
      </c>
    </row>
    <row r="532" spans="1:1" ht="13.5" customHeight="1" x14ac:dyDescent="0.25">
      <c r="A532" s="12" t="s">
        <v>549</v>
      </c>
    </row>
    <row r="533" spans="1:1" ht="13.5" customHeight="1" x14ac:dyDescent="0.25">
      <c r="A533" s="12" t="s">
        <v>550</v>
      </c>
    </row>
    <row r="534" spans="1:1" ht="13.5" customHeight="1" x14ac:dyDescent="0.25">
      <c r="A534" s="12" t="s">
        <v>551</v>
      </c>
    </row>
    <row r="535" spans="1:1" ht="13.5" customHeight="1" x14ac:dyDescent="0.25">
      <c r="A535" s="12" t="s">
        <v>552</v>
      </c>
    </row>
    <row r="536" spans="1:1" ht="13.5" customHeight="1" x14ac:dyDescent="0.25">
      <c r="A536" s="12" t="s">
        <v>553</v>
      </c>
    </row>
    <row r="537" spans="1:1" ht="13.5" customHeight="1" x14ac:dyDescent="0.25">
      <c r="A537" s="12" t="s">
        <v>554</v>
      </c>
    </row>
    <row r="538" spans="1:1" ht="13.5" customHeight="1" x14ac:dyDescent="0.25">
      <c r="A538" s="12" t="s">
        <v>555</v>
      </c>
    </row>
    <row r="539" spans="1:1" ht="13.5" customHeight="1" x14ac:dyDescent="0.25">
      <c r="A539" s="12" t="s">
        <v>548</v>
      </c>
    </row>
    <row r="540" spans="1:1" ht="13.5" customHeight="1" x14ac:dyDescent="0.25">
      <c r="A540" s="12" t="s">
        <v>429</v>
      </c>
    </row>
    <row r="541" spans="1:1" ht="13.5" customHeight="1" x14ac:dyDescent="0.25">
      <c r="A541" s="12" t="s">
        <v>525</v>
      </c>
    </row>
    <row r="542" spans="1:1" ht="13.5" customHeight="1" x14ac:dyDescent="0.25">
      <c r="A542" s="12"/>
    </row>
    <row r="543" spans="1:1" ht="13.5" customHeight="1" x14ac:dyDescent="0.25">
      <c r="A543" s="12" t="s">
        <v>556</v>
      </c>
    </row>
    <row r="544" spans="1:1" ht="13.5" customHeight="1" x14ac:dyDescent="0.25">
      <c r="A544" s="12" t="s">
        <v>557</v>
      </c>
    </row>
    <row r="545" spans="1:1" ht="13.5" customHeight="1" x14ac:dyDescent="0.25">
      <c r="A545" s="12" t="s">
        <v>558</v>
      </c>
    </row>
    <row r="546" spans="1:1" ht="13.5" customHeight="1" x14ac:dyDescent="0.25">
      <c r="A546" s="12" t="s">
        <v>559</v>
      </c>
    </row>
    <row r="547" spans="1:1" ht="13.5" customHeight="1" x14ac:dyDescent="0.25">
      <c r="A547" s="12" t="s">
        <v>560</v>
      </c>
    </row>
    <row r="548" spans="1:1" ht="13.5" customHeight="1" x14ac:dyDescent="0.25">
      <c r="A548" s="12" t="s">
        <v>561</v>
      </c>
    </row>
    <row r="549" spans="1:1" ht="13.5" customHeight="1" x14ac:dyDescent="0.25">
      <c r="A549" s="12" t="s">
        <v>562</v>
      </c>
    </row>
    <row r="550" spans="1:1" ht="13.5" customHeight="1" x14ac:dyDescent="0.25">
      <c r="A550" s="12" t="s">
        <v>506</v>
      </c>
    </row>
    <row r="551" spans="1:1" ht="13.5" customHeight="1" x14ac:dyDescent="0.25">
      <c r="A551" s="12" t="s">
        <v>507</v>
      </c>
    </row>
    <row r="552" spans="1:1" ht="13.5" customHeight="1" x14ac:dyDescent="0.25">
      <c r="A552" s="12" t="s">
        <v>508</v>
      </c>
    </row>
    <row r="553" spans="1:1" ht="13.5" customHeight="1" x14ac:dyDescent="0.25">
      <c r="A553" s="12"/>
    </row>
    <row r="554" spans="1:1" ht="13.5" customHeight="1" x14ac:dyDescent="0.25">
      <c r="A554" s="12" t="s">
        <v>512</v>
      </c>
    </row>
    <row r="555" spans="1:1" ht="13.5" customHeight="1" x14ac:dyDescent="0.25">
      <c r="A555" s="12" t="s">
        <v>513</v>
      </c>
    </row>
    <row r="556" spans="1:1" ht="13.5" customHeight="1" x14ac:dyDescent="0.25">
      <c r="A556" s="12" t="s">
        <v>514</v>
      </c>
    </row>
    <row r="557" spans="1:1" ht="13.5" customHeight="1" x14ac:dyDescent="0.25">
      <c r="A557" s="12" t="s">
        <v>515</v>
      </c>
    </row>
    <row r="558" spans="1:1" ht="13.5" customHeight="1" x14ac:dyDescent="0.25">
      <c r="A558" s="12"/>
    </row>
    <row r="559" spans="1:1" ht="13.5" customHeight="1" x14ac:dyDescent="0.25">
      <c r="A559" s="12" t="s">
        <v>563</v>
      </c>
    </row>
    <row r="560" spans="1:1" ht="13.5" customHeight="1" x14ac:dyDescent="0.25">
      <c r="A560" s="12" t="s">
        <v>517</v>
      </c>
    </row>
    <row r="561" spans="1:1" ht="13.5" customHeight="1" x14ac:dyDescent="0.25">
      <c r="A561" s="12" t="s">
        <v>564</v>
      </c>
    </row>
    <row r="562" spans="1:1" ht="13.5" customHeight="1" x14ac:dyDescent="0.25">
      <c r="A562" s="12" t="s">
        <v>565</v>
      </c>
    </row>
    <row r="563" spans="1:1" ht="13.5" customHeight="1" x14ac:dyDescent="0.25">
      <c r="A563" s="12" t="s">
        <v>520</v>
      </c>
    </row>
    <row r="564" spans="1:1" ht="13.5" customHeight="1" x14ac:dyDescent="0.25">
      <c r="A564" s="12" t="s">
        <v>478</v>
      </c>
    </row>
    <row r="565" spans="1:1" ht="13.5" customHeight="1" x14ac:dyDescent="0.25">
      <c r="A565" s="12" t="s">
        <v>523</v>
      </c>
    </row>
    <row r="566" spans="1:1" ht="13.5" customHeight="1" x14ac:dyDescent="0.25">
      <c r="A566" s="12" t="s">
        <v>566</v>
      </c>
    </row>
    <row r="567" spans="1:1" ht="13.5" customHeight="1" x14ac:dyDescent="0.25">
      <c r="A567" s="12" t="s">
        <v>525</v>
      </c>
    </row>
    <row r="568" spans="1:1" ht="13.5" customHeight="1" x14ac:dyDescent="0.25">
      <c r="A568" s="12"/>
    </row>
    <row r="569" spans="1:1" ht="13.5" customHeight="1" x14ac:dyDescent="0.25">
      <c r="A569" s="12" t="s">
        <v>567</v>
      </c>
    </row>
    <row r="570" spans="1:1" ht="13.5" customHeight="1" x14ac:dyDescent="0.25">
      <c r="A570" s="12" t="s">
        <v>568</v>
      </c>
    </row>
    <row r="571" spans="1:1" ht="13.5" customHeight="1" x14ac:dyDescent="0.25">
      <c r="A571" s="12" t="s">
        <v>569</v>
      </c>
    </row>
    <row r="572" spans="1:1" ht="13.5" customHeight="1" x14ac:dyDescent="0.25">
      <c r="A572" s="12" t="s">
        <v>570</v>
      </c>
    </row>
    <row r="573" spans="1:1" ht="13.5" customHeight="1" x14ac:dyDescent="0.25">
      <c r="A573" s="12" t="s">
        <v>571</v>
      </c>
    </row>
    <row r="574" spans="1:1" ht="13.5" customHeight="1" x14ac:dyDescent="0.25">
      <c r="A574" s="12" t="s">
        <v>572</v>
      </c>
    </row>
    <row r="575" spans="1:1" ht="13.5" customHeight="1" x14ac:dyDescent="0.25">
      <c r="A575" s="12" t="s">
        <v>506</v>
      </c>
    </row>
    <row r="576" spans="1:1" ht="13.5" customHeight="1" x14ac:dyDescent="0.25">
      <c r="A576" s="12" t="s">
        <v>507</v>
      </c>
    </row>
    <row r="577" spans="1:1" ht="13.5" customHeight="1" x14ac:dyDescent="0.25">
      <c r="A577" s="12" t="s">
        <v>508</v>
      </c>
    </row>
    <row r="578" spans="1:1" ht="13.5" customHeight="1" x14ac:dyDescent="0.25">
      <c r="A578" s="12" t="s">
        <v>573</v>
      </c>
    </row>
    <row r="579" spans="1:1" ht="13.5" customHeight="1" x14ac:dyDescent="0.25">
      <c r="A579" s="12" t="s">
        <v>574</v>
      </c>
    </row>
    <row r="580" spans="1:1" ht="13.5" customHeight="1" x14ac:dyDescent="0.25">
      <c r="A580" s="12"/>
    </row>
    <row r="581" spans="1:1" ht="13.5" customHeight="1" x14ac:dyDescent="0.25">
      <c r="A581" s="12" t="s">
        <v>512</v>
      </c>
    </row>
    <row r="582" spans="1:1" ht="13.5" customHeight="1" x14ac:dyDescent="0.25">
      <c r="A582" s="12" t="s">
        <v>513</v>
      </c>
    </row>
    <row r="583" spans="1:1" ht="13.5" customHeight="1" x14ac:dyDescent="0.25">
      <c r="A583" s="12" t="s">
        <v>514</v>
      </c>
    </row>
    <row r="584" spans="1:1" ht="13.5" customHeight="1" x14ac:dyDescent="0.25">
      <c r="A584" s="12" t="s">
        <v>515</v>
      </c>
    </row>
    <row r="585" spans="1:1" ht="13.5" customHeight="1" x14ac:dyDescent="0.25">
      <c r="A585" s="12"/>
    </row>
    <row r="586" spans="1:1" ht="13.5" customHeight="1" x14ac:dyDescent="0.25">
      <c r="A586" s="12" t="s">
        <v>563</v>
      </c>
    </row>
    <row r="587" spans="1:1" ht="13.5" customHeight="1" x14ac:dyDescent="0.25">
      <c r="A587" s="12" t="s">
        <v>517</v>
      </c>
    </row>
    <row r="588" spans="1:1" ht="13.5" customHeight="1" x14ac:dyDescent="0.25">
      <c r="A588" s="12" t="s">
        <v>575</v>
      </c>
    </row>
    <row r="589" spans="1:1" ht="13.5" customHeight="1" x14ac:dyDescent="0.25">
      <c r="A589" s="12" t="s">
        <v>576</v>
      </c>
    </row>
    <row r="590" spans="1:1" ht="13.5" customHeight="1" x14ac:dyDescent="0.25">
      <c r="A590" s="12" t="s">
        <v>577</v>
      </c>
    </row>
    <row r="591" spans="1:1" ht="13.5" customHeight="1" x14ac:dyDescent="0.25">
      <c r="A591" s="12" t="s">
        <v>578</v>
      </c>
    </row>
    <row r="592" spans="1:1" ht="13.5" customHeight="1" x14ac:dyDescent="0.25">
      <c r="A592" s="12" t="s">
        <v>520</v>
      </c>
    </row>
    <row r="593" spans="1:1" ht="13.5" customHeight="1" x14ac:dyDescent="0.25">
      <c r="A593" s="12" t="s">
        <v>478</v>
      </c>
    </row>
    <row r="594" spans="1:1" ht="13.5" customHeight="1" x14ac:dyDescent="0.25">
      <c r="A594" s="12" t="s">
        <v>523</v>
      </c>
    </row>
    <row r="595" spans="1:1" ht="13.5" customHeight="1" x14ac:dyDescent="0.25">
      <c r="A595" s="12" t="s">
        <v>579</v>
      </c>
    </row>
    <row r="596" spans="1:1" ht="13.5" customHeight="1" x14ac:dyDescent="0.25">
      <c r="A596" s="12" t="s">
        <v>525</v>
      </c>
    </row>
    <row r="597" spans="1:1" ht="13.5" customHeight="1" x14ac:dyDescent="0.25">
      <c r="A597" s="12"/>
    </row>
    <row r="598" spans="1:1" ht="13.5" customHeight="1" x14ac:dyDescent="0.25">
      <c r="A598" s="12" t="s">
        <v>580</v>
      </c>
    </row>
    <row r="599" spans="1:1" ht="13.5" customHeight="1" x14ac:dyDescent="0.25">
      <c r="A599" s="12" t="s">
        <v>581</v>
      </c>
    </row>
    <row r="600" spans="1:1" ht="13.5" customHeight="1" x14ac:dyDescent="0.25">
      <c r="A600" s="12" t="s">
        <v>582</v>
      </c>
    </row>
    <row r="601" spans="1:1" ht="13.5" customHeight="1" x14ac:dyDescent="0.25">
      <c r="A601" s="12" t="s">
        <v>583</v>
      </c>
    </row>
    <row r="602" spans="1:1" ht="13.5" customHeight="1" x14ac:dyDescent="0.25">
      <c r="A602" s="12" t="s">
        <v>584</v>
      </c>
    </row>
    <row r="603" spans="1:1" ht="13.5" customHeight="1" x14ac:dyDescent="0.25">
      <c r="A603" s="12" t="s">
        <v>585</v>
      </c>
    </row>
    <row r="604" spans="1:1" ht="13.5" customHeight="1" x14ac:dyDescent="0.25">
      <c r="A604" s="12" t="s">
        <v>586</v>
      </c>
    </row>
    <row r="605" spans="1:1" ht="13.5" customHeight="1" x14ac:dyDescent="0.25">
      <c r="A605" s="12" t="s">
        <v>587</v>
      </c>
    </row>
    <row r="606" spans="1:1" ht="13.5" customHeight="1" x14ac:dyDescent="0.25">
      <c r="A606" s="12" t="s">
        <v>588</v>
      </c>
    </row>
    <row r="607" spans="1:1" ht="13.5" customHeight="1" x14ac:dyDescent="0.25">
      <c r="A607" s="12" t="s">
        <v>589</v>
      </c>
    </row>
    <row r="608" spans="1:1" ht="13.5" customHeight="1" x14ac:dyDescent="0.25">
      <c r="A608" s="12" t="s">
        <v>590</v>
      </c>
    </row>
    <row r="609" spans="1:1" ht="13.5" customHeight="1" x14ac:dyDescent="0.25">
      <c r="A609" s="12" t="s">
        <v>591</v>
      </c>
    </row>
    <row r="610" spans="1:1" ht="13.5" customHeight="1" x14ac:dyDescent="0.25">
      <c r="A610" s="12" t="s">
        <v>592</v>
      </c>
    </row>
    <row r="611" spans="1:1" ht="13.5" customHeight="1" x14ac:dyDescent="0.25">
      <c r="A611" s="12"/>
    </row>
    <row r="612" spans="1:1" ht="13.5" customHeight="1" x14ac:dyDescent="0.25">
      <c r="A612" s="12" t="s">
        <v>593</v>
      </c>
    </row>
    <row r="613" spans="1:1" ht="13.5" customHeight="1" x14ac:dyDescent="0.25">
      <c r="A613" s="12" t="s">
        <v>594</v>
      </c>
    </row>
    <row r="614" spans="1:1" ht="13.5" customHeight="1" x14ac:dyDescent="0.25">
      <c r="A614" s="12" t="s">
        <v>595</v>
      </c>
    </row>
    <row r="615" spans="1:1" ht="13.5" customHeight="1" x14ac:dyDescent="0.25">
      <c r="A615" s="12" t="s">
        <v>596</v>
      </c>
    </row>
    <row r="616" spans="1:1" ht="13.5" customHeight="1" x14ac:dyDescent="0.25">
      <c r="A616" s="12" t="s">
        <v>597</v>
      </c>
    </row>
    <row r="617" spans="1:1" ht="13.5" customHeight="1" x14ac:dyDescent="0.25">
      <c r="A617" s="12"/>
    </row>
    <row r="618" spans="1:1" ht="13.5" customHeight="1" x14ac:dyDescent="0.25">
      <c r="A618" s="12" t="s">
        <v>598</v>
      </c>
    </row>
    <row r="619" spans="1:1" ht="13.5" customHeight="1" x14ac:dyDescent="0.25">
      <c r="A619" s="12" t="s">
        <v>599</v>
      </c>
    </row>
    <row r="620" spans="1:1" ht="13.5" customHeight="1" x14ac:dyDescent="0.25">
      <c r="A620" s="12"/>
    </row>
    <row r="621" spans="1:1" ht="13.5" customHeight="1" x14ac:dyDescent="0.25">
      <c r="A621" s="12" t="s">
        <v>600</v>
      </c>
    </row>
    <row r="622" spans="1:1" ht="13.5" customHeight="1" x14ac:dyDescent="0.25">
      <c r="A622" s="12" t="s">
        <v>601</v>
      </c>
    </row>
    <row r="623" spans="1:1" ht="13.5" customHeight="1" x14ac:dyDescent="0.25">
      <c r="A623" s="12" t="s">
        <v>602</v>
      </c>
    </row>
    <row r="624" spans="1:1" ht="13.5" customHeight="1" x14ac:dyDescent="0.25">
      <c r="A624" s="12" t="s">
        <v>603</v>
      </c>
    </row>
    <row r="625" spans="1:1" ht="13.5" customHeight="1" x14ac:dyDescent="0.25">
      <c r="A625" s="12" t="s">
        <v>604</v>
      </c>
    </row>
    <row r="626" spans="1:1" ht="13.5" customHeight="1" x14ac:dyDescent="0.25">
      <c r="A626" s="12" t="s">
        <v>555</v>
      </c>
    </row>
    <row r="627" spans="1:1" ht="13.5" customHeight="1" x14ac:dyDescent="0.25">
      <c r="A627" s="12" t="s">
        <v>605</v>
      </c>
    </row>
    <row r="628" spans="1:1" ht="13.5" customHeight="1" x14ac:dyDescent="0.25">
      <c r="A628" s="12" t="s">
        <v>606</v>
      </c>
    </row>
    <row r="629" spans="1:1" ht="13.5" customHeight="1" x14ac:dyDescent="0.25">
      <c r="A629" s="12" t="s">
        <v>607</v>
      </c>
    </row>
    <row r="630" spans="1:1" ht="13.5" customHeight="1" x14ac:dyDescent="0.25">
      <c r="A630" s="12" t="s">
        <v>429</v>
      </c>
    </row>
    <row r="631" spans="1:1" ht="13.5" customHeight="1" x14ac:dyDescent="0.25">
      <c r="A631" s="12"/>
    </row>
    <row r="632" spans="1:1" ht="13.5" customHeight="1" x14ac:dyDescent="0.25">
      <c r="A632" s="12" t="s">
        <v>608</v>
      </c>
    </row>
    <row r="633" spans="1:1" ht="13.5" customHeight="1" x14ac:dyDescent="0.25">
      <c r="A633" s="12" t="s">
        <v>609</v>
      </c>
    </row>
    <row r="634" spans="1:1" ht="13.5" customHeight="1" x14ac:dyDescent="0.25">
      <c r="A634" s="12" t="s">
        <v>610</v>
      </c>
    </row>
    <row r="635" spans="1:1" ht="13.5" customHeight="1" x14ac:dyDescent="0.25">
      <c r="A635" s="12"/>
    </row>
    <row r="636" spans="1:1" ht="13.5" customHeight="1" x14ac:dyDescent="0.25">
      <c r="A636" s="12" t="s">
        <v>611</v>
      </c>
    </row>
    <row r="637" spans="1:1" ht="13.5" customHeight="1" x14ac:dyDescent="0.25">
      <c r="A637" s="12" t="s">
        <v>612</v>
      </c>
    </row>
    <row r="638" spans="1:1" ht="13.5" customHeight="1" x14ac:dyDescent="0.25">
      <c r="A638" s="12"/>
    </row>
    <row r="639" spans="1:1" ht="13.5" customHeight="1" x14ac:dyDescent="0.25">
      <c r="A639" s="12" t="s">
        <v>613</v>
      </c>
    </row>
    <row r="640" spans="1:1" ht="13.5" customHeight="1" x14ac:dyDescent="0.25">
      <c r="A640" s="12" t="s">
        <v>614</v>
      </c>
    </row>
    <row r="641" spans="1:1" ht="13.5" customHeight="1" x14ac:dyDescent="0.25">
      <c r="A641" s="12" t="s">
        <v>555</v>
      </c>
    </row>
    <row r="642" spans="1:1" ht="13.5" customHeight="1" x14ac:dyDescent="0.25">
      <c r="A642" s="12" t="s">
        <v>615</v>
      </c>
    </row>
    <row r="643" spans="1:1" ht="13.5" customHeight="1" x14ac:dyDescent="0.25">
      <c r="A643" s="12" t="s">
        <v>429</v>
      </c>
    </row>
    <row r="644" spans="1:1" ht="13.5" customHeight="1" x14ac:dyDescent="0.25">
      <c r="A644" s="12"/>
    </row>
    <row r="645" spans="1:1" ht="13.5" customHeight="1" x14ac:dyDescent="0.25">
      <c r="A645" s="12" t="s">
        <v>616</v>
      </c>
    </row>
    <row r="646" spans="1:1" ht="13.5" customHeight="1" x14ac:dyDescent="0.25">
      <c r="A646" s="12" t="s">
        <v>617</v>
      </c>
    </row>
    <row r="647" spans="1:1" ht="13.5" customHeight="1" x14ac:dyDescent="0.25">
      <c r="A647" s="12" t="s">
        <v>618</v>
      </c>
    </row>
    <row r="648" spans="1:1" ht="13.5" customHeight="1" x14ac:dyDescent="0.25">
      <c r="A648" s="12" t="s">
        <v>429</v>
      </c>
    </row>
    <row r="649" spans="1:1" ht="13.5" customHeight="1" x14ac:dyDescent="0.25">
      <c r="A649" s="12" t="s">
        <v>493</v>
      </c>
    </row>
    <row r="650" spans="1:1" ht="13.5" customHeight="1" x14ac:dyDescent="0.25">
      <c r="A650" s="12"/>
    </row>
    <row r="651" spans="1:1" ht="13.5" customHeight="1" x14ac:dyDescent="0.25">
      <c r="A651" s="12" t="s">
        <v>619</v>
      </c>
    </row>
    <row r="652" spans="1:1" ht="13.5" customHeight="1" x14ac:dyDescent="0.25">
      <c r="A652" s="12" t="s">
        <v>620</v>
      </c>
    </row>
    <row r="653" spans="1:1" ht="13.5" customHeight="1" x14ac:dyDescent="0.25">
      <c r="A653" s="12" t="s">
        <v>621</v>
      </c>
    </row>
    <row r="654" spans="1:1" ht="13.5" customHeight="1" x14ac:dyDescent="0.25">
      <c r="A654" s="12" t="s">
        <v>622</v>
      </c>
    </row>
    <row r="655" spans="1:1" ht="13.5" customHeight="1" x14ac:dyDescent="0.25">
      <c r="A655" s="12" t="s">
        <v>623</v>
      </c>
    </row>
    <row r="656" spans="1:1" ht="13.5" customHeight="1" x14ac:dyDescent="0.25">
      <c r="A656" s="12" t="s">
        <v>624</v>
      </c>
    </row>
    <row r="657" spans="1:1" ht="13.5" customHeight="1" x14ac:dyDescent="0.25">
      <c r="A657" s="12" t="s">
        <v>625</v>
      </c>
    </row>
    <row r="658" spans="1:1" ht="13.5" customHeight="1" x14ac:dyDescent="0.25">
      <c r="A658" s="12" t="s">
        <v>626</v>
      </c>
    </row>
    <row r="659" spans="1:1" ht="13.5" customHeight="1" x14ac:dyDescent="0.25">
      <c r="A659" s="12" t="s">
        <v>627</v>
      </c>
    </row>
    <row r="660" spans="1:1" ht="13.5" customHeight="1" x14ac:dyDescent="0.25">
      <c r="A660" s="12" t="s">
        <v>628</v>
      </c>
    </row>
    <row r="661" spans="1:1" ht="13.5" customHeight="1" x14ac:dyDescent="0.25">
      <c r="A661" s="12" t="s">
        <v>629</v>
      </c>
    </row>
    <row r="662" spans="1:1" ht="13.5" customHeight="1" x14ac:dyDescent="0.25">
      <c r="A662" s="12" t="s">
        <v>630</v>
      </c>
    </row>
    <row r="663" spans="1:1" ht="13.5" customHeight="1" x14ac:dyDescent="0.25">
      <c r="A663" s="12" t="s">
        <v>631</v>
      </c>
    </row>
    <row r="664" spans="1:1" ht="13.5" customHeight="1" x14ac:dyDescent="0.25">
      <c r="A664" s="12" t="s">
        <v>632</v>
      </c>
    </row>
    <row r="665" spans="1:1" ht="13.5" customHeight="1" x14ac:dyDescent="0.25">
      <c r="A665" s="12" t="s">
        <v>633</v>
      </c>
    </row>
    <row r="666" spans="1:1" ht="13.5" customHeight="1" x14ac:dyDescent="0.25">
      <c r="A666" s="12" t="s">
        <v>634</v>
      </c>
    </row>
    <row r="667" spans="1:1" ht="13.5" customHeight="1" x14ac:dyDescent="0.25">
      <c r="A667" s="12" t="s">
        <v>635</v>
      </c>
    </row>
    <row r="668" spans="1:1" ht="13.5" customHeight="1" x14ac:dyDescent="0.25">
      <c r="A668" s="12" t="s">
        <v>636</v>
      </c>
    </row>
    <row r="669" spans="1:1" ht="13.5" customHeight="1" x14ac:dyDescent="0.25">
      <c r="A669" s="12" t="s">
        <v>637</v>
      </c>
    </row>
    <row r="670" spans="1:1" ht="13.5" customHeight="1" x14ac:dyDescent="0.25">
      <c r="A670" s="12" t="s">
        <v>638</v>
      </c>
    </row>
    <row r="671" spans="1:1" ht="13.5" customHeight="1" x14ac:dyDescent="0.25">
      <c r="A671" s="12" t="s">
        <v>639</v>
      </c>
    </row>
    <row r="672" spans="1:1" ht="13.5" customHeight="1" x14ac:dyDescent="0.25">
      <c r="A672" s="12" t="s">
        <v>640</v>
      </c>
    </row>
    <row r="673" spans="1:1" ht="13.5" customHeight="1" x14ac:dyDescent="0.25">
      <c r="A673" s="12" t="s">
        <v>641</v>
      </c>
    </row>
    <row r="674" spans="1:1" ht="13.5" customHeight="1" x14ac:dyDescent="0.25">
      <c r="A674" s="12" t="s">
        <v>642</v>
      </c>
    </row>
    <row r="675" spans="1:1" ht="13.5" customHeight="1" x14ac:dyDescent="0.25">
      <c r="A675" s="12" t="s">
        <v>643</v>
      </c>
    </row>
    <row r="676" spans="1:1" ht="13.5" customHeight="1" x14ac:dyDescent="0.25">
      <c r="A676" s="12" t="s">
        <v>644</v>
      </c>
    </row>
    <row r="677" spans="1:1" ht="13.5" customHeight="1" x14ac:dyDescent="0.25">
      <c r="A677" s="12" t="s">
        <v>645</v>
      </c>
    </row>
    <row r="678" spans="1:1" ht="13.5" customHeight="1" x14ac:dyDescent="0.25">
      <c r="A678" s="12" t="s">
        <v>646</v>
      </c>
    </row>
    <row r="679" spans="1:1" ht="13.5" customHeight="1" x14ac:dyDescent="0.25">
      <c r="A679" s="12" t="s">
        <v>647</v>
      </c>
    </row>
    <row r="680" spans="1:1" ht="13.5" customHeight="1" x14ac:dyDescent="0.25">
      <c r="A680" s="12" t="s">
        <v>648</v>
      </c>
    </row>
    <row r="681" spans="1:1" ht="13.5" customHeight="1" x14ac:dyDescent="0.25">
      <c r="A681" s="12" t="s">
        <v>649</v>
      </c>
    </row>
    <row r="682" spans="1:1" ht="13.5" customHeight="1" x14ac:dyDescent="0.25">
      <c r="A682" s="12" t="s">
        <v>650</v>
      </c>
    </row>
    <row r="683" spans="1:1" ht="13.5" customHeight="1" x14ac:dyDescent="0.25">
      <c r="A683" s="12" t="s">
        <v>651</v>
      </c>
    </row>
    <row r="684" spans="1:1" ht="13.5" customHeight="1" x14ac:dyDescent="0.25">
      <c r="A684" s="12" t="s">
        <v>652</v>
      </c>
    </row>
    <row r="685" spans="1:1" ht="13.5" customHeight="1" x14ac:dyDescent="0.25">
      <c r="A685" s="12" t="s">
        <v>653</v>
      </c>
    </row>
    <row r="686" spans="1:1" ht="13.5" customHeight="1" x14ac:dyDescent="0.25">
      <c r="A686" s="12" t="s">
        <v>525</v>
      </c>
    </row>
    <row r="687" spans="1:1" ht="13.5" customHeight="1" x14ac:dyDescent="0.25">
      <c r="A687" s="12"/>
    </row>
    <row r="688" spans="1:1" ht="13.5" customHeight="1" x14ac:dyDescent="0.25">
      <c r="A688" s="12" t="s">
        <v>654</v>
      </c>
    </row>
    <row r="689" spans="1:1" ht="13.5" customHeight="1" x14ac:dyDescent="0.25">
      <c r="A689" s="12" t="s">
        <v>655</v>
      </c>
    </row>
    <row r="690" spans="1:1" ht="13.5" customHeight="1" x14ac:dyDescent="0.25">
      <c r="A690" s="12" t="s">
        <v>656</v>
      </c>
    </row>
    <row r="691" spans="1:1" ht="13.5" customHeight="1" x14ac:dyDescent="0.25">
      <c r="A691" s="12" t="s">
        <v>657</v>
      </c>
    </row>
    <row r="692" spans="1:1" ht="13.5" customHeight="1" x14ac:dyDescent="0.25">
      <c r="A692" s="12" t="s">
        <v>658</v>
      </c>
    </row>
    <row r="693" spans="1:1" ht="13.5" customHeight="1" x14ac:dyDescent="0.25">
      <c r="A693" s="12" t="s">
        <v>659</v>
      </c>
    </row>
    <row r="694" spans="1:1" ht="13.5" customHeight="1" x14ac:dyDescent="0.25">
      <c r="A694" s="12" t="s">
        <v>660</v>
      </c>
    </row>
    <row r="695" spans="1:1" ht="13.5" customHeight="1" x14ac:dyDescent="0.25">
      <c r="A695" s="12" t="s">
        <v>661</v>
      </c>
    </row>
    <row r="696" spans="1:1" ht="13.5" customHeight="1" x14ac:dyDescent="0.25">
      <c r="A696" s="12" t="s">
        <v>662</v>
      </c>
    </row>
    <row r="697" spans="1:1" ht="13.5" customHeight="1" x14ac:dyDescent="0.25">
      <c r="A697" s="12" t="s">
        <v>663</v>
      </c>
    </row>
    <row r="698" spans="1:1" ht="13.5" customHeight="1" x14ac:dyDescent="0.25">
      <c r="A698" s="12" t="s">
        <v>664</v>
      </c>
    </row>
    <row r="699" spans="1:1" ht="13.5" customHeight="1" x14ac:dyDescent="0.25">
      <c r="A699" s="12" t="s">
        <v>665</v>
      </c>
    </row>
    <row r="700" spans="1:1" ht="13.5" customHeight="1" x14ac:dyDescent="0.25">
      <c r="A700" s="12" t="s">
        <v>666</v>
      </c>
    </row>
    <row r="701" spans="1:1" ht="13.5" customHeight="1" x14ac:dyDescent="0.25">
      <c r="A701" s="12" t="s">
        <v>667</v>
      </c>
    </row>
    <row r="702" spans="1:1" ht="13.5" customHeight="1" x14ac:dyDescent="0.25">
      <c r="A702" s="12" t="s">
        <v>668</v>
      </c>
    </row>
    <row r="703" spans="1:1" ht="13.5" customHeight="1" x14ac:dyDescent="0.25">
      <c r="A703" s="12" t="s">
        <v>669</v>
      </c>
    </row>
    <row r="704" spans="1:1" ht="13.5" customHeight="1" x14ac:dyDescent="0.25">
      <c r="A704" s="12" t="s">
        <v>670</v>
      </c>
    </row>
    <row r="705" spans="1:1" ht="13.5" customHeight="1" x14ac:dyDescent="0.25">
      <c r="A705" s="12" t="s">
        <v>671</v>
      </c>
    </row>
    <row r="706" spans="1:1" ht="13.5" customHeight="1" x14ac:dyDescent="0.25">
      <c r="A706" s="12" t="s">
        <v>672</v>
      </c>
    </row>
    <row r="707" spans="1:1" ht="13.5" customHeight="1" x14ac:dyDescent="0.25">
      <c r="A707" s="12" t="s">
        <v>673</v>
      </c>
    </row>
    <row r="708" spans="1:1" ht="13.5" customHeight="1" x14ac:dyDescent="0.25">
      <c r="A708" s="12" t="s">
        <v>674</v>
      </c>
    </row>
    <row r="709" spans="1:1" ht="13.5" customHeight="1" x14ac:dyDescent="0.25">
      <c r="A709" s="12" t="s">
        <v>478</v>
      </c>
    </row>
    <row r="710" spans="1:1" ht="13.5" customHeight="1" x14ac:dyDescent="0.25">
      <c r="A710" s="12" t="s">
        <v>675</v>
      </c>
    </row>
    <row r="711" spans="1:1" ht="13.5" customHeight="1" x14ac:dyDescent="0.25">
      <c r="A711" s="12" t="s">
        <v>676</v>
      </c>
    </row>
    <row r="712" spans="1:1" ht="13.5" customHeight="1" x14ac:dyDescent="0.25">
      <c r="A712" s="12" t="s">
        <v>677</v>
      </c>
    </row>
    <row r="713" spans="1:1" ht="13.5" customHeight="1" x14ac:dyDescent="0.25">
      <c r="A713" s="12" t="s">
        <v>678</v>
      </c>
    </row>
    <row r="714" spans="1:1" ht="13.5" customHeight="1" x14ac:dyDescent="0.25">
      <c r="A714" s="12" t="s">
        <v>679</v>
      </c>
    </row>
    <row r="715" spans="1:1" ht="13.5" customHeight="1" x14ac:dyDescent="0.25">
      <c r="A715" s="12" t="s">
        <v>680</v>
      </c>
    </row>
    <row r="716" spans="1:1" ht="13.5" customHeight="1" x14ac:dyDescent="0.25">
      <c r="A716" s="12" t="s">
        <v>681</v>
      </c>
    </row>
    <row r="717" spans="1:1" ht="13.5" customHeight="1" x14ac:dyDescent="0.25">
      <c r="A717" s="12" t="s">
        <v>682</v>
      </c>
    </row>
    <row r="718" spans="1:1" ht="13.5" customHeight="1" x14ac:dyDescent="0.25">
      <c r="A718" s="12" t="s">
        <v>683</v>
      </c>
    </row>
    <row r="719" spans="1:1" ht="13.5" customHeight="1" x14ac:dyDescent="0.25">
      <c r="A719" s="12" t="s">
        <v>684</v>
      </c>
    </row>
    <row r="720" spans="1:1" ht="13.5" customHeight="1" x14ac:dyDescent="0.25">
      <c r="A720" s="12" t="s">
        <v>685</v>
      </c>
    </row>
    <row r="721" spans="1:1" ht="13.5" customHeight="1" x14ac:dyDescent="0.25">
      <c r="A721" s="12" t="s">
        <v>686</v>
      </c>
    </row>
    <row r="722" spans="1:1" ht="13.5" customHeight="1" x14ac:dyDescent="0.25">
      <c r="A722" s="12" t="s">
        <v>687</v>
      </c>
    </row>
    <row r="723" spans="1:1" ht="13.5" customHeight="1" x14ac:dyDescent="0.25">
      <c r="A723" s="12" t="s">
        <v>493</v>
      </c>
    </row>
    <row r="724" spans="1:1" ht="13.5" customHeight="1" x14ac:dyDescent="0.25">
      <c r="A724" s="12"/>
    </row>
    <row r="725" spans="1:1" ht="13.5" customHeight="1" x14ac:dyDescent="0.25">
      <c r="A725" s="12" t="s">
        <v>688</v>
      </c>
    </row>
    <row r="726" spans="1:1" ht="13.5" customHeight="1" x14ac:dyDescent="0.25">
      <c r="A726" s="12" t="s">
        <v>689</v>
      </c>
    </row>
    <row r="727" spans="1:1" ht="13.5" customHeight="1" x14ac:dyDescent="0.25">
      <c r="A727" s="12" t="s">
        <v>690</v>
      </c>
    </row>
    <row r="728" spans="1:1" ht="13.5" customHeight="1" x14ac:dyDescent="0.25">
      <c r="A728" s="12" t="s">
        <v>691</v>
      </c>
    </row>
    <row r="729" spans="1:1" ht="13.5" customHeight="1" x14ac:dyDescent="0.25">
      <c r="A729" s="12" t="s">
        <v>692</v>
      </c>
    </row>
    <row r="730" spans="1:1" ht="13.5" customHeight="1" x14ac:dyDescent="0.25">
      <c r="A730" s="12" t="s">
        <v>693</v>
      </c>
    </row>
    <row r="731" spans="1:1" ht="13.5" customHeight="1" x14ac:dyDescent="0.25">
      <c r="A731" s="12" t="s">
        <v>694</v>
      </c>
    </row>
    <row r="732" spans="1:1" ht="13.5" customHeight="1" x14ac:dyDescent="0.25">
      <c r="A732" s="12" t="s">
        <v>695</v>
      </c>
    </row>
    <row r="733" spans="1:1" ht="13.5" customHeight="1" x14ac:dyDescent="0.25">
      <c r="A733" s="12" t="s">
        <v>696</v>
      </c>
    </row>
    <row r="734" spans="1:1" ht="13.5" customHeight="1" x14ac:dyDescent="0.25">
      <c r="A734" s="12" t="s">
        <v>697</v>
      </c>
    </row>
    <row r="735" spans="1:1" ht="13.5" customHeight="1" x14ac:dyDescent="0.25">
      <c r="A735" s="12" t="s">
        <v>698</v>
      </c>
    </row>
    <row r="736" spans="1:1" ht="13.5" customHeight="1" x14ac:dyDescent="0.25">
      <c r="A736" s="12" t="s">
        <v>699</v>
      </c>
    </row>
    <row r="737" spans="1:1" ht="13.5" customHeight="1" x14ac:dyDescent="0.25">
      <c r="A737" s="12" t="s">
        <v>700</v>
      </c>
    </row>
    <row r="738" spans="1:1" ht="13.5" customHeight="1" x14ac:dyDescent="0.25">
      <c r="A738" s="12" t="s">
        <v>701</v>
      </c>
    </row>
    <row r="739" spans="1:1" ht="13.5" customHeight="1" x14ac:dyDescent="0.25">
      <c r="A739" s="12" t="s">
        <v>702</v>
      </c>
    </row>
    <row r="740" spans="1:1" ht="13.5" customHeight="1" x14ac:dyDescent="0.25">
      <c r="A740" s="12" t="s">
        <v>669</v>
      </c>
    </row>
    <row r="741" spans="1:1" ht="13.5" customHeight="1" x14ac:dyDescent="0.25">
      <c r="A741" s="12"/>
    </row>
    <row r="742" spans="1:1" ht="13.5" customHeight="1" x14ac:dyDescent="0.25">
      <c r="A742" s="12" t="s">
        <v>703</v>
      </c>
    </row>
    <row r="743" spans="1:1" ht="13.5" customHeight="1" x14ac:dyDescent="0.25">
      <c r="A743" s="12" t="s">
        <v>704</v>
      </c>
    </row>
    <row r="744" spans="1:1" ht="13.5" customHeight="1" x14ac:dyDescent="0.25">
      <c r="A744" s="12" t="s">
        <v>672</v>
      </c>
    </row>
    <row r="745" spans="1:1" ht="13.5" customHeight="1" x14ac:dyDescent="0.25">
      <c r="A745" s="12" t="s">
        <v>705</v>
      </c>
    </row>
    <row r="746" spans="1:1" ht="13.5" customHeight="1" x14ac:dyDescent="0.25">
      <c r="A746" s="12" t="s">
        <v>706</v>
      </c>
    </row>
    <row r="747" spans="1:1" ht="13.5" customHeight="1" x14ac:dyDescent="0.25">
      <c r="A747" s="12" t="s">
        <v>707</v>
      </c>
    </row>
    <row r="748" spans="1:1" ht="13.5" customHeight="1" x14ac:dyDescent="0.25">
      <c r="A748" s="12" t="s">
        <v>708</v>
      </c>
    </row>
    <row r="749" spans="1:1" ht="13.5" customHeight="1" x14ac:dyDescent="0.25">
      <c r="A749" s="12" t="s">
        <v>709</v>
      </c>
    </row>
    <row r="750" spans="1:1" ht="13.5" customHeight="1" x14ac:dyDescent="0.25">
      <c r="A750" s="12" t="s">
        <v>710</v>
      </c>
    </row>
    <row r="751" spans="1:1" ht="13.5" customHeight="1" x14ac:dyDescent="0.25">
      <c r="A751" s="12" t="s">
        <v>711</v>
      </c>
    </row>
    <row r="752" spans="1:1" ht="13.5" customHeight="1" x14ac:dyDescent="0.25">
      <c r="A752" s="12" t="s">
        <v>712</v>
      </c>
    </row>
    <row r="753" spans="1:1" ht="13.5" customHeight="1" x14ac:dyDescent="0.25">
      <c r="A753" s="12" t="s">
        <v>713</v>
      </c>
    </row>
    <row r="754" spans="1:1" ht="13.5" customHeight="1" x14ac:dyDescent="0.25">
      <c r="A754" s="12" t="s">
        <v>714</v>
      </c>
    </row>
    <row r="755" spans="1:1" ht="13.5" customHeight="1" x14ac:dyDescent="0.25">
      <c r="A755" s="12" t="s">
        <v>715</v>
      </c>
    </row>
    <row r="756" spans="1:1" ht="13.5" customHeight="1" x14ac:dyDescent="0.25">
      <c r="A756" s="12" t="s">
        <v>716</v>
      </c>
    </row>
    <row r="757" spans="1:1" ht="13.5" customHeight="1" x14ac:dyDescent="0.25">
      <c r="A757" s="12" t="s">
        <v>717</v>
      </c>
    </row>
    <row r="758" spans="1:1" ht="13.5" customHeight="1" x14ac:dyDescent="0.25">
      <c r="A758" s="12" t="s">
        <v>718</v>
      </c>
    </row>
    <row r="759" spans="1:1" ht="13.5" customHeight="1" x14ac:dyDescent="0.25">
      <c r="A759" s="12" t="s">
        <v>719</v>
      </c>
    </row>
    <row r="760" spans="1:1" ht="13.5" customHeight="1" x14ac:dyDescent="0.25">
      <c r="A760" s="12" t="s">
        <v>720</v>
      </c>
    </row>
    <row r="761" spans="1:1" ht="13.5" customHeight="1" x14ac:dyDescent="0.25">
      <c r="A761" s="12" t="s">
        <v>721</v>
      </c>
    </row>
    <row r="762" spans="1:1" ht="13.5" customHeight="1" x14ac:dyDescent="0.25">
      <c r="A762" s="12" t="s">
        <v>722</v>
      </c>
    </row>
    <row r="763" spans="1:1" ht="13.5" customHeight="1" x14ac:dyDescent="0.25">
      <c r="A763" s="12" t="s">
        <v>723</v>
      </c>
    </row>
    <row r="764" spans="1:1" ht="13.5" customHeight="1" x14ac:dyDescent="0.25">
      <c r="A764" s="12" t="s">
        <v>426</v>
      </c>
    </row>
    <row r="765" spans="1:1" ht="13.5" customHeight="1" x14ac:dyDescent="0.25">
      <c r="A765" s="12" t="s">
        <v>478</v>
      </c>
    </row>
    <row r="766" spans="1:1" ht="13.5" customHeight="1" x14ac:dyDescent="0.25">
      <c r="A766" s="12" t="s">
        <v>724</v>
      </c>
    </row>
    <row r="767" spans="1:1" ht="13.5" customHeight="1" x14ac:dyDescent="0.25">
      <c r="A767" s="12" t="s">
        <v>493</v>
      </c>
    </row>
    <row r="768" spans="1:1" ht="13.5" customHeight="1" x14ac:dyDescent="0.25">
      <c r="A768" s="12"/>
    </row>
    <row r="769" spans="1:1" ht="13.5" customHeight="1" x14ac:dyDescent="0.25">
      <c r="A769" s="12" t="s">
        <v>725</v>
      </c>
    </row>
    <row r="770" spans="1:1" ht="13.5" customHeight="1" x14ac:dyDescent="0.25">
      <c r="A770" s="12" t="s">
        <v>726</v>
      </c>
    </row>
    <row r="771" spans="1:1" ht="13.5" customHeight="1" x14ac:dyDescent="0.25">
      <c r="A771" s="12" t="s">
        <v>727</v>
      </c>
    </row>
    <row r="772" spans="1:1" ht="13.5" customHeight="1" x14ac:dyDescent="0.25">
      <c r="A772" s="12" t="s">
        <v>728</v>
      </c>
    </row>
    <row r="773" spans="1:1" ht="13.5" customHeight="1" x14ac:dyDescent="0.25">
      <c r="A773" s="12" t="s">
        <v>729</v>
      </c>
    </row>
    <row r="774" spans="1:1" ht="13.5" customHeight="1" x14ac:dyDescent="0.25">
      <c r="A774" s="12" t="s">
        <v>157</v>
      </c>
    </row>
    <row r="775" spans="1:1" ht="13.5" customHeight="1" x14ac:dyDescent="0.25">
      <c r="A775" s="12" t="s">
        <v>730</v>
      </c>
    </row>
    <row r="776" spans="1:1" ht="13.5" customHeight="1" x14ac:dyDescent="0.25">
      <c r="A776" s="12" t="s">
        <v>731</v>
      </c>
    </row>
    <row r="777" spans="1:1" ht="13.5" customHeight="1" x14ac:dyDescent="0.25">
      <c r="A777" s="12" t="s">
        <v>732</v>
      </c>
    </row>
    <row r="778" spans="1:1" ht="13.5" customHeight="1" x14ac:dyDescent="0.25">
      <c r="A778" s="12" t="s">
        <v>733</v>
      </c>
    </row>
    <row r="779" spans="1:1" ht="13.5" customHeight="1" x14ac:dyDescent="0.25">
      <c r="A779" s="12" t="s">
        <v>734</v>
      </c>
    </row>
    <row r="780" spans="1:1" ht="13.5" customHeight="1" x14ac:dyDescent="0.25">
      <c r="A780" s="12" t="s">
        <v>735</v>
      </c>
    </row>
    <row r="781" spans="1:1" ht="13.5" customHeight="1" x14ac:dyDescent="0.25">
      <c r="A781" s="12" t="s">
        <v>736</v>
      </c>
    </row>
    <row r="782" spans="1:1" ht="13.5" customHeight="1" x14ac:dyDescent="0.25">
      <c r="A782" s="12" t="s">
        <v>737</v>
      </c>
    </row>
    <row r="783" spans="1:1" ht="13.5" customHeight="1" x14ac:dyDescent="0.25">
      <c r="A783" s="12" t="s">
        <v>738</v>
      </c>
    </row>
    <row r="784" spans="1:1" ht="13.5" customHeight="1" x14ac:dyDescent="0.25">
      <c r="A784" s="12" t="s">
        <v>739</v>
      </c>
    </row>
    <row r="785" spans="1:1" ht="13.5" customHeight="1" x14ac:dyDescent="0.25">
      <c r="A785" s="12" t="s">
        <v>740</v>
      </c>
    </row>
    <row r="786" spans="1:1" ht="13.5" customHeight="1" x14ac:dyDescent="0.25">
      <c r="A786" s="12" t="s">
        <v>741</v>
      </c>
    </row>
    <row r="787" spans="1:1" ht="13.5" customHeight="1" x14ac:dyDescent="0.25">
      <c r="A787" s="12" t="s">
        <v>742</v>
      </c>
    </row>
    <row r="788" spans="1:1" ht="13.5" customHeight="1" x14ac:dyDescent="0.25">
      <c r="A788" s="12" t="s">
        <v>743</v>
      </c>
    </row>
    <row r="789" spans="1:1" ht="13.5" customHeight="1" x14ac:dyDescent="0.25">
      <c r="A789" s="12" t="s">
        <v>744</v>
      </c>
    </row>
    <row r="790" spans="1:1" ht="13.5" customHeight="1" x14ac:dyDescent="0.25">
      <c r="A790" s="12" t="s">
        <v>745</v>
      </c>
    </row>
    <row r="791" spans="1:1" ht="13.5" customHeight="1" x14ac:dyDescent="0.25">
      <c r="A791" s="12" t="s">
        <v>746</v>
      </c>
    </row>
    <row r="792" spans="1:1" ht="13.5" customHeight="1" x14ac:dyDescent="0.25">
      <c r="A792" s="12" t="s">
        <v>747</v>
      </c>
    </row>
    <row r="793" spans="1:1" ht="13.5" customHeight="1" x14ac:dyDescent="0.25">
      <c r="A793" s="12" t="s">
        <v>748</v>
      </c>
    </row>
    <row r="794" spans="1:1" ht="13.5" customHeight="1" x14ac:dyDescent="0.25">
      <c r="A794" s="12" t="s">
        <v>749</v>
      </c>
    </row>
    <row r="795" spans="1:1" ht="13.5" customHeight="1" x14ac:dyDescent="0.25">
      <c r="A795" s="12" t="s">
        <v>750</v>
      </c>
    </row>
    <row r="796" spans="1:1" ht="13.5" customHeight="1" x14ac:dyDescent="0.25">
      <c r="A796" s="12" t="s">
        <v>751</v>
      </c>
    </row>
    <row r="797" spans="1:1" ht="13.5" customHeight="1" x14ac:dyDescent="0.25">
      <c r="A797" s="12" t="s">
        <v>752</v>
      </c>
    </row>
    <row r="798" spans="1:1" ht="13.5" customHeight="1" x14ac:dyDescent="0.25">
      <c r="A798" s="12" t="s">
        <v>753</v>
      </c>
    </row>
    <row r="799" spans="1:1" ht="13.5" customHeight="1" x14ac:dyDescent="0.25">
      <c r="A799" s="12" t="s">
        <v>592</v>
      </c>
    </row>
    <row r="800" spans="1:1" ht="13.5" customHeight="1" x14ac:dyDescent="0.25">
      <c r="A800" s="12" t="s">
        <v>754</v>
      </c>
    </row>
    <row r="801" spans="1:1" ht="13.5" customHeight="1" x14ac:dyDescent="0.25">
      <c r="A801" s="12" t="s">
        <v>755</v>
      </c>
    </row>
    <row r="802" spans="1:1" ht="13.5" customHeight="1" x14ac:dyDescent="0.25">
      <c r="A802" s="12" t="s">
        <v>756</v>
      </c>
    </row>
    <row r="803" spans="1:1" ht="13.5" customHeight="1" x14ac:dyDescent="0.25">
      <c r="A803" s="12"/>
    </row>
    <row r="804" spans="1:1" ht="13.5" customHeight="1" x14ac:dyDescent="0.25">
      <c r="A804" s="12" t="s">
        <v>757</v>
      </c>
    </row>
    <row r="805" spans="1:1" ht="13.5" customHeight="1" x14ac:dyDescent="0.25">
      <c r="A805" s="12" t="s">
        <v>758</v>
      </c>
    </row>
    <row r="806" spans="1:1" ht="13.5" customHeight="1" x14ac:dyDescent="0.25">
      <c r="A806" s="12" t="s">
        <v>594</v>
      </c>
    </row>
    <row r="807" spans="1:1" ht="13.5" customHeight="1" x14ac:dyDescent="0.25">
      <c r="A807" s="12" t="s">
        <v>759</v>
      </c>
    </row>
    <row r="808" spans="1:1" ht="13.5" customHeight="1" x14ac:dyDescent="0.25">
      <c r="A808" s="12" t="s">
        <v>760</v>
      </c>
    </row>
    <row r="809" spans="1:1" ht="13.5" customHeight="1" x14ac:dyDescent="0.25">
      <c r="A809" s="12" t="s">
        <v>761</v>
      </c>
    </row>
    <row r="810" spans="1:1" ht="13.5" customHeight="1" x14ac:dyDescent="0.25">
      <c r="A810" s="12" t="s">
        <v>762</v>
      </c>
    </row>
    <row r="811" spans="1:1" ht="13.5" customHeight="1" x14ac:dyDescent="0.25">
      <c r="A811" s="12" t="s">
        <v>763</v>
      </c>
    </row>
    <row r="812" spans="1:1" ht="13.5" customHeight="1" x14ac:dyDescent="0.25">
      <c r="A812" s="12" t="s">
        <v>764</v>
      </c>
    </row>
    <row r="813" spans="1:1" ht="13.5" customHeight="1" x14ac:dyDescent="0.25">
      <c r="A813" s="12" t="s">
        <v>765</v>
      </c>
    </row>
    <row r="814" spans="1:1" ht="13.5" customHeight="1" x14ac:dyDescent="0.25">
      <c r="A814" s="12" t="s">
        <v>766</v>
      </c>
    </row>
    <row r="815" spans="1:1" ht="13.5" customHeight="1" x14ac:dyDescent="0.25">
      <c r="A815" s="12" t="s">
        <v>767</v>
      </c>
    </row>
    <row r="816" spans="1:1" ht="13.5" customHeight="1" x14ac:dyDescent="0.25">
      <c r="A816" s="12" t="s">
        <v>768</v>
      </c>
    </row>
    <row r="817" spans="1:1" ht="13.5" customHeight="1" x14ac:dyDescent="0.25">
      <c r="A817" s="12" t="s">
        <v>769</v>
      </c>
    </row>
    <row r="818" spans="1:1" ht="13.5" customHeight="1" x14ac:dyDescent="0.25">
      <c r="A818" s="12" t="s">
        <v>770</v>
      </c>
    </row>
    <row r="819" spans="1:1" ht="13.5" customHeight="1" x14ac:dyDescent="0.25">
      <c r="A819" s="12" t="s">
        <v>771</v>
      </c>
    </row>
    <row r="820" spans="1:1" ht="13.5" customHeight="1" x14ac:dyDescent="0.25">
      <c r="A820" s="12" t="s">
        <v>772</v>
      </c>
    </row>
    <row r="821" spans="1:1" ht="13.5" customHeight="1" x14ac:dyDescent="0.25">
      <c r="A821" s="12" t="s">
        <v>773</v>
      </c>
    </row>
    <row r="822" spans="1:1" ht="13.5" customHeight="1" x14ac:dyDescent="0.25">
      <c r="A822" s="12" t="s">
        <v>774</v>
      </c>
    </row>
    <row r="823" spans="1:1" ht="13.5" customHeight="1" x14ac:dyDescent="0.25">
      <c r="A823" s="12"/>
    </row>
    <row r="824" spans="1:1" ht="13.5" customHeight="1" x14ac:dyDescent="0.25">
      <c r="A824" s="12" t="s">
        <v>775</v>
      </c>
    </row>
    <row r="825" spans="1:1" ht="13.5" customHeight="1" x14ac:dyDescent="0.25">
      <c r="A825" s="12" t="s">
        <v>776</v>
      </c>
    </row>
    <row r="826" spans="1:1" ht="13.5" customHeight="1" x14ac:dyDescent="0.25">
      <c r="A826" s="12" t="s">
        <v>777</v>
      </c>
    </row>
    <row r="827" spans="1:1" ht="13.5" customHeight="1" x14ac:dyDescent="0.25">
      <c r="A827" s="12" t="s">
        <v>778</v>
      </c>
    </row>
    <row r="828" spans="1:1" ht="13.5" customHeight="1" x14ac:dyDescent="0.25">
      <c r="A828" s="12"/>
    </row>
    <row r="829" spans="1:1" ht="13.5" customHeight="1" x14ac:dyDescent="0.25">
      <c r="A829" s="12" t="s">
        <v>779</v>
      </c>
    </row>
    <row r="830" spans="1:1" ht="13.5" customHeight="1" x14ac:dyDescent="0.25">
      <c r="A830" s="12" t="s">
        <v>780</v>
      </c>
    </row>
    <row r="831" spans="1:1" ht="13.5" customHeight="1" x14ac:dyDescent="0.25">
      <c r="A831" s="12" t="s">
        <v>781</v>
      </c>
    </row>
    <row r="832" spans="1:1" ht="13.5" customHeight="1" x14ac:dyDescent="0.25">
      <c r="A832" s="12" t="s">
        <v>782</v>
      </c>
    </row>
    <row r="833" spans="1:1" ht="13.5" customHeight="1" x14ac:dyDescent="0.25">
      <c r="A833" s="12" t="s">
        <v>783</v>
      </c>
    </row>
    <row r="834" spans="1:1" ht="13.5" customHeight="1" x14ac:dyDescent="0.25">
      <c r="A834" s="12" t="s">
        <v>784</v>
      </c>
    </row>
    <row r="835" spans="1:1" ht="13.5" customHeight="1" x14ac:dyDescent="0.25">
      <c r="A835" s="12" t="s">
        <v>785</v>
      </c>
    </row>
    <row r="836" spans="1:1" ht="13.5" customHeight="1" x14ac:dyDescent="0.25">
      <c r="A836" s="12" t="s">
        <v>786</v>
      </c>
    </row>
    <row r="837" spans="1:1" ht="13.5" customHeight="1" x14ac:dyDescent="0.25">
      <c r="A837" s="12" t="s">
        <v>787</v>
      </c>
    </row>
    <row r="838" spans="1:1" ht="13.5" customHeight="1" x14ac:dyDescent="0.25">
      <c r="A838" s="12" t="s">
        <v>788</v>
      </c>
    </row>
    <row r="839" spans="1:1" ht="13.5" customHeight="1" x14ac:dyDescent="0.25">
      <c r="A839" s="12" t="s">
        <v>789</v>
      </c>
    </row>
    <row r="840" spans="1:1" ht="13.5" customHeight="1" x14ac:dyDescent="0.25">
      <c r="A840" s="12" t="s">
        <v>790</v>
      </c>
    </row>
    <row r="841" spans="1:1" ht="13.5" customHeight="1" x14ac:dyDescent="0.25">
      <c r="A841" s="12" t="s">
        <v>791</v>
      </c>
    </row>
    <row r="842" spans="1:1" ht="13.5" customHeight="1" x14ac:dyDescent="0.25">
      <c r="A842" s="12" t="s">
        <v>792</v>
      </c>
    </row>
    <row r="843" spans="1:1" ht="13.5" customHeight="1" x14ac:dyDescent="0.25">
      <c r="A843" s="12" t="s">
        <v>793</v>
      </c>
    </row>
    <row r="844" spans="1:1" ht="13.5" customHeight="1" x14ac:dyDescent="0.25">
      <c r="A844" s="12" t="s">
        <v>794</v>
      </c>
    </row>
    <row r="845" spans="1:1" ht="13.5" customHeight="1" x14ac:dyDescent="0.25">
      <c r="A845" s="12" t="s">
        <v>795</v>
      </c>
    </row>
    <row r="846" spans="1:1" ht="13.5" customHeight="1" x14ac:dyDescent="0.25">
      <c r="A846" s="12" t="s">
        <v>796</v>
      </c>
    </row>
    <row r="847" spans="1:1" ht="13.5" customHeight="1" x14ac:dyDescent="0.25">
      <c r="A847" s="12" t="s">
        <v>797</v>
      </c>
    </row>
    <row r="848" spans="1:1" ht="13.5" customHeight="1" x14ac:dyDescent="0.25">
      <c r="A848" s="12" t="s">
        <v>798</v>
      </c>
    </row>
    <row r="849" spans="1:1" ht="13.5" customHeight="1" x14ac:dyDescent="0.25">
      <c r="A849" s="12" t="s">
        <v>555</v>
      </c>
    </row>
    <row r="850" spans="1:1" ht="13.5" customHeight="1" x14ac:dyDescent="0.25">
      <c r="A850" s="12" t="s">
        <v>799</v>
      </c>
    </row>
    <row r="851" spans="1:1" ht="13.5" customHeight="1" x14ac:dyDescent="0.25">
      <c r="A851" s="12" t="s">
        <v>800</v>
      </c>
    </row>
    <row r="852" spans="1:1" ht="13.5" customHeight="1" x14ac:dyDescent="0.25">
      <c r="A852" s="12" t="s">
        <v>801</v>
      </c>
    </row>
    <row r="853" spans="1:1" ht="13.5" customHeight="1" x14ac:dyDescent="0.25">
      <c r="A853" s="12" t="s">
        <v>802</v>
      </c>
    </row>
    <row r="854" spans="1:1" ht="13.5" customHeight="1" x14ac:dyDescent="0.25">
      <c r="A854" s="12" t="s">
        <v>803</v>
      </c>
    </row>
    <row r="855" spans="1:1" ht="13.5" customHeight="1" x14ac:dyDescent="0.25">
      <c r="A855" s="12" t="s">
        <v>804</v>
      </c>
    </row>
    <row r="856" spans="1:1" ht="13.5" customHeight="1" x14ac:dyDescent="0.25">
      <c r="A856" s="12" t="s">
        <v>805</v>
      </c>
    </row>
    <row r="857" spans="1:1" ht="13.5" customHeight="1" x14ac:dyDescent="0.25">
      <c r="A857" s="12" t="s">
        <v>806</v>
      </c>
    </row>
    <row r="858" spans="1:1" ht="13.5" customHeight="1" x14ac:dyDescent="0.25">
      <c r="A858" s="12" t="s">
        <v>807</v>
      </c>
    </row>
    <row r="859" spans="1:1" ht="13.5" customHeight="1" x14ac:dyDescent="0.25">
      <c r="A859" s="12" t="s">
        <v>808</v>
      </c>
    </row>
    <row r="860" spans="1:1" ht="13.5" customHeight="1" x14ac:dyDescent="0.25">
      <c r="A860" s="12" t="s">
        <v>478</v>
      </c>
    </row>
    <row r="861" spans="1:1" ht="13.5" customHeight="1" x14ac:dyDescent="0.25">
      <c r="A861" s="12" t="s">
        <v>787</v>
      </c>
    </row>
    <row r="862" spans="1:1" ht="13.5" customHeight="1" x14ac:dyDescent="0.25">
      <c r="A862" s="12" t="s">
        <v>429</v>
      </c>
    </row>
    <row r="863" spans="1:1" ht="13.5" customHeight="1" x14ac:dyDescent="0.25">
      <c r="A863" s="12"/>
    </row>
    <row r="864" spans="1:1" ht="13.5" customHeight="1" x14ac:dyDescent="0.25">
      <c r="A864" s="12" t="s">
        <v>809</v>
      </c>
    </row>
    <row r="865" spans="1:1" ht="13.5" customHeight="1" x14ac:dyDescent="0.25">
      <c r="A865" s="12" t="s">
        <v>810</v>
      </c>
    </row>
    <row r="866" spans="1:1" ht="13.5" customHeight="1" x14ac:dyDescent="0.25">
      <c r="A866" s="12" t="s">
        <v>811</v>
      </c>
    </row>
    <row r="867" spans="1:1" ht="13.5" customHeight="1" x14ac:dyDescent="0.25">
      <c r="A867" s="12" t="s">
        <v>812</v>
      </c>
    </row>
    <row r="868" spans="1:1" ht="13.5" customHeight="1" x14ac:dyDescent="0.25">
      <c r="A868" s="12" t="s">
        <v>813</v>
      </c>
    </row>
    <row r="869" spans="1:1" ht="13.5" customHeight="1" x14ac:dyDescent="0.25">
      <c r="A869" s="12" t="s">
        <v>814</v>
      </c>
    </row>
    <row r="870" spans="1:1" ht="13.5" customHeight="1" x14ac:dyDescent="0.25">
      <c r="A870" s="12" t="s">
        <v>815</v>
      </c>
    </row>
    <row r="871" spans="1:1" ht="13.5" customHeight="1" x14ac:dyDescent="0.25">
      <c r="A871" s="12" t="s">
        <v>816</v>
      </c>
    </row>
    <row r="872" spans="1:1" ht="13.5" customHeight="1" x14ac:dyDescent="0.25">
      <c r="A872" s="12" t="s">
        <v>817</v>
      </c>
    </row>
    <row r="873" spans="1:1" ht="13.5" customHeight="1" x14ac:dyDescent="0.25">
      <c r="A873" s="12" t="s">
        <v>818</v>
      </c>
    </row>
    <row r="874" spans="1:1" ht="13.5" customHeight="1" x14ac:dyDescent="0.25">
      <c r="A874" s="12" t="s">
        <v>819</v>
      </c>
    </row>
    <row r="875" spans="1:1" ht="13.5" customHeight="1" x14ac:dyDescent="0.25">
      <c r="A875" s="12" t="s">
        <v>820</v>
      </c>
    </row>
    <row r="876" spans="1:1" ht="13.5" customHeight="1" x14ac:dyDescent="0.25">
      <c r="A876" s="12"/>
    </row>
    <row r="877" spans="1:1" ht="13.5" customHeight="1" x14ac:dyDescent="0.25">
      <c r="A877" s="12" t="s">
        <v>821</v>
      </c>
    </row>
    <row r="878" spans="1:1" ht="13.5" customHeight="1" x14ac:dyDescent="0.25">
      <c r="A878" s="12" t="s">
        <v>822</v>
      </c>
    </row>
    <row r="879" spans="1:1" ht="13.5" customHeight="1" x14ac:dyDescent="0.25">
      <c r="A879" s="12" t="s">
        <v>823</v>
      </c>
    </row>
    <row r="880" spans="1:1" ht="13.5" customHeight="1" x14ac:dyDescent="0.25">
      <c r="A880" s="12" t="s">
        <v>824</v>
      </c>
    </row>
    <row r="881" spans="1:1" ht="13.5" customHeight="1" x14ac:dyDescent="0.25">
      <c r="A881" s="12" t="s">
        <v>825</v>
      </c>
    </row>
    <row r="882" spans="1:1" ht="13.5" customHeight="1" x14ac:dyDescent="0.25">
      <c r="A882" s="12" t="s">
        <v>826</v>
      </c>
    </row>
    <row r="883" spans="1:1" ht="13.5" customHeight="1" x14ac:dyDescent="0.25">
      <c r="A883" s="12" t="s">
        <v>827</v>
      </c>
    </row>
    <row r="884" spans="1:1" ht="13.5" customHeight="1" x14ac:dyDescent="0.25">
      <c r="A884" s="12" t="s">
        <v>828</v>
      </c>
    </row>
    <row r="885" spans="1:1" ht="13.5" customHeight="1" x14ac:dyDescent="0.25">
      <c r="A885" s="12" t="s">
        <v>829</v>
      </c>
    </row>
    <row r="886" spans="1:1" ht="13.5" customHeight="1" x14ac:dyDescent="0.25">
      <c r="A886" s="12" t="s">
        <v>830</v>
      </c>
    </row>
    <row r="887" spans="1:1" ht="13.5" customHeight="1" x14ac:dyDescent="0.25">
      <c r="A887" s="12" t="s">
        <v>831</v>
      </c>
    </row>
    <row r="888" spans="1:1" ht="13.5" customHeight="1" x14ac:dyDescent="0.25">
      <c r="A888" s="12" t="s">
        <v>832</v>
      </c>
    </row>
    <row r="889" spans="1:1" ht="13.5" customHeight="1" x14ac:dyDescent="0.25">
      <c r="A889" s="12" t="s">
        <v>833</v>
      </c>
    </row>
    <row r="890" spans="1:1" ht="13.5" customHeight="1" x14ac:dyDescent="0.25">
      <c r="A890" s="12" t="s">
        <v>834</v>
      </c>
    </row>
    <row r="891" spans="1:1" ht="13.5" customHeight="1" x14ac:dyDescent="0.25">
      <c r="A891" s="12" t="s">
        <v>835</v>
      </c>
    </row>
    <row r="892" spans="1:1" ht="13.5" customHeight="1" x14ac:dyDescent="0.25">
      <c r="A892" s="12" t="s">
        <v>836</v>
      </c>
    </row>
    <row r="893" spans="1:1" ht="13.5" customHeight="1" x14ac:dyDescent="0.25">
      <c r="A893" s="12" t="s">
        <v>837</v>
      </c>
    </row>
    <row r="894" spans="1:1" ht="13.5" customHeight="1" x14ac:dyDescent="0.25">
      <c r="A894" s="12" t="s">
        <v>426</v>
      </c>
    </row>
    <row r="895" spans="1:1" ht="13.5" customHeight="1" x14ac:dyDescent="0.25">
      <c r="A895" s="12" t="s">
        <v>838</v>
      </c>
    </row>
    <row r="896" spans="1:1" ht="13.5" customHeight="1" x14ac:dyDescent="0.25">
      <c r="A896" s="12" t="s">
        <v>839</v>
      </c>
    </row>
    <row r="897" spans="1:1" ht="13.5" customHeight="1" x14ac:dyDescent="0.25">
      <c r="A897" s="12" t="s">
        <v>840</v>
      </c>
    </row>
    <row r="898" spans="1:1" ht="13.5" customHeight="1" x14ac:dyDescent="0.25">
      <c r="A898" s="12" t="s">
        <v>841</v>
      </c>
    </row>
    <row r="899" spans="1:1" ht="13.5" customHeight="1" x14ac:dyDescent="0.25">
      <c r="A899" s="12" t="s">
        <v>842</v>
      </c>
    </row>
    <row r="900" spans="1:1" ht="13.5" customHeight="1" x14ac:dyDescent="0.25">
      <c r="A900" s="12" t="s">
        <v>843</v>
      </c>
    </row>
    <row r="901" spans="1:1" ht="13.5" customHeight="1" x14ac:dyDescent="0.25">
      <c r="A901" s="12" t="s">
        <v>844</v>
      </c>
    </row>
    <row r="902" spans="1:1" ht="13.5" customHeight="1" x14ac:dyDescent="0.25">
      <c r="A902" s="12" t="s">
        <v>424</v>
      </c>
    </row>
    <row r="903" spans="1:1" ht="13.5" customHeight="1" x14ac:dyDescent="0.25">
      <c r="A903" s="12" t="s">
        <v>426</v>
      </c>
    </row>
    <row r="904" spans="1:1" ht="13.5" customHeight="1" x14ac:dyDescent="0.25">
      <c r="A904" s="12" t="s">
        <v>805</v>
      </c>
    </row>
    <row r="905" spans="1:1" ht="13.5" customHeight="1" x14ac:dyDescent="0.25">
      <c r="A905" s="12" t="s">
        <v>845</v>
      </c>
    </row>
    <row r="906" spans="1:1" ht="13.5" customHeight="1" x14ac:dyDescent="0.25">
      <c r="A906" s="12" t="s">
        <v>846</v>
      </c>
    </row>
    <row r="907" spans="1:1" ht="13.5" customHeight="1" x14ac:dyDescent="0.25">
      <c r="A907" s="12" t="s">
        <v>847</v>
      </c>
    </row>
    <row r="908" spans="1:1" ht="13.5" customHeight="1" x14ac:dyDescent="0.25">
      <c r="A908" s="12" t="s">
        <v>426</v>
      </c>
    </row>
    <row r="909" spans="1:1" ht="13.5" customHeight="1" x14ac:dyDescent="0.25">
      <c r="A909" s="12" t="s">
        <v>478</v>
      </c>
    </row>
    <row r="910" spans="1:1" ht="13.5" customHeight="1" x14ac:dyDescent="0.25">
      <c r="A910" s="12" t="s">
        <v>429</v>
      </c>
    </row>
    <row r="911" spans="1:1" ht="13.5" customHeight="1" x14ac:dyDescent="0.25">
      <c r="A911" s="12"/>
    </row>
    <row r="912" spans="1:1" ht="13.5" customHeight="1" x14ac:dyDescent="0.25">
      <c r="A912" s="12" t="s">
        <v>848</v>
      </c>
    </row>
    <row r="913" spans="1:1" ht="13.5" customHeight="1" x14ac:dyDescent="0.25">
      <c r="A913" s="12" t="s">
        <v>849</v>
      </c>
    </row>
    <row r="914" spans="1:1" ht="13.5" customHeight="1" x14ac:dyDescent="0.25">
      <c r="A914" s="12" t="s">
        <v>850</v>
      </c>
    </row>
    <row r="915" spans="1:1" ht="13.5" customHeight="1" x14ac:dyDescent="0.25">
      <c r="A915" s="12" t="s">
        <v>851</v>
      </c>
    </row>
    <row r="916" spans="1:1" ht="13.5" customHeight="1" x14ac:dyDescent="0.25">
      <c r="A916" s="12" t="s">
        <v>852</v>
      </c>
    </row>
    <row r="917" spans="1:1" ht="13.5" customHeight="1" x14ac:dyDescent="0.25">
      <c r="A917" s="12" t="s">
        <v>853</v>
      </c>
    </row>
    <row r="918" spans="1:1" ht="13.5" customHeight="1" x14ac:dyDescent="0.25">
      <c r="A918" s="12" t="s">
        <v>854</v>
      </c>
    </row>
    <row r="919" spans="1:1" ht="13.5" customHeight="1" x14ac:dyDescent="0.25">
      <c r="A919" s="12" t="s">
        <v>855</v>
      </c>
    </row>
    <row r="920" spans="1:1" ht="13.5" customHeight="1" x14ac:dyDescent="0.25">
      <c r="A920" s="12" t="s">
        <v>856</v>
      </c>
    </row>
    <row r="921" spans="1:1" ht="13.5" customHeight="1" x14ac:dyDescent="0.25">
      <c r="A921" s="12" t="s">
        <v>857</v>
      </c>
    </row>
    <row r="922" spans="1:1" ht="13.5" customHeight="1" x14ac:dyDescent="0.25">
      <c r="A922" s="12" t="s">
        <v>858</v>
      </c>
    </row>
    <row r="923" spans="1:1" ht="13.5" customHeight="1" x14ac:dyDescent="0.25">
      <c r="A923" s="12" t="s">
        <v>859</v>
      </c>
    </row>
    <row r="924" spans="1:1" ht="13.5" customHeight="1" x14ac:dyDescent="0.25">
      <c r="A924" s="12" t="s">
        <v>860</v>
      </c>
    </row>
    <row r="925" spans="1:1" ht="13.5" customHeight="1" x14ac:dyDescent="0.25">
      <c r="A925" s="12" t="s">
        <v>478</v>
      </c>
    </row>
    <row r="926" spans="1:1" ht="13.5" customHeight="1" x14ac:dyDescent="0.25">
      <c r="A926" s="12" t="s">
        <v>429</v>
      </c>
    </row>
    <row r="927" spans="1:1" ht="13.5" customHeight="1" x14ac:dyDescent="0.25">
      <c r="A927" s="12"/>
    </row>
    <row r="928" spans="1:1" ht="13.5" customHeight="1" x14ac:dyDescent="0.25">
      <c r="A928" s="12" t="s">
        <v>861</v>
      </c>
    </row>
    <row r="929" spans="1:1" ht="13.5" customHeight="1" x14ac:dyDescent="0.25">
      <c r="A929" s="12" t="s">
        <v>862</v>
      </c>
    </row>
    <row r="930" spans="1:1" ht="13.5" customHeight="1" x14ac:dyDescent="0.25">
      <c r="A930" s="12" t="s">
        <v>863</v>
      </c>
    </row>
    <row r="931" spans="1:1" ht="13.5" customHeight="1" x14ac:dyDescent="0.25">
      <c r="A931" s="12" t="s">
        <v>864</v>
      </c>
    </row>
    <row r="932" spans="1:1" ht="13.5" customHeight="1" x14ac:dyDescent="0.25">
      <c r="A932" s="12" t="s">
        <v>865</v>
      </c>
    </row>
    <row r="933" spans="1:1" ht="13.5" customHeight="1" x14ac:dyDescent="0.25">
      <c r="A933" s="12" t="s">
        <v>866</v>
      </c>
    </row>
    <row r="934" spans="1:1" ht="13.5" customHeight="1" x14ac:dyDescent="0.25">
      <c r="A934" s="12" t="s">
        <v>867</v>
      </c>
    </row>
    <row r="935" spans="1:1" ht="13.5" customHeight="1" x14ac:dyDescent="0.25">
      <c r="A935" s="12" t="s">
        <v>868</v>
      </c>
    </row>
    <row r="936" spans="1:1" ht="13.5" customHeight="1" x14ac:dyDescent="0.25">
      <c r="A936" s="12" t="s">
        <v>869</v>
      </c>
    </row>
    <row r="937" spans="1:1" ht="13.5" customHeight="1" x14ac:dyDescent="0.25">
      <c r="A937" s="12"/>
    </row>
    <row r="938" spans="1:1" ht="13.5" customHeight="1" x14ac:dyDescent="0.25">
      <c r="A938" s="12" t="s">
        <v>870</v>
      </c>
    </row>
    <row r="939" spans="1:1" ht="13.5" customHeight="1" x14ac:dyDescent="0.25">
      <c r="A939" s="12" t="s">
        <v>871</v>
      </c>
    </row>
    <row r="940" spans="1:1" ht="13.5" customHeight="1" x14ac:dyDescent="0.25">
      <c r="A940" s="12" t="s">
        <v>872</v>
      </c>
    </row>
    <row r="941" spans="1:1" ht="13.5" customHeight="1" x14ac:dyDescent="0.25">
      <c r="A941" s="12" t="s">
        <v>873</v>
      </c>
    </row>
    <row r="942" spans="1:1" ht="13.5" customHeight="1" x14ac:dyDescent="0.25">
      <c r="A942" s="12" t="s">
        <v>874</v>
      </c>
    </row>
    <row r="943" spans="1:1" ht="13.5" customHeight="1" x14ac:dyDescent="0.25">
      <c r="A943" s="12" t="s">
        <v>875</v>
      </c>
    </row>
    <row r="944" spans="1:1" ht="13.5" customHeight="1" x14ac:dyDescent="0.25">
      <c r="A944" s="12" t="s">
        <v>876</v>
      </c>
    </row>
    <row r="945" spans="1:1" ht="13.5" customHeight="1" x14ac:dyDescent="0.25">
      <c r="A945" s="12" t="s">
        <v>877</v>
      </c>
    </row>
    <row r="946" spans="1:1" ht="13.5" customHeight="1" x14ac:dyDescent="0.25">
      <c r="A946" s="12" t="s">
        <v>878</v>
      </c>
    </row>
    <row r="947" spans="1:1" ht="13.5" customHeight="1" x14ac:dyDescent="0.25">
      <c r="A947" s="12" t="s">
        <v>478</v>
      </c>
    </row>
    <row r="948" spans="1:1" ht="13.5" customHeight="1" x14ac:dyDescent="0.25">
      <c r="A948" s="12" t="s">
        <v>555</v>
      </c>
    </row>
    <row r="949" spans="1:1" ht="13.5" customHeight="1" x14ac:dyDescent="0.25">
      <c r="A949" s="12" t="s">
        <v>879</v>
      </c>
    </row>
    <row r="950" spans="1:1" ht="13.5" customHeight="1" x14ac:dyDescent="0.25">
      <c r="A950" s="12" t="s">
        <v>429</v>
      </c>
    </row>
    <row r="951" spans="1:1" ht="13.5" customHeight="1" x14ac:dyDescent="0.25">
      <c r="A951" s="12"/>
    </row>
    <row r="952" spans="1:1" ht="13.5" customHeight="1" x14ac:dyDescent="0.25">
      <c r="A952" s="12" t="s">
        <v>880</v>
      </c>
    </row>
    <row r="953" spans="1:1" ht="13.5" customHeight="1" x14ac:dyDescent="0.25">
      <c r="A953" s="12" t="s">
        <v>881</v>
      </c>
    </row>
    <row r="954" spans="1:1" ht="13.5" customHeight="1" x14ac:dyDescent="0.25">
      <c r="A954" s="12" t="s">
        <v>882</v>
      </c>
    </row>
    <row r="955" spans="1:1" ht="13.5" customHeight="1" x14ac:dyDescent="0.25">
      <c r="A955" s="12" t="s">
        <v>883</v>
      </c>
    </row>
    <row r="956" spans="1:1" ht="13.5" customHeight="1" x14ac:dyDescent="0.25">
      <c r="A956" s="12"/>
    </row>
    <row r="957" spans="1:1" ht="13.5" customHeight="1" x14ac:dyDescent="0.25">
      <c r="A957" s="12" t="s">
        <v>884</v>
      </c>
    </row>
    <row r="958" spans="1:1" ht="13.5" customHeight="1" x14ac:dyDescent="0.25">
      <c r="A958" s="12" t="s">
        <v>885</v>
      </c>
    </row>
    <row r="959" spans="1:1" ht="13.5" customHeight="1" x14ac:dyDescent="0.25">
      <c r="A959" s="12" t="s">
        <v>886</v>
      </c>
    </row>
    <row r="960" spans="1:1" ht="13.5" customHeight="1" x14ac:dyDescent="0.25">
      <c r="A960" s="12" t="s">
        <v>887</v>
      </c>
    </row>
    <row r="961" spans="1:1" ht="13.5" customHeight="1" x14ac:dyDescent="0.25">
      <c r="A961" s="12" t="s">
        <v>429</v>
      </c>
    </row>
    <row r="962" spans="1:1" ht="13.5" customHeight="1" x14ac:dyDescent="0.25">
      <c r="A962" s="12"/>
    </row>
    <row r="963" spans="1:1" ht="13.5" customHeight="1" x14ac:dyDescent="0.25">
      <c r="A963" s="12" t="s">
        <v>888</v>
      </c>
    </row>
    <row r="964" spans="1:1" ht="13.5" customHeight="1" x14ac:dyDescent="0.25">
      <c r="A964" s="12" t="s">
        <v>889</v>
      </c>
    </row>
    <row r="965" spans="1:1" ht="13.5" customHeight="1" x14ac:dyDescent="0.25">
      <c r="A965" s="12" t="s">
        <v>890</v>
      </c>
    </row>
    <row r="966" spans="1:1" ht="13.5" customHeight="1" x14ac:dyDescent="0.25">
      <c r="A966" s="12" t="s">
        <v>891</v>
      </c>
    </row>
    <row r="967" spans="1:1" ht="13.5" customHeight="1" x14ac:dyDescent="0.25">
      <c r="A967" s="12" t="s">
        <v>892</v>
      </c>
    </row>
    <row r="968" spans="1:1" ht="13.5" customHeight="1" x14ac:dyDescent="0.25">
      <c r="A968" s="12" t="s">
        <v>893</v>
      </c>
    </row>
    <row r="969" spans="1:1" ht="13.5" customHeight="1" x14ac:dyDescent="0.25">
      <c r="A969" s="12" t="s">
        <v>894</v>
      </c>
    </row>
    <row r="970" spans="1:1" ht="13.5" customHeight="1" x14ac:dyDescent="0.25">
      <c r="A970" s="12" t="s">
        <v>895</v>
      </c>
    </row>
    <row r="971" spans="1:1" ht="13.5" customHeight="1" x14ac:dyDescent="0.25">
      <c r="A971" s="12" t="s">
        <v>896</v>
      </c>
    </row>
    <row r="972" spans="1:1" ht="13.5" customHeight="1" x14ac:dyDescent="0.25">
      <c r="A972" s="12" t="s">
        <v>897</v>
      </c>
    </row>
    <row r="973" spans="1:1" ht="13.5" customHeight="1" x14ac:dyDescent="0.25">
      <c r="A973" s="12" t="s">
        <v>512</v>
      </c>
    </row>
    <row r="974" spans="1:1" ht="13.5" customHeight="1" x14ac:dyDescent="0.25">
      <c r="A974" s="12" t="s">
        <v>898</v>
      </c>
    </row>
    <row r="975" spans="1:1" ht="13.5" customHeight="1" x14ac:dyDescent="0.25">
      <c r="A975" s="12" t="s">
        <v>514</v>
      </c>
    </row>
    <row r="976" spans="1:1" ht="13.5" customHeight="1" x14ac:dyDescent="0.25">
      <c r="A976" s="12" t="s">
        <v>493</v>
      </c>
    </row>
    <row r="977" spans="1:1" ht="13.5" customHeight="1" x14ac:dyDescent="0.25">
      <c r="A977" s="12"/>
    </row>
    <row r="978" spans="1:1" ht="13.5" customHeight="1" x14ac:dyDescent="0.25">
      <c r="A978" s="12" t="s">
        <v>899</v>
      </c>
    </row>
    <row r="979" spans="1:1" ht="13.5" customHeight="1" x14ac:dyDescent="0.25">
      <c r="A979" s="12" t="s">
        <v>900</v>
      </c>
    </row>
    <row r="980" spans="1:1" ht="13.5" customHeight="1" x14ac:dyDescent="0.25">
      <c r="A980" s="12" t="s">
        <v>901</v>
      </c>
    </row>
    <row r="981" spans="1:1" ht="13.5" customHeight="1" x14ac:dyDescent="0.25">
      <c r="A981" s="12" t="s">
        <v>902</v>
      </c>
    </row>
    <row r="982" spans="1:1" ht="13.5" customHeight="1" x14ac:dyDescent="0.25">
      <c r="A982" s="12" t="s">
        <v>903</v>
      </c>
    </row>
    <row r="983" spans="1:1" ht="13.5" customHeight="1" x14ac:dyDescent="0.25">
      <c r="A983" s="12" t="s">
        <v>904</v>
      </c>
    </row>
    <row r="984" spans="1:1" ht="13.5" customHeight="1" x14ac:dyDescent="0.25">
      <c r="A984" s="12" t="s">
        <v>905</v>
      </c>
    </row>
    <row r="985" spans="1:1" ht="13.5" customHeight="1" x14ac:dyDescent="0.25">
      <c r="A985" s="12" t="s">
        <v>906</v>
      </c>
    </row>
    <row r="986" spans="1:1" ht="13.5" customHeight="1" x14ac:dyDescent="0.25">
      <c r="A986" s="12" t="s">
        <v>907</v>
      </c>
    </row>
    <row r="987" spans="1:1" ht="13.5" customHeight="1" x14ac:dyDescent="0.25">
      <c r="A987" s="12"/>
    </row>
    <row r="988" spans="1:1" ht="13.5" customHeight="1" x14ac:dyDescent="0.25">
      <c r="A988" s="12" t="s">
        <v>867</v>
      </c>
    </row>
    <row r="989" spans="1:1" ht="13.5" customHeight="1" x14ac:dyDescent="0.25">
      <c r="A989" s="12" t="s">
        <v>908</v>
      </c>
    </row>
    <row r="990" spans="1:1" ht="13.5" customHeight="1" x14ac:dyDescent="0.25">
      <c r="A990" s="12"/>
    </row>
    <row r="991" spans="1:1" ht="13.5" customHeight="1" x14ac:dyDescent="0.25">
      <c r="A991" s="12" t="s">
        <v>909</v>
      </c>
    </row>
    <row r="992" spans="1:1" ht="13.5" customHeight="1" x14ac:dyDescent="0.25">
      <c r="A992" s="12" t="s">
        <v>910</v>
      </c>
    </row>
    <row r="993" spans="1:1" ht="13.5" customHeight="1" x14ac:dyDescent="0.25">
      <c r="A993" s="12" t="s">
        <v>911</v>
      </c>
    </row>
    <row r="994" spans="1:1" ht="13.5" customHeight="1" x14ac:dyDescent="0.25">
      <c r="A994" s="12" t="s">
        <v>912</v>
      </c>
    </row>
    <row r="995" spans="1:1" ht="13.5" customHeight="1" x14ac:dyDescent="0.25">
      <c r="A995" s="12" t="s">
        <v>913</v>
      </c>
    </row>
    <row r="996" spans="1:1" ht="13.5" customHeight="1" x14ac:dyDescent="0.25">
      <c r="A996" s="12" t="s">
        <v>914</v>
      </c>
    </row>
    <row r="997" spans="1:1" ht="13.5" customHeight="1" x14ac:dyDescent="0.25">
      <c r="A997" s="12" t="s">
        <v>915</v>
      </c>
    </row>
    <row r="998" spans="1:1" ht="13.5" customHeight="1" x14ac:dyDescent="0.25">
      <c r="A998" s="12" t="s">
        <v>916</v>
      </c>
    </row>
    <row r="999" spans="1:1" ht="13.5" customHeight="1" x14ac:dyDescent="0.25">
      <c r="A999" s="12" t="s">
        <v>478</v>
      </c>
    </row>
    <row r="1000" spans="1:1" ht="13.5" customHeight="1" x14ac:dyDescent="0.25">
      <c r="A1000" s="12" t="s">
        <v>429</v>
      </c>
    </row>
    <row r="1001" spans="1:1" ht="13.5" customHeight="1" x14ac:dyDescent="0.25">
      <c r="A1001" s="12" t="s">
        <v>493</v>
      </c>
    </row>
    <row r="1002" spans="1:1" ht="13.5" customHeight="1" x14ac:dyDescent="0.25">
      <c r="A1002" s="12"/>
    </row>
    <row r="1003" spans="1:1" ht="13.5" customHeight="1" x14ac:dyDescent="0.25">
      <c r="A1003" s="12" t="s">
        <v>917</v>
      </c>
    </row>
    <row r="1004" spans="1:1" ht="13.5" customHeight="1" x14ac:dyDescent="0.25">
      <c r="A1004" s="12" t="s">
        <v>918</v>
      </c>
    </row>
    <row r="1005" spans="1:1" ht="13.5" customHeight="1" x14ac:dyDescent="0.25">
      <c r="A1005" s="12" t="s">
        <v>919</v>
      </c>
    </row>
    <row r="1006" spans="1:1" ht="13.5" customHeight="1" x14ac:dyDescent="0.25">
      <c r="A1006" s="12" t="s">
        <v>920</v>
      </c>
    </row>
    <row r="1007" spans="1:1" ht="13.5" customHeight="1" x14ac:dyDescent="0.25">
      <c r="A1007" s="12" t="s">
        <v>921</v>
      </c>
    </row>
    <row r="1008" spans="1:1" ht="13.5" customHeight="1" x14ac:dyDescent="0.25">
      <c r="A1008" s="12" t="s">
        <v>922</v>
      </c>
    </row>
    <row r="1009" spans="1:1" ht="13.5" customHeight="1" x14ac:dyDescent="0.25">
      <c r="A1009" s="12" t="s">
        <v>923</v>
      </c>
    </row>
    <row r="1010" spans="1:1" ht="13.5" customHeight="1" x14ac:dyDescent="0.25">
      <c r="A1010" s="12" t="s">
        <v>924</v>
      </c>
    </row>
    <row r="1011" spans="1:1" ht="13.5" customHeight="1" x14ac:dyDescent="0.25">
      <c r="A1011" s="12" t="s">
        <v>925</v>
      </c>
    </row>
    <row r="1012" spans="1:1" ht="13.5" customHeight="1" x14ac:dyDescent="0.25">
      <c r="A1012" s="12" t="s">
        <v>926</v>
      </c>
    </row>
    <row r="1013" spans="1:1" ht="13.5" customHeight="1" x14ac:dyDescent="0.25">
      <c r="A1013" s="12" t="s">
        <v>927</v>
      </c>
    </row>
    <row r="1014" spans="1:1" ht="13.5" customHeight="1" x14ac:dyDescent="0.25">
      <c r="A1014" s="12" t="s">
        <v>928</v>
      </c>
    </row>
    <row r="1015" spans="1:1" ht="13.5" customHeight="1" x14ac:dyDescent="0.25">
      <c r="A1015" s="12" t="s">
        <v>929</v>
      </c>
    </row>
    <row r="1016" spans="1:1" ht="13.5" customHeight="1" x14ac:dyDescent="0.25">
      <c r="A1016" s="12" t="s">
        <v>930</v>
      </c>
    </row>
    <row r="1017" spans="1:1" ht="13.5" customHeight="1" x14ac:dyDescent="0.25">
      <c r="A1017" s="12" t="s">
        <v>931</v>
      </c>
    </row>
    <row r="1018" spans="1:1" ht="13.5" customHeight="1" x14ac:dyDescent="0.25">
      <c r="A1018" s="12" t="s">
        <v>157</v>
      </c>
    </row>
    <row r="1019" spans="1:1" ht="13.5" customHeight="1" x14ac:dyDescent="0.25">
      <c r="A1019" s="12" t="s">
        <v>932</v>
      </c>
    </row>
    <row r="1020" spans="1:1" ht="13.5" customHeight="1" x14ac:dyDescent="0.25">
      <c r="A1020" s="12" t="s">
        <v>933</v>
      </c>
    </row>
    <row r="1021" spans="1:1" ht="13.5" customHeight="1" x14ac:dyDescent="0.25">
      <c r="A1021" s="12" t="s">
        <v>934</v>
      </c>
    </row>
    <row r="1022" spans="1:1" ht="13.5" customHeight="1" x14ac:dyDescent="0.25">
      <c r="A1022" s="12" t="s">
        <v>935</v>
      </c>
    </row>
    <row r="1023" spans="1:1" ht="13.5" customHeight="1" x14ac:dyDescent="0.25">
      <c r="A1023" s="12" t="s">
        <v>936</v>
      </c>
    </row>
    <row r="1024" spans="1:1" ht="13.5" customHeight="1" x14ac:dyDescent="0.25">
      <c r="A1024" s="12" t="s">
        <v>937</v>
      </c>
    </row>
    <row r="1025" spans="1:1" ht="13.5" customHeight="1" x14ac:dyDescent="0.25">
      <c r="A1025" s="12" t="s">
        <v>938</v>
      </c>
    </row>
    <row r="1026" spans="1:1" ht="13.5" customHeight="1" x14ac:dyDescent="0.25">
      <c r="A1026" s="12" t="s">
        <v>939</v>
      </c>
    </row>
    <row r="1027" spans="1:1" ht="13.5" customHeight="1" x14ac:dyDescent="0.25">
      <c r="A1027" s="12" t="s">
        <v>940</v>
      </c>
    </row>
    <row r="1028" spans="1:1" ht="13.5" customHeight="1" x14ac:dyDescent="0.25">
      <c r="A1028" s="12" t="s">
        <v>941</v>
      </c>
    </row>
    <row r="1029" spans="1:1" ht="13.5" customHeight="1" x14ac:dyDescent="0.25">
      <c r="A1029" s="12" t="s">
        <v>942</v>
      </c>
    </row>
    <row r="1030" spans="1:1" ht="13.5" customHeight="1" x14ac:dyDescent="0.25">
      <c r="A1030" s="12" t="s">
        <v>943</v>
      </c>
    </row>
    <row r="1031" spans="1:1" ht="13.5" customHeight="1" x14ac:dyDescent="0.25">
      <c r="A1031" s="12" t="s">
        <v>157</v>
      </c>
    </row>
    <row r="1032" spans="1:1" ht="13.5" customHeight="1" x14ac:dyDescent="0.25">
      <c r="A1032" s="12" t="s">
        <v>944</v>
      </c>
    </row>
    <row r="1033" spans="1:1" ht="13.5" customHeight="1" x14ac:dyDescent="0.25">
      <c r="A1033" s="12" t="s">
        <v>945</v>
      </c>
    </row>
    <row r="1034" spans="1:1" ht="13.5" customHeight="1" x14ac:dyDescent="0.25">
      <c r="A1034" s="12" t="s">
        <v>946</v>
      </c>
    </row>
    <row r="1035" spans="1:1" ht="13.5" customHeight="1" x14ac:dyDescent="0.25">
      <c r="A1035" s="12" t="s">
        <v>947</v>
      </c>
    </row>
    <row r="1036" spans="1:1" ht="13.5" customHeight="1" x14ac:dyDescent="0.25">
      <c r="A1036" s="12" t="s">
        <v>948</v>
      </c>
    </row>
    <row r="1037" spans="1:1" ht="13.5" customHeight="1" x14ac:dyDescent="0.25">
      <c r="A1037" s="12" t="s">
        <v>949</v>
      </c>
    </row>
    <row r="1038" spans="1:1" ht="13.5" customHeight="1" x14ac:dyDescent="0.25">
      <c r="A1038" s="12" t="s">
        <v>950</v>
      </c>
    </row>
    <row r="1039" spans="1:1" ht="13.5" customHeight="1" x14ac:dyDescent="0.25">
      <c r="A1039" s="12" t="s">
        <v>951</v>
      </c>
    </row>
    <row r="1040" spans="1:1" ht="13.5" customHeight="1" x14ac:dyDescent="0.25">
      <c r="A1040" s="12" t="s">
        <v>952</v>
      </c>
    </row>
    <row r="1041" spans="1:1" ht="13.5" customHeight="1" x14ac:dyDescent="0.25">
      <c r="A1041" s="12" t="s">
        <v>953</v>
      </c>
    </row>
    <row r="1042" spans="1:1" ht="13.5" customHeight="1" x14ac:dyDescent="0.25">
      <c r="A1042" s="12" t="s">
        <v>954</v>
      </c>
    </row>
    <row r="1043" spans="1:1" ht="13.5" customHeight="1" x14ac:dyDescent="0.25">
      <c r="A1043" s="12" t="s">
        <v>955</v>
      </c>
    </row>
    <row r="1044" spans="1:1" ht="13.5" customHeight="1" x14ac:dyDescent="0.25">
      <c r="A1044" s="12" t="s">
        <v>956</v>
      </c>
    </row>
    <row r="1045" spans="1:1" ht="13.5" customHeight="1" x14ac:dyDescent="0.25">
      <c r="A1045" s="12" t="s">
        <v>957</v>
      </c>
    </row>
    <row r="1046" spans="1:1" ht="13.5" customHeight="1" x14ac:dyDescent="0.25">
      <c r="A1046" s="12" t="s">
        <v>958</v>
      </c>
    </row>
    <row r="1047" spans="1:1" ht="13.5" customHeight="1" x14ac:dyDescent="0.25">
      <c r="A1047" s="12" t="s">
        <v>959</v>
      </c>
    </row>
    <row r="1048" spans="1:1" ht="13.5" customHeight="1" x14ac:dyDescent="0.25">
      <c r="A1048" s="12" t="s">
        <v>960</v>
      </c>
    </row>
    <row r="1049" spans="1:1" ht="13.5" customHeight="1" x14ac:dyDescent="0.25">
      <c r="A1049" s="12" t="s">
        <v>961</v>
      </c>
    </row>
    <row r="1050" spans="1:1" ht="13.5" customHeight="1" x14ac:dyDescent="0.25">
      <c r="A1050" s="12" t="s">
        <v>962</v>
      </c>
    </row>
    <row r="1051" spans="1:1" ht="13.5" customHeight="1" x14ac:dyDescent="0.25">
      <c r="A1051" s="12" t="s">
        <v>963</v>
      </c>
    </row>
    <row r="1052" spans="1:1" ht="13.5" customHeight="1" x14ac:dyDescent="0.25">
      <c r="A1052" s="12" t="s">
        <v>594</v>
      </c>
    </row>
    <row r="1053" spans="1:1" ht="13.5" customHeight="1" x14ac:dyDescent="0.25">
      <c r="A1053" s="12" t="s">
        <v>964</v>
      </c>
    </row>
    <row r="1054" spans="1:1" ht="13.5" customHeight="1" x14ac:dyDescent="0.25">
      <c r="A1054" s="12" t="s">
        <v>965</v>
      </c>
    </row>
    <row r="1055" spans="1:1" ht="13.5" customHeight="1" x14ac:dyDescent="0.25">
      <c r="A1055" s="12" t="s">
        <v>966</v>
      </c>
    </row>
    <row r="1056" spans="1:1" ht="13.5" customHeight="1" x14ac:dyDescent="0.25">
      <c r="A1056" s="12" t="s">
        <v>967</v>
      </c>
    </row>
    <row r="1057" spans="1:1" ht="13.5" customHeight="1" x14ac:dyDescent="0.25">
      <c r="A1057" s="12" t="s">
        <v>968</v>
      </c>
    </row>
    <row r="1058" spans="1:1" ht="13.5" customHeight="1" x14ac:dyDescent="0.25">
      <c r="A1058" s="12" t="s">
        <v>969</v>
      </c>
    </row>
    <row r="1059" spans="1:1" ht="13.5" customHeight="1" x14ac:dyDescent="0.25">
      <c r="A1059" s="12" t="s">
        <v>970</v>
      </c>
    </row>
    <row r="1060" spans="1:1" ht="13.5" customHeight="1" x14ac:dyDescent="0.25">
      <c r="A1060" s="12"/>
    </row>
    <row r="1061" spans="1:1" ht="13.5" customHeight="1" x14ac:dyDescent="0.25">
      <c r="A1061" s="12" t="s">
        <v>971</v>
      </c>
    </row>
    <row r="1062" spans="1:1" ht="13.5" customHeight="1" x14ac:dyDescent="0.25">
      <c r="A1062" s="12" t="s">
        <v>972</v>
      </c>
    </row>
    <row r="1063" spans="1:1" ht="13.5" customHeight="1" x14ac:dyDescent="0.25">
      <c r="A1063" s="12"/>
    </row>
    <row r="1064" spans="1:1" ht="13.5" customHeight="1" x14ac:dyDescent="0.25">
      <c r="A1064" s="12" t="s">
        <v>973</v>
      </c>
    </row>
    <row r="1065" spans="1:1" ht="13.5" customHeight="1" x14ac:dyDescent="0.25">
      <c r="A1065" s="12" t="s">
        <v>974</v>
      </c>
    </row>
    <row r="1066" spans="1:1" ht="13.5" customHeight="1" x14ac:dyDescent="0.25">
      <c r="A1066" s="12" t="s">
        <v>975</v>
      </c>
    </row>
    <row r="1067" spans="1:1" ht="13.5" customHeight="1" x14ac:dyDescent="0.25">
      <c r="A1067" s="12" t="s">
        <v>976</v>
      </c>
    </row>
    <row r="1068" spans="1:1" ht="13.5" customHeight="1" x14ac:dyDescent="0.25">
      <c r="A1068" s="12" t="s">
        <v>977</v>
      </c>
    </row>
    <row r="1069" spans="1:1" ht="13.5" customHeight="1" x14ac:dyDescent="0.25">
      <c r="A1069" s="12" t="s">
        <v>429</v>
      </c>
    </row>
    <row r="1070" spans="1:1" ht="13.5" customHeight="1" x14ac:dyDescent="0.25">
      <c r="A1070" s="12"/>
    </row>
    <row r="1071" spans="1:1" ht="13.5" customHeight="1" x14ac:dyDescent="0.25">
      <c r="A1071" s="12" t="s">
        <v>816</v>
      </c>
    </row>
    <row r="1072" spans="1:1" ht="13.5" customHeight="1" x14ac:dyDescent="0.25">
      <c r="A1072" s="12" t="s">
        <v>978</v>
      </c>
    </row>
    <row r="1073" spans="1:1" ht="13.5" customHeight="1" x14ac:dyDescent="0.25">
      <c r="A1073" s="12"/>
    </row>
    <row r="1074" spans="1:1" ht="13.5" customHeight="1" x14ac:dyDescent="0.25">
      <c r="A1074" s="12" t="s">
        <v>979</v>
      </c>
    </row>
    <row r="1075" spans="1:1" ht="13.5" customHeight="1" x14ac:dyDescent="0.25">
      <c r="A1075" s="12" t="s">
        <v>980</v>
      </c>
    </row>
    <row r="1076" spans="1:1" ht="13.5" customHeight="1" x14ac:dyDescent="0.25">
      <c r="A1076" s="12" t="s">
        <v>981</v>
      </c>
    </row>
    <row r="1077" spans="1:1" ht="13.5" customHeight="1" x14ac:dyDescent="0.25">
      <c r="A1077" s="12" t="s">
        <v>982</v>
      </c>
    </row>
    <row r="1078" spans="1:1" ht="13.5" customHeight="1" x14ac:dyDescent="0.25">
      <c r="A1078" s="12" t="s">
        <v>983</v>
      </c>
    </row>
    <row r="1079" spans="1:1" ht="13.5" customHeight="1" x14ac:dyDescent="0.25">
      <c r="A1079" s="12" t="s">
        <v>984</v>
      </c>
    </row>
    <row r="1080" spans="1:1" ht="13.5" customHeight="1" x14ac:dyDescent="0.25">
      <c r="A1080" s="12" t="s">
        <v>805</v>
      </c>
    </row>
    <row r="1081" spans="1:1" ht="13.5" customHeight="1" x14ac:dyDescent="0.25">
      <c r="A1081" s="12" t="s">
        <v>985</v>
      </c>
    </row>
    <row r="1082" spans="1:1" ht="13.5" customHeight="1" x14ac:dyDescent="0.25">
      <c r="A1082" s="12" t="s">
        <v>986</v>
      </c>
    </row>
    <row r="1083" spans="1:1" ht="13.5" customHeight="1" x14ac:dyDescent="0.25">
      <c r="A1083" s="12" t="s">
        <v>987</v>
      </c>
    </row>
    <row r="1084" spans="1:1" ht="13.5" customHeight="1" x14ac:dyDescent="0.25">
      <c r="A1084" s="12" t="s">
        <v>988</v>
      </c>
    </row>
    <row r="1085" spans="1:1" ht="13.5" customHeight="1" x14ac:dyDescent="0.25">
      <c r="A1085" s="12" t="s">
        <v>989</v>
      </c>
    </row>
    <row r="1086" spans="1:1" ht="13.5" customHeight="1" x14ac:dyDescent="0.25">
      <c r="A1086" s="12" t="s">
        <v>990</v>
      </c>
    </row>
    <row r="1087" spans="1:1" ht="13.5" customHeight="1" x14ac:dyDescent="0.25">
      <c r="A1087" s="12" t="s">
        <v>991</v>
      </c>
    </row>
    <row r="1088" spans="1:1" ht="13.5" customHeight="1" x14ac:dyDescent="0.25">
      <c r="A1088" s="12" t="s">
        <v>426</v>
      </c>
    </row>
    <row r="1089" spans="1:1" ht="13.5" customHeight="1" x14ac:dyDescent="0.25">
      <c r="A1089" s="12" t="s">
        <v>478</v>
      </c>
    </row>
    <row r="1090" spans="1:1" ht="13.5" customHeight="1" x14ac:dyDescent="0.25">
      <c r="A1090" s="12" t="s">
        <v>429</v>
      </c>
    </row>
    <row r="1091" spans="1:1" ht="13.5" customHeight="1" x14ac:dyDescent="0.25">
      <c r="A1091" s="12"/>
    </row>
    <row r="1092" spans="1:1" ht="13.5" customHeight="1" x14ac:dyDescent="0.25">
      <c r="A1092" s="12" t="s">
        <v>992</v>
      </c>
    </row>
    <row r="1093" spans="1:1" ht="13.5" customHeight="1" x14ac:dyDescent="0.25">
      <c r="A1093" s="12" t="s">
        <v>993</v>
      </c>
    </row>
    <row r="1094" spans="1:1" ht="13.5" customHeight="1" x14ac:dyDescent="0.25">
      <c r="A1094" s="12" t="s">
        <v>914</v>
      </c>
    </row>
    <row r="1095" spans="1:1" ht="13.5" customHeight="1" x14ac:dyDescent="0.25">
      <c r="A1095" s="12" t="s">
        <v>429</v>
      </c>
    </row>
    <row r="1096" spans="1:1" ht="13.5" customHeight="1" x14ac:dyDescent="0.25">
      <c r="A1096" s="12" t="s">
        <v>512</v>
      </c>
    </row>
    <row r="1097" spans="1:1" ht="13.5" customHeight="1" x14ac:dyDescent="0.25">
      <c r="A1097" s="12" t="s">
        <v>994</v>
      </c>
    </row>
    <row r="1098" spans="1:1" ht="13.5" customHeight="1" x14ac:dyDescent="0.25">
      <c r="A1098" s="12" t="s">
        <v>514</v>
      </c>
    </row>
    <row r="1099" spans="1:1" ht="13.5" customHeight="1" x14ac:dyDescent="0.25">
      <c r="A1099" s="12" t="s">
        <v>493</v>
      </c>
    </row>
    <row r="1100" spans="1:1" ht="13.5" customHeight="1" x14ac:dyDescent="0.25">
      <c r="A1100" s="12"/>
    </row>
    <row r="1101" spans="1:1" ht="13.5" customHeight="1" x14ac:dyDescent="0.25">
      <c r="A1101" s="12" t="s">
        <v>995</v>
      </c>
    </row>
    <row r="1102" spans="1:1" ht="13.5" customHeight="1" x14ac:dyDescent="0.25">
      <c r="A1102" s="12" t="s">
        <v>996</v>
      </c>
    </row>
    <row r="1103" spans="1:1" ht="13.5" customHeight="1" x14ac:dyDescent="0.25">
      <c r="A1103" s="12" t="s">
        <v>997</v>
      </c>
    </row>
    <row r="1104" spans="1:1" ht="13.5" customHeight="1" x14ac:dyDescent="0.25">
      <c r="A1104" s="12" t="s">
        <v>998</v>
      </c>
    </row>
    <row r="1105" spans="1:1" ht="13.5" customHeight="1" x14ac:dyDescent="0.25">
      <c r="A1105" s="12" t="s">
        <v>999</v>
      </c>
    </row>
    <row r="1106" spans="1:1" ht="13.5" customHeight="1" x14ac:dyDescent="0.25">
      <c r="A1106" s="12" t="s">
        <v>1000</v>
      </c>
    </row>
    <row r="1107" spans="1:1" ht="13.5" customHeight="1" x14ac:dyDescent="0.25">
      <c r="A1107" s="12" t="s">
        <v>1001</v>
      </c>
    </row>
    <row r="1108" spans="1:1" ht="13.5" customHeight="1" x14ac:dyDescent="0.25">
      <c r="A1108" s="12" t="s">
        <v>1002</v>
      </c>
    </row>
    <row r="1109" spans="1:1" ht="13.5" customHeight="1" x14ac:dyDescent="0.25">
      <c r="A1109" s="12" t="s">
        <v>1003</v>
      </c>
    </row>
    <row r="1110" spans="1:1" ht="13.5" customHeight="1" x14ac:dyDescent="0.25">
      <c r="A1110" s="12" t="s">
        <v>1004</v>
      </c>
    </row>
    <row r="1111" spans="1:1" ht="13.5" customHeight="1" x14ac:dyDescent="0.25">
      <c r="A1111" s="12" t="s">
        <v>1005</v>
      </c>
    </row>
    <row r="1112" spans="1:1" ht="13.5" customHeight="1" x14ac:dyDescent="0.25">
      <c r="A1112" s="12" t="s">
        <v>1006</v>
      </c>
    </row>
    <row r="1113" spans="1:1" ht="13.5" customHeight="1" x14ac:dyDescent="0.25">
      <c r="A1113" s="12" t="s">
        <v>1007</v>
      </c>
    </row>
    <row r="1114" spans="1:1" ht="13.5" customHeight="1" x14ac:dyDescent="0.25">
      <c r="A1114" s="12" t="s">
        <v>1008</v>
      </c>
    </row>
    <row r="1115" spans="1:1" ht="13.5" customHeight="1" x14ac:dyDescent="0.25">
      <c r="A1115" s="12" t="s">
        <v>1009</v>
      </c>
    </row>
    <row r="1116" spans="1:1" ht="13.5" customHeight="1" x14ac:dyDescent="0.25">
      <c r="A1116" s="12" t="s">
        <v>1010</v>
      </c>
    </row>
    <row r="1117" spans="1:1" ht="13.5" customHeight="1" x14ac:dyDescent="0.25">
      <c r="A1117" s="12" t="s">
        <v>1011</v>
      </c>
    </row>
    <row r="1118" spans="1:1" ht="13.5" customHeight="1" x14ac:dyDescent="0.25">
      <c r="A1118" s="12" t="s">
        <v>1012</v>
      </c>
    </row>
    <row r="1119" spans="1:1" ht="13.5" customHeight="1" x14ac:dyDescent="0.25">
      <c r="A1119" s="12" t="s">
        <v>1013</v>
      </c>
    </row>
    <row r="1120" spans="1:1" ht="13.5" customHeight="1" x14ac:dyDescent="0.25">
      <c r="A1120" s="12" t="s">
        <v>1014</v>
      </c>
    </row>
    <row r="1121" spans="1:1" ht="13.5" customHeight="1" x14ac:dyDescent="0.25">
      <c r="A1121" s="12" t="s">
        <v>1015</v>
      </c>
    </row>
    <row r="1122" spans="1:1" ht="13.5" customHeight="1" x14ac:dyDescent="0.25">
      <c r="A1122" s="12" t="s">
        <v>1016</v>
      </c>
    </row>
    <row r="1123" spans="1:1" ht="13.5" customHeight="1" x14ac:dyDescent="0.25">
      <c r="A1123" s="12" t="s">
        <v>1017</v>
      </c>
    </row>
    <row r="1124" spans="1:1" ht="13.5" customHeight="1" x14ac:dyDescent="0.25">
      <c r="A1124" s="12" t="s">
        <v>1018</v>
      </c>
    </row>
    <row r="1125" spans="1:1" ht="13.5" customHeight="1" x14ac:dyDescent="0.25">
      <c r="A1125" s="12" t="s">
        <v>1019</v>
      </c>
    </row>
    <row r="1126" spans="1:1" ht="13.5" customHeight="1" x14ac:dyDescent="0.25">
      <c r="A1126" s="12" t="s">
        <v>506</v>
      </c>
    </row>
    <row r="1127" spans="1:1" ht="13.5" customHeight="1" x14ac:dyDescent="0.25">
      <c r="A1127" s="12" t="s">
        <v>1020</v>
      </c>
    </row>
    <row r="1128" spans="1:1" ht="13.5" customHeight="1" x14ac:dyDescent="0.25">
      <c r="A1128" s="12" t="s">
        <v>1021</v>
      </c>
    </row>
    <row r="1129" spans="1:1" ht="13.5" customHeight="1" x14ac:dyDescent="0.25">
      <c r="A1129" s="12" t="s">
        <v>1022</v>
      </c>
    </row>
    <row r="1130" spans="1:1" ht="13.5" customHeight="1" x14ac:dyDescent="0.25">
      <c r="A1130" s="12" t="s">
        <v>1023</v>
      </c>
    </row>
    <row r="1131" spans="1:1" ht="13.5" customHeight="1" x14ac:dyDescent="0.25">
      <c r="A1131" s="12" t="s">
        <v>1024</v>
      </c>
    </row>
    <row r="1132" spans="1:1" ht="13.5" customHeight="1" x14ac:dyDescent="0.25">
      <c r="A1132" s="12" t="s">
        <v>1025</v>
      </c>
    </row>
    <row r="1133" spans="1:1" ht="13.5" customHeight="1" x14ac:dyDescent="0.25">
      <c r="A1133" s="12" t="s">
        <v>1026</v>
      </c>
    </row>
    <row r="1134" spans="1:1" ht="13.5" customHeight="1" x14ac:dyDescent="0.25">
      <c r="A1134" s="12" t="s">
        <v>1027</v>
      </c>
    </row>
    <row r="1135" spans="1:1" ht="13.5" customHeight="1" x14ac:dyDescent="0.25">
      <c r="A1135" s="12" t="s">
        <v>1028</v>
      </c>
    </row>
    <row r="1136" spans="1:1" ht="13.5" customHeight="1" x14ac:dyDescent="0.25">
      <c r="A1136" s="12" t="s">
        <v>1029</v>
      </c>
    </row>
    <row r="1137" spans="1:1" ht="13.5" customHeight="1" x14ac:dyDescent="0.25">
      <c r="A1137" s="12" t="s">
        <v>1030</v>
      </c>
    </row>
    <row r="1138" spans="1:1" ht="13.5" customHeight="1" x14ac:dyDescent="0.25">
      <c r="A1138" s="12" t="s">
        <v>1031</v>
      </c>
    </row>
    <row r="1139" spans="1:1" ht="13.5" customHeight="1" x14ac:dyDescent="0.25">
      <c r="A1139" s="12"/>
    </row>
    <row r="1140" spans="1:1" ht="13.5" customHeight="1" x14ac:dyDescent="0.25">
      <c r="A1140" s="12" t="s">
        <v>909</v>
      </c>
    </row>
    <row r="1141" spans="1:1" ht="13.5" customHeight="1" x14ac:dyDescent="0.25">
      <c r="A1141" s="12" t="s">
        <v>910</v>
      </c>
    </row>
    <row r="1142" spans="1:1" ht="13.5" customHeight="1" x14ac:dyDescent="0.25">
      <c r="A1142" s="12" t="s">
        <v>1032</v>
      </c>
    </row>
    <row r="1143" spans="1:1" ht="13.5" customHeight="1" x14ac:dyDescent="0.25">
      <c r="A1143" s="12" t="s">
        <v>1033</v>
      </c>
    </row>
    <row r="1144" spans="1:1" ht="13.5" customHeight="1" x14ac:dyDescent="0.25">
      <c r="A1144" s="12" t="s">
        <v>1034</v>
      </c>
    </row>
    <row r="1145" spans="1:1" ht="13.5" customHeight="1" x14ac:dyDescent="0.25">
      <c r="A1145" s="12"/>
    </row>
    <row r="1146" spans="1:1" ht="13.5" customHeight="1" x14ac:dyDescent="0.25">
      <c r="A1146" s="12" t="s">
        <v>512</v>
      </c>
    </row>
    <row r="1147" spans="1:1" ht="13.5" customHeight="1" x14ac:dyDescent="0.25">
      <c r="A1147" s="12" t="s">
        <v>513</v>
      </c>
    </row>
    <row r="1148" spans="1:1" ht="13.5" customHeight="1" x14ac:dyDescent="0.25">
      <c r="A1148" s="12" t="s">
        <v>514</v>
      </c>
    </row>
    <row r="1149" spans="1:1" ht="13.5" customHeight="1" x14ac:dyDescent="0.25">
      <c r="A1149" s="12" t="s">
        <v>515</v>
      </c>
    </row>
    <row r="1150" spans="1:1" ht="13.5" customHeight="1" x14ac:dyDescent="0.25">
      <c r="A1150" s="12"/>
    </row>
    <row r="1151" spans="1:1" ht="13.5" customHeight="1" x14ac:dyDescent="0.25">
      <c r="A1151" s="12" t="s">
        <v>1035</v>
      </c>
    </row>
    <row r="1152" spans="1:1" ht="13.5" customHeight="1" x14ac:dyDescent="0.25">
      <c r="A1152" s="12" t="s">
        <v>1036</v>
      </c>
    </row>
    <row r="1153" spans="1:1" ht="13.5" customHeight="1" x14ac:dyDescent="0.25">
      <c r="A1153" s="12" t="s">
        <v>1037</v>
      </c>
    </row>
    <row r="1154" spans="1:1" ht="13.5" customHeight="1" x14ac:dyDescent="0.25">
      <c r="A1154" s="12" t="s">
        <v>517</v>
      </c>
    </row>
    <row r="1155" spans="1:1" ht="13.5" customHeight="1" x14ac:dyDescent="0.25">
      <c r="A1155" s="12" t="s">
        <v>1038</v>
      </c>
    </row>
    <row r="1156" spans="1:1" ht="13.5" customHeight="1" x14ac:dyDescent="0.25">
      <c r="A1156" s="12" t="s">
        <v>1039</v>
      </c>
    </row>
    <row r="1157" spans="1:1" ht="13.5" customHeight="1" x14ac:dyDescent="0.25">
      <c r="A1157" s="12" t="s">
        <v>1040</v>
      </c>
    </row>
    <row r="1158" spans="1:1" ht="13.5" customHeight="1" x14ac:dyDescent="0.25">
      <c r="A1158" s="12" t="s">
        <v>1041</v>
      </c>
    </row>
    <row r="1159" spans="1:1" ht="13.5" customHeight="1" x14ac:dyDescent="0.25">
      <c r="A1159" s="12" t="s">
        <v>1042</v>
      </c>
    </row>
    <row r="1160" spans="1:1" ht="13.5" customHeight="1" x14ac:dyDescent="0.25">
      <c r="A1160" s="12" t="s">
        <v>426</v>
      </c>
    </row>
    <row r="1161" spans="1:1" ht="13.5" customHeight="1" x14ac:dyDescent="0.25">
      <c r="A1161" s="12" t="s">
        <v>478</v>
      </c>
    </row>
    <row r="1162" spans="1:1" ht="13.5" customHeight="1" x14ac:dyDescent="0.25">
      <c r="A1162" s="12" t="s">
        <v>523</v>
      </c>
    </row>
    <row r="1163" spans="1:1" ht="13.5" customHeight="1" x14ac:dyDescent="0.25">
      <c r="A1163" s="12" t="s">
        <v>1043</v>
      </c>
    </row>
    <row r="1164" spans="1:1" ht="13.5" customHeight="1" x14ac:dyDescent="0.25">
      <c r="A1164" s="12"/>
    </row>
    <row r="1165" spans="1:1" ht="13.5" customHeight="1" x14ac:dyDescent="0.25">
      <c r="A1165" s="12" t="s">
        <v>1044</v>
      </c>
    </row>
    <row r="1166" spans="1:1" ht="13.5" customHeight="1" x14ac:dyDescent="0.25">
      <c r="A1166" s="12" t="s">
        <v>1045</v>
      </c>
    </row>
    <row r="1167" spans="1:1" ht="13.5" customHeight="1" x14ac:dyDescent="0.25">
      <c r="A1167" s="12" t="s">
        <v>1046</v>
      </c>
    </row>
    <row r="1168" spans="1:1" ht="13.5" customHeight="1" x14ac:dyDescent="0.25">
      <c r="A1168" s="12" t="s">
        <v>1047</v>
      </c>
    </row>
    <row r="1169" spans="1:1" ht="13.5" customHeight="1" x14ac:dyDescent="0.25">
      <c r="A1169" s="12" t="s">
        <v>1048</v>
      </c>
    </row>
    <row r="1170" spans="1:1" ht="13.5" customHeight="1" x14ac:dyDescent="0.25">
      <c r="A1170" s="12" t="s">
        <v>1049</v>
      </c>
    </row>
    <row r="1171" spans="1:1" ht="13.5" customHeight="1" x14ac:dyDescent="0.25">
      <c r="A1171" s="12" t="s">
        <v>1050</v>
      </c>
    </row>
    <row r="1172" spans="1:1" ht="13.5" customHeight="1" x14ac:dyDescent="0.25">
      <c r="A1172" s="12" t="s">
        <v>1051</v>
      </c>
    </row>
    <row r="1173" spans="1:1" ht="13.5" customHeight="1" x14ac:dyDescent="0.25">
      <c r="A1173" s="12" t="s">
        <v>1052</v>
      </c>
    </row>
    <row r="1174" spans="1:1" ht="13.5" customHeight="1" x14ac:dyDescent="0.25">
      <c r="A1174" s="12" t="s">
        <v>1053</v>
      </c>
    </row>
    <row r="1175" spans="1:1" ht="13.5" customHeight="1" x14ac:dyDescent="0.25">
      <c r="A1175" s="12" t="s">
        <v>1054</v>
      </c>
    </row>
    <row r="1176" spans="1:1" ht="13.5" customHeight="1" x14ac:dyDescent="0.25">
      <c r="A1176" s="12" t="s">
        <v>1055</v>
      </c>
    </row>
    <row r="1177" spans="1:1" ht="13.5" customHeight="1" x14ac:dyDescent="0.25">
      <c r="A1177" s="12" t="s">
        <v>1056</v>
      </c>
    </row>
    <row r="1178" spans="1:1" ht="13.5" customHeight="1" x14ac:dyDescent="0.25">
      <c r="A1178" s="12" t="s">
        <v>1057</v>
      </c>
    </row>
    <row r="1179" spans="1:1" ht="13.5" customHeight="1" x14ac:dyDescent="0.25">
      <c r="A1179" s="12" t="s">
        <v>1058</v>
      </c>
    </row>
    <row r="1180" spans="1:1" ht="13.5" customHeight="1" x14ac:dyDescent="0.25">
      <c r="A1180" s="12" t="s">
        <v>1059</v>
      </c>
    </row>
    <row r="1181" spans="1:1" ht="13.5" customHeight="1" x14ac:dyDescent="0.25">
      <c r="A1181" s="12" t="s">
        <v>1060</v>
      </c>
    </row>
    <row r="1182" spans="1:1" ht="13.5" customHeight="1" x14ac:dyDescent="0.25">
      <c r="A1182" s="12" t="s">
        <v>1061</v>
      </c>
    </row>
    <row r="1183" spans="1:1" ht="13.5" customHeight="1" x14ac:dyDescent="0.25">
      <c r="A1183" s="12" t="s">
        <v>1062</v>
      </c>
    </row>
    <row r="1184" spans="1:1" ht="13.5" customHeight="1" x14ac:dyDescent="0.25">
      <c r="A1184" s="12"/>
    </row>
    <row r="1185" spans="1:1" ht="13.5" customHeight="1" x14ac:dyDescent="0.25">
      <c r="A1185" s="12" t="s">
        <v>1063</v>
      </c>
    </row>
    <row r="1186" spans="1:1" ht="13.5" customHeight="1" x14ac:dyDescent="0.25">
      <c r="A1186" s="12" t="s">
        <v>1064</v>
      </c>
    </row>
    <row r="1187" spans="1:1" ht="13.5" customHeight="1" x14ac:dyDescent="0.25">
      <c r="A1187" s="12" t="s">
        <v>1065</v>
      </c>
    </row>
    <row r="1188" spans="1:1" ht="13.5" customHeight="1" x14ac:dyDescent="0.25">
      <c r="A1188" s="12" t="s">
        <v>1066</v>
      </c>
    </row>
    <row r="1189" spans="1:1" ht="13.5" customHeight="1" x14ac:dyDescent="0.25">
      <c r="A1189" s="12"/>
    </row>
    <row r="1190" spans="1:1" ht="13.5" customHeight="1" x14ac:dyDescent="0.25">
      <c r="A1190" s="12" t="s">
        <v>1067</v>
      </c>
    </row>
    <row r="1191" spans="1:1" ht="13.5" customHeight="1" x14ac:dyDescent="0.25">
      <c r="A1191" s="12" t="s">
        <v>1068</v>
      </c>
    </row>
    <row r="1192" spans="1:1" ht="13.5" customHeight="1" x14ac:dyDescent="0.25">
      <c r="A1192" s="12" t="s">
        <v>1069</v>
      </c>
    </row>
    <row r="1193" spans="1:1" ht="13.5" customHeight="1" x14ac:dyDescent="0.25">
      <c r="A1193" s="12"/>
    </row>
    <row r="1194" spans="1:1" ht="13.5" customHeight="1" x14ac:dyDescent="0.25">
      <c r="A1194" s="12" t="s">
        <v>1070</v>
      </c>
    </row>
    <row r="1195" spans="1:1" ht="13.5" customHeight="1" x14ac:dyDescent="0.25">
      <c r="A1195" s="12" t="s">
        <v>1071</v>
      </c>
    </row>
    <row r="1196" spans="1:1" ht="13.5" customHeight="1" x14ac:dyDescent="0.25">
      <c r="A1196" s="12" t="s">
        <v>1072</v>
      </c>
    </row>
    <row r="1197" spans="1:1" ht="13.5" customHeight="1" x14ac:dyDescent="0.25">
      <c r="A1197" s="12" t="s">
        <v>1073</v>
      </c>
    </row>
    <row r="1198" spans="1:1" ht="13.5" customHeight="1" x14ac:dyDescent="0.25">
      <c r="A1198" s="12" t="s">
        <v>1074</v>
      </c>
    </row>
    <row r="1199" spans="1:1" ht="13.5" customHeight="1" x14ac:dyDescent="0.25">
      <c r="A1199" s="12" t="s">
        <v>1075</v>
      </c>
    </row>
    <row r="1200" spans="1:1" ht="13.5" customHeight="1" x14ac:dyDescent="0.25">
      <c r="A1200" s="12" t="s">
        <v>1076</v>
      </c>
    </row>
    <row r="1201" spans="1:1" ht="13.5" customHeight="1" x14ac:dyDescent="0.25">
      <c r="A1201" s="12" t="s">
        <v>1077</v>
      </c>
    </row>
    <row r="1202" spans="1:1" ht="13.5" customHeight="1" x14ac:dyDescent="0.25">
      <c r="A1202" s="12" t="s">
        <v>1078</v>
      </c>
    </row>
    <row r="1203" spans="1:1" ht="13.5" customHeight="1" x14ac:dyDescent="0.25">
      <c r="A1203" s="12" t="s">
        <v>1079</v>
      </c>
    </row>
    <row r="1204" spans="1:1" ht="13.5" customHeight="1" x14ac:dyDescent="0.25">
      <c r="A1204" s="12" t="s">
        <v>1080</v>
      </c>
    </row>
    <row r="1205" spans="1:1" ht="13.5" customHeight="1" x14ac:dyDescent="0.25">
      <c r="A1205" s="12" t="s">
        <v>1081</v>
      </c>
    </row>
    <row r="1206" spans="1:1" ht="13.5" customHeight="1" x14ac:dyDescent="0.25">
      <c r="A1206" s="12" t="s">
        <v>1082</v>
      </c>
    </row>
    <row r="1207" spans="1:1" ht="13.5" customHeight="1" x14ac:dyDescent="0.25">
      <c r="A1207" s="12" t="s">
        <v>1083</v>
      </c>
    </row>
    <row r="1208" spans="1:1" ht="13.5" customHeight="1" x14ac:dyDescent="0.25">
      <c r="A1208" s="12" t="s">
        <v>1084</v>
      </c>
    </row>
    <row r="1209" spans="1:1" ht="13.5" customHeight="1" x14ac:dyDescent="0.25">
      <c r="A1209" s="12" t="s">
        <v>1085</v>
      </c>
    </row>
    <row r="1210" spans="1:1" ht="13.5" customHeight="1" x14ac:dyDescent="0.25">
      <c r="A1210" s="12" t="s">
        <v>1086</v>
      </c>
    </row>
    <row r="1211" spans="1:1" ht="13.5" customHeight="1" x14ac:dyDescent="0.25">
      <c r="A1211" s="12" t="s">
        <v>1087</v>
      </c>
    </row>
    <row r="1212" spans="1:1" ht="13.5" customHeight="1" x14ac:dyDescent="0.25">
      <c r="A1212" s="12" t="s">
        <v>1088</v>
      </c>
    </row>
    <row r="1213" spans="1:1" ht="13.5" customHeight="1" x14ac:dyDescent="0.25">
      <c r="A1213" s="12" t="s">
        <v>424</v>
      </c>
    </row>
    <row r="1214" spans="1:1" ht="13.5" customHeight="1" x14ac:dyDescent="0.25">
      <c r="A1214" s="12" t="s">
        <v>1089</v>
      </c>
    </row>
    <row r="1215" spans="1:1" ht="13.5" customHeight="1" x14ac:dyDescent="0.25">
      <c r="A1215" s="12" t="s">
        <v>478</v>
      </c>
    </row>
    <row r="1216" spans="1:1" ht="13.5" customHeight="1" x14ac:dyDescent="0.25">
      <c r="A1216" s="12" t="s">
        <v>523</v>
      </c>
    </row>
    <row r="1217" spans="1:1" ht="13.5" customHeight="1" x14ac:dyDescent="0.25">
      <c r="A1217" s="12"/>
    </row>
    <row r="1218" spans="1:1" ht="13.5" customHeight="1" x14ac:dyDescent="0.25">
      <c r="A1218" s="12" t="s">
        <v>1090</v>
      </c>
    </row>
    <row r="1219" spans="1:1" ht="13.5" customHeight="1" x14ac:dyDescent="0.25">
      <c r="A1219" s="12"/>
    </row>
    <row r="1220" spans="1:1" ht="13.5" customHeight="1" x14ac:dyDescent="0.25">
      <c r="A1220" s="12" t="s">
        <v>1091</v>
      </c>
    </row>
    <row r="1221" spans="1:1" ht="13.5" customHeight="1" x14ac:dyDescent="0.25">
      <c r="A1221" s="12" t="s">
        <v>1092</v>
      </c>
    </row>
    <row r="1222" spans="1:1" ht="13.5" customHeight="1" x14ac:dyDescent="0.25">
      <c r="A1222" s="12" t="s">
        <v>1093</v>
      </c>
    </row>
    <row r="1223" spans="1:1" ht="13.5" customHeight="1" x14ac:dyDescent="0.25">
      <c r="A1223" s="12" t="s">
        <v>1094</v>
      </c>
    </row>
    <row r="1224" spans="1:1" ht="13.5" customHeight="1" x14ac:dyDescent="0.25">
      <c r="A1224" s="12" t="s">
        <v>1055</v>
      </c>
    </row>
    <row r="1225" spans="1:1" ht="13.5" customHeight="1" x14ac:dyDescent="0.25">
      <c r="A1225" s="12" t="s">
        <v>1056</v>
      </c>
    </row>
    <row r="1226" spans="1:1" ht="13.5" customHeight="1" x14ac:dyDescent="0.25">
      <c r="A1226" s="12" t="s">
        <v>1095</v>
      </c>
    </row>
    <row r="1227" spans="1:1" ht="13.5" customHeight="1" x14ac:dyDescent="0.25">
      <c r="A1227" s="12" t="s">
        <v>1096</v>
      </c>
    </row>
    <row r="1228" spans="1:1" ht="13.5" customHeight="1" x14ac:dyDescent="0.25">
      <c r="A1228" s="12" t="s">
        <v>1097</v>
      </c>
    </row>
    <row r="1229" spans="1:1" ht="13.5" customHeight="1" x14ac:dyDescent="0.25">
      <c r="A1229" s="12" t="s">
        <v>1098</v>
      </c>
    </row>
    <row r="1230" spans="1:1" ht="13.5" customHeight="1" x14ac:dyDescent="0.25">
      <c r="A1230" s="12" t="s">
        <v>1059</v>
      </c>
    </row>
    <row r="1231" spans="1:1" ht="13.5" customHeight="1" x14ac:dyDescent="0.25">
      <c r="A1231" s="12" t="s">
        <v>1060</v>
      </c>
    </row>
    <row r="1232" spans="1:1" ht="13.5" customHeight="1" x14ac:dyDescent="0.25">
      <c r="A1232" s="12" t="s">
        <v>1099</v>
      </c>
    </row>
    <row r="1233" spans="1:1" ht="13.5" customHeight="1" x14ac:dyDescent="0.25">
      <c r="A1233" s="12" t="s">
        <v>1100</v>
      </c>
    </row>
    <row r="1234" spans="1:1" ht="13.5" customHeight="1" x14ac:dyDescent="0.25">
      <c r="A1234" s="12" t="s">
        <v>1101</v>
      </c>
    </row>
    <row r="1235" spans="1:1" ht="13.5" customHeight="1" x14ac:dyDescent="0.25">
      <c r="A1235" s="12" t="s">
        <v>1062</v>
      </c>
    </row>
    <row r="1236" spans="1:1" ht="13.5" customHeight="1" x14ac:dyDescent="0.25">
      <c r="A1236" s="12"/>
    </row>
    <row r="1237" spans="1:1" ht="13.5" customHeight="1" x14ac:dyDescent="0.25">
      <c r="A1237" s="12" t="s">
        <v>1102</v>
      </c>
    </row>
    <row r="1238" spans="1:1" ht="13.5" customHeight="1" x14ac:dyDescent="0.25">
      <c r="A1238" s="12" t="s">
        <v>1093</v>
      </c>
    </row>
    <row r="1239" spans="1:1" ht="13.5" customHeight="1" x14ac:dyDescent="0.25">
      <c r="A1239" s="12" t="s">
        <v>1103</v>
      </c>
    </row>
    <row r="1240" spans="1:1" ht="13.5" customHeight="1" x14ac:dyDescent="0.25">
      <c r="A1240" s="12" t="s">
        <v>1104</v>
      </c>
    </row>
    <row r="1241" spans="1:1" ht="13.5" customHeight="1" x14ac:dyDescent="0.25">
      <c r="A1241" s="12" t="s">
        <v>1062</v>
      </c>
    </row>
    <row r="1242" spans="1:1" ht="13.5" customHeight="1" x14ac:dyDescent="0.25">
      <c r="A1242" s="12"/>
    </row>
    <row r="1243" spans="1:1" ht="13.5" customHeight="1" x14ac:dyDescent="0.25">
      <c r="A1243" s="12" t="s">
        <v>1105</v>
      </c>
    </row>
    <row r="1244" spans="1:1" ht="13.5" customHeight="1" x14ac:dyDescent="0.25">
      <c r="A1244" s="12" t="s">
        <v>1106</v>
      </c>
    </row>
    <row r="1245" spans="1:1" ht="13.5" customHeight="1" x14ac:dyDescent="0.25">
      <c r="A1245" s="12" t="s">
        <v>1107</v>
      </c>
    </row>
    <row r="1246" spans="1:1" ht="13.5" customHeight="1" x14ac:dyDescent="0.25">
      <c r="A1246" s="12" t="s">
        <v>1062</v>
      </c>
    </row>
    <row r="1247" spans="1:1" ht="13.5" customHeight="1" x14ac:dyDescent="0.25">
      <c r="A1247" s="12" t="s">
        <v>1108</v>
      </c>
    </row>
    <row r="1248" spans="1:1" ht="13.5" customHeight="1" x14ac:dyDescent="0.25">
      <c r="A1248" s="12" t="s">
        <v>525</v>
      </c>
    </row>
    <row r="1249" spans="1:1" ht="13.5" customHeight="1" x14ac:dyDescent="0.25">
      <c r="A1249" s="12"/>
    </row>
    <row r="1250" spans="1:1" ht="13.5" customHeight="1" x14ac:dyDescent="0.25">
      <c r="A1250" s="12" t="s">
        <v>1109</v>
      </c>
    </row>
    <row r="1251" spans="1:1" ht="13.5" customHeight="1" x14ac:dyDescent="0.25">
      <c r="A1251" s="12" t="s">
        <v>1110</v>
      </c>
    </row>
    <row r="1252" spans="1:1" ht="13.5" customHeight="1" x14ac:dyDescent="0.25">
      <c r="A1252" s="12" t="s">
        <v>1111</v>
      </c>
    </row>
    <row r="1253" spans="1:1" ht="13.5" customHeight="1" x14ac:dyDescent="0.25">
      <c r="A1253" s="12" t="s">
        <v>1112</v>
      </c>
    </row>
    <row r="1254" spans="1:1" ht="13.5" customHeight="1" x14ac:dyDescent="0.25">
      <c r="A1254" s="12" t="s">
        <v>1113</v>
      </c>
    </row>
    <row r="1255" spans="1:1" ht="13.5" customHeight="1" x14ac:dyDescent="0.25">
      <c r="A1255" s="12" t="s">
        <v>1114</v>
      </c>
    </row>
    <row r="1256" spans="1:1" ht="13.5" customHeight="1" x14ac:dyDescent="0.25">
      <c r="A1256" s="12" t="s">
        <v>1115</v>
      </c>
    </row>
    <row r="1257" spans="1:1" ht="13.5" customHeight="1" x14ac:dyDescent="0.25">
      <c r="A1257" s="12" t="s">
        <v>506</v>
      </c>
    </row>
    <row r="1258" spans="1:1" ht="13.5" customHeight="1" x14ac:dyDescent="0.25">
      <c r="A1258" s="12" t="s">
        <v>507</v>
      </c>
    </row>
    <row r="1259" spans="1:1" ht="13.5" customHeight="1" x14ac:dyDescent="0.25">
      <c r="A1259" s="12" t="s">
        <v>508</v>
      </c>
    </row>
    <row r="1260" spans="1:1" ht="13.5" customHeight="1" x14ac:dyDescent="0.25">
      <c r="A1260" s="12"/>
    </row>
    <row r="1261" spans="1:1" ht="13.5" customHeight="1" x14ac:dyDescent="0.25">
      <c r="A1261" s="12" t="s">
        <v>1116</v>
      </c>
    </row>
    <row r="1262" spans="1:1" ht="13.5" customHeight="1" x14ac:dyDescent="0.25">
      <c r="A1262" s="12" t="s">
        <v>1034</v>
      </c>
    </row>
    <row r="1263" spans="1:1" ht="13.5" customHeight="1" x14ac:dyDescent="0.25">
      <c r="A1263" s="12"/>
    </row>
    <row r="1264" spans="1:1" ht="13.5" customHeight="1" x14ac:dyDescent="0.25">
      <c r="A1264" s="12" t="s">
        <v>512</v>
      </c>
    </row>
    <row r="1265" spans="1:1" ht="13.5" customHeight="1" x14ac:dyDescent="0.25">
      <c r="A1265" s="12" t="s">
        <v>513</v>
      </c>
    </row>
    <row r="1266" spans="1:1" ht="13.5" customHeight="1" x14ac:dyDescent="0.25">
      <c r="A1266" s="12" t="s">
        <v>514</v>
      </c>
    </row>
    <row r="1267" spans="1:1" ht="13.5" customHeight="1" x14ac:dyDescent="0.25">
      <c r="A1267" s="12" t="s">
        <v>515</v>
      </c>
    </row>
    <row r="1268" spans="1:1" ht="13.5" customHeight="1" x14ac:dyDescent="0.25">
      <c r="A1268" s="12"/>
    </row>
    <row r="1269" spans="1:1" ht="13.5" customHeight="1" x14ac:dyDescent="0.25">
      <c r="A1269" s="12" t="s">
        <v>1117</v>
      </c>
    </row>
    <row r="1270" spans="1:1" ht="13.5" customHeight="1" x14ac:dyDescent="0.25">
      <c r="A1270" s="12" t="s">
        <v>517</v>
      </c>
    </row>
    <row r="1271" spans="1:1" ht="13.5" customHeight="1" x14ac:dyDescent="0.25">
      <c r="A1271" s="12" t="s">
        <v>1118</v>
      </c>
    </row>
    <row r="1272" spans="1:1" ht="13.5" customHeight="1" x14ac:dyDescent="0.25">
      <c r="A1272" s="12" t="s">
        <v>1119</v>
      </c>
    </row>
    <row r="1273" spans="1:1" ht="13.5" customHeight="1" x14ac:dyDescent="0.25">
      <c r="A1273" s="12" t="s">
        <v>520</v>
      </c>
    </row>
    <row r="1274" spans="1:1" ht="13.5" customHeight="1" x14ac:dyDescent="0.25">
      <c r="A1274" s="12" t="s">
        <v>478</v>
      </c>
    </row>
    <row r="1275" spans="1:1" ht="13.5" customHeight="1" x14ac:dyDescent="0.25">
      <c r="A1275" s="12" t="s">
        <v>523</v>
      </c>
    </row>
    <row r="1276" spans="1:1" ht="13.5" customHeight="1" x14ac:dyDescent="0.25">
      <c r="A1276" s="12" t="s">
        <v>525</v>
      </c>
    </row>
    <row r="1277" spans="1:1" ht="13.5" customHeight="1" x14ac:dyDescent="0.25">
      <c r="A1277" s="12"/>
    </row>
    <row r="1278" spans="1:1" ht="13.5" customHeight="1" x14ac:dyDescent="0.25">
      <c r="A1278" s="12" t="s">
        <v>1120</v>
      </c>
    </row>
    <row r="1279" spans="1:1" ht="13.5" customHeight="1" x14ac:dyDescent="0.25">
      <c r="A1279" s="12" t="s">
        <v>1121</v>
      </c>
    </row>
    <row r="1280" spans="1:1" ht="13.5" customHeight="1" x14ac:dyDescent="0.25">
      <c r="A1280" s="12" t="s">
        <v>1122</v>
      </c>
    </row>
    <row r="1281" spans="1:1" ht="13.5" customHeight="1" x14ac:dyDescent="0.25">
      <c r="A1281" s="12" t="s">
        <v>1123</v>
      </c>
    </row>
    <row r="1282" spans="1:1" ht="13.5" customHeight="1" x14ac:dyDescent="0.25">
      <c r="A1282" s="12" t="s">
        <v>1124</v>
      </c>
    </row>
    <row r="1283" spans="1:1" ht="13.5" customHeight="1" x14ac:dyDescent="0.25">
      <c r="A1283" s="12" t="s">
        <v>1125</v>
      </c>
    </row>
    <row r="1284" spans="1:1" ht="13.5" customHeight="1" x14ac:dyDescent="0.25">
      <c r="A1284" s="12" t="s">
        <v>1126</v>
      </c>
    </row>
    <row r="1285" spans="1:1" ht="13.5" customHeight="1" x14ac:dyDescent="0.25">
      <c r="A1285" s="12"/>
    </row>
    <row r="1286" spans="1:1" ht="13.5" customHeight="1" x14ac:dyDescent="0.25">
      <c r="A1286" s="12" t="s">
        <v>1127</v>
      </c>
    </row>
    <row r="1287" spans="1:1" ht="13.5" customHeight="1" x14ac:dyDescent="0.25">
      <c r="A1287" s="12" t="s">
        <v>1128</v>
      </c>
    </row>
    <row r="1288" spans="1:1" ht="13.5" customHeight="1" x14ac:dyDescent="0.25">
      <c r="A1288" s="12" t="s">
        <v>1129</v>
      </c>
    </row>
    <row r="1289" spans="1:1" ht="13.5" customHeight="1" x14ac:dyDescent="0.25">
      <c r="A1289" s="12" t="s">
        <v>1130</v>
      </c>
    </row>
    <row r="1290" spans="1:1" ht="13.5" customHeight="1" x14ac:dyDescent="0.25">
      <c r="A1290" s="12"/>
    </row>
    <row r="1291" spans="1:1" ht="13.5" customHeight="1" x14ac:dyDescent="0.25">
      <c r="A1291" s="12" t="s">
        <v>1067</v>
      </c>
    </row>
    <row r="1292" spans="1:1" ht="13.5" customHeight="1" x14ac:dyDescent="0.25">
      <c r="A1292" s="12" t="s">
        <v>1131</v>
      </c>
    </row>
    <row r="1293" spans="1:1" ht="13.5" customHeight="1" x14ac:dyDescent="0.25">
      <c r="A1293" s="12" t="s">
        <v>1068</v>
      </c>
    </row>
    <row r="1294" spans="1:1" ht="13.5" customHeight="1" x14ac:dyDescent="0.25">
      <c r="A1294" s="12" t="s">
        <v>1132</v>
      </c>
    </row>
    <row r="1295" spans="1:1" ht="13.5" customHeight="1" x14ac:dyDescent="0.25">
      <c r="A1295" s="12"/>
    </row>
    <row r="1296" spans="1:1" ht="13.5" customHeight="1" x14ac:dyDescent="0.25">
      <c r="A1296" s="12" t="s">
        <v>1133</v>
      </c>
    </row>
    <row r="1297" spans="1:1" ht="13.5" customHeight="1" x14ac:dyDescent="0.25">
      <c r="A1297" s="12" t="s">
        <v>1134</v>
      </c>
    </row>
    <row r="1298" spans="1:1" ht="13.5" customHeight="1" x14ac:dyDescent="0.25">
      <c r="A1298" s="12" t="s">
        <v>1135</v>
      </c>
    </row>
    <row r="1299" spans="1:1" ht="13.5" customHeight="1" x14ac:dyDescent="0.25">
      <c r="A1299" s="12" t="s">
        <v>1136</v>
      </c>
    </row>
    <row r="1300" spans="1:1" ht="13.5" customHeight="1" x14ac:dyDescent="0.25">
      <c r="A1300" s="12" t="s">
        <v>429</v>
      </c>
    </row>
    <row r="1301" spans="1:1" ht="13.5" customHeight="1" x14ac:dyDescent="0.25">
      <c r="A1301" s="12" t="s">
        <v>525</v>
      </c>
    </row>
    <row r="1302" spans="1:1" ht="13.5" customHeight="1" x14ac:dyDescent="0.25">
      <c r="A1302" s="12"/>
    </row>
    <row r="1303" spans="1:1" ht="13.5" customHeight="1" x14ac:dyDescent="0.25">
      <c r="A1303" s="12" t="s">
        <v>1137</v>
      </c>
    </row>
    <row r="1304" spans="1:1" ht="13.5" customHeight="1" x14ac:dyDescent="0.25">
      <c r="A1304" s="12" t="s">
        <v>1138</v>
      </c>
    </row>
    <row r="1305" spans="1:1" ht="13.5" customHeight="1" x14ac:dyDescent="0.25">
      <c r="A1305" s="12" t="s">
        <v>1139</v>
      </c>
    </row>
    <row r="1306" spans="1:1" ht="13.5" customHeight="1" x14ac:dyDescent="0.25">
      <c r="A1306" s="12" t="s">
        <v>1140</v>
      </c>
    </row>
    <row r="1307" spans="1:1" ht="13.5" customHeight="1" x14ac:dyDescent="0.25">
      <c r="A1307" s="12" t="s">
        <v>1141</v>
      </c>
    </row>
    <row r="1308" spans="1:1" ht="13.5" customHeight="1" x14ac:dyDescent="0.25">
      <c r="A1308" s="12" t="s">
        <v>1142</v>
      </c>
    </row>
    <row r="1309" spans="1:1" ht="13.5" customHeight="1" x14ac:dyDescent="0.25">
      <c r="A1309" s="12" t="s">
        <v>1143</v>
      </c>
    </row>
    <row r="1310" spans="1:1" ht="13.5" customHeight="1" x14ac:dyDescent="0.25">
      <c r="A1310" s="12" t="s">
        <v>1144</v>
      </c>
    </row>
    <row r="1311" spans="1:1" ht="13.5" customHeight="1" x14ac:dyDescent="0.25">
      <c r="A1311" s="12" t="s">
        <v>1145</v>
      </c>
    </row>
    <row r="1312" spans="1:1" ht="13.5" customHeight="1" x14ac:dyDescent="0.25">
      <c r="A1312" s="12" t="s">
        <v>506</v>
      </c>
    </row>
    <row r="1313" spans="1:1" ht="13.5" customHeight="1" x14ac:dyDescent="0.25">
      <c r="A1313" s="12" t="s">
        <v>1020</v>
      </c>
    </row>
    <row r="1314" spans="1:1" ht="13.5" customHeight="1" x14ac:dyDescent="0.25">
      <c r="A1314" s="12" t="s">
        <v>1146</v>
      </c>
    </row>
    <row r="1315" spans="1:1" ht="13.5" customHeight="1" x14ac:dyDescent="0.25">
      <c r="A1315" s="12" t="s">
        <v>1147</v>
      </c>
    </row>
    <row r="1316" spans="1:1" ht="13.5" customHeight="1" x14ac:dyDescent="0.25">
      <c r="A1316" s="12" t="s">
        <v>1031</v>
      </c>
    </row>
    <row r="1317" spans="1:1" ht="13.5" customHeight="1" x14ac:dyDescent="0.25">
      <c r="A1317" s="12" t="s">
        <v>1148</v>
      </c>
    </row>
    <row r="1318" spans="1:1" ht="13.5" customHeight="1" x14ac:dyDescent="0.25">
      <c r="A1318" s="12" t="s">
        <v>1023</v>
      </c>
    </row>
    <row r="1319" spans="1:1" ht="13.5" customHeight="1" x14ac:dyDescent="0.25">
      <c r="A1319" s="12" t="s">
        <v>1024</v>
      </c>
    </row>
    <row r="1320" spans="1:1" ht="13.5" customHeight="1" x14ac:dyDescent="0.25">
      <c r="A1320" s="12" t="s">
        <v>1149</v>
      </c>
    </row>
    <row r="1321" spans="1:1" ht="13.5" customHeight="1" x14ac:dyDescent="0.25">
      <c r="A1321" s="12"/>
    </row>
    <row r="1322" spans="1:1" ht="13.5" customHeight="1" x14ac:dyDescent="0.25">
      <c r="A1322" s="12" t="s">
        <v>1150</v>
      </c>
    </row>
    <row r="1323" spans="1:1" ht="13.5" customHeight="1" x14ac:dyDescent="0.25">
      <c r="A1323" s="12" t="s">
        <v>1032</v>
      </c>
    </row>
    <row r="1324" spans="1:1" ht="13.5" customHeight="1" x14ac:dyDescent="0.25">
      <c r="A1324" s="12"/>
    </row>
    <row r="1325" spans="1:1" ht="13.5" customHeight="1" x14ac:dyDescent="0.25">
      <c r="A1325" s="12" t="s">
        <v>512</v>
      </c>
    </row>
    <row r="1326" spans="1:1" ht="13.5" customHeight="1" x14ac:dyDescent="0.25">
      <c r="A1326" s="12" t="s">
        <v>513</v>
      </c>
    </row>
    <row r="1327" spans="1:1" ht="13.5" customHeight="1" x14ac:dyDescent="0.25">
      <c r="A1327" s="12" t="s">
        <v>514</v>
      </c>
    </row>
    <row r="1328" spans="1:1" ht="13.5" customHeight="1" x14ac:dyDescent="0.25">
      <c r="A1328" s="12" t="s">
        <v>1151</v>
      </c>
    </row>
    <row r="1329" spans="1:1" ht="13.5" customHeight="1" x14ac:dyDescent="0.25">
      <c r="A1329" s="12" t="s">
        <v>1152</v>
      </c>
    </row>
    <row r="1330" spans="1:1" ht="13.5" customHeight="1" x14ac:dyDescent="0.25">
      <c r="A1330" s="12" t="s">
        <v>511</v>
      </c>
    </row>
    <row r="1331" spans="1:1" ht="13.5" customHeight="1" x14ac:dyDescent="0.25">
      <c r="A1331" s="12" t="s">
        <v>429</v>
      </c>
    </row>
    <row r="1332" spans="1:1" ht="13.5" customHeight="1" x14ac:dyDescent="0.25">
      <c r="A1332" s="12"/>
    </row>
    <row r="1333" spans="1:1" ht="13.5" customHeight="1" x14ac:dyDescent="0.25">
      <c r="A1333" s="12" t="s">
        <v>516</v>
      </c>
    </row>
    <row r="1334" spans="1:1" ht="13.5" customHeight="1" x14ac:dyDescent="0.25">
      <c r="A1334" s="12" t="s">
        <v>1153</v>
      </c>
    </row>
    <row r="1335" spans="1:1" ht="13.5" customHeight="1" x14ac:dyDescent="0.25">
      <c r="A1335" s="12" t="s">
        <v>1036</v>
      </c>
    </row>
    <row r="1336" spans="1:1" ht="13.5" customHeight="1" x14ac:dyDescent="0.25">
      <c r="A1336" s="12" t="s">
        <v>1037</v>
      </c>
    </row>
    <row r="1337" spans="1:1" ht="13.5" customHeight="1" x14ac:dyDescent="0.25">
      <c r="A1337" s="12"/>
    </row>
    <row r="1338" spans="1:1" ht="13.5" customHeight="1" x14ac:dyDescent="0.25">
      <c r="A1338" s="12" t="s">
        <v>1067</v>
      </c>
    </row>
    <row r="1339" spans="1:1" ht="13.5" customHeight="1" x14ac:dyDescent="0.25">
      <c r="A1339" s="12" t="s">
        <v>1068</v>
      </c>
    </row>
    <row r="1340" spans="1:1" ht="13.5" customHeight="1" x14ac:dyDescent="0.25">
      <c r="A1340" s="12" t="s">
        <v>1132</v>
      </c>
    </row>
    <row r="1341" spans="1:1" ht="13.5" customHeight="1" x14ac:dyDescent="0.25">
      <c r="A1341" s="12"/>
    </row>
    <row r="1342" spans="1:1" ht="13.5" customHeight="1" x14ac:dyDescent="0.25">
      <c r="A1342" s="12" t="s">
        <v>1154</v>
      </c>
    </row>
    <row r="1343" spans="1:1" ht="13.5" customHeight="1" x14ac:dyDescent="0.25">
      <c r="A1343" s="12" t="s">
        <v>517</v>
      </c>
    </row>
    <row r="1344" spans="1:1" ht="13.5" customHeight="1" x14ac:dyDescent="0.25">
      <c r="A1344" s="12" t="s">
        <v>1155</v>
      </c>
    </row>
    <row r="1345" spans="1:1" ht="13.5" customHeight="1" x14ac:dyDescent="0.25">
      <c r="A1345" s="12" t="s">
        <v>1156</v>
      </c>
    </row>
    <row r="1346" spans="1:1" ht="13.5" customHeight="1" x14ac:dyDescent="0.25">
      <c r="A1346" s="12" t="s">
        <v>1157</v>
      </c>
    </row>
    <row r="1347" spans="1:1" ht="13.5" customHeight="1" x14ac:dyDescent="0.25">
      <c r="A1347" s="12" t="s">
        <v>1158</v>
      </c>
    </row>
    <row r="1348" spans="1:1" ht="13.5" customHeight="1" x14ac:dyDescent="0.25">
      <c r="A1348" s="12" t="s">
        <v>1159</v>
      </c>
    </row>
    <row r="1349" spans="1:1" ht="13.5" customHeight="1" x14ac:dyDescent="0.25">
      <c r="A1349" s="12" t="s">
        <v>1160</v>
      </c>
    </row>
    <row r="1350" spans="1:1" ht="13.5" customHeight="1" x14ac:dyDescent="0.25">
      <c r="A1350" s="12" t="s">
        <v>1161</v>
      </c>
    </row>
    <row r="1351" spans="1:1" ht="13.5" customHeight="1" x14ac:dyDescent="0.25">
      <c r="A1351" s="12" t="s">
        <v>1042</v>
      </c>
    </row>
    <row r="1352" spans="1:1" ht="13.5" customHeight="1" x14ac:dyDescent="0.25">
      <c r="A1352" s="12" t="s">
        <v>426</v>
      </c>
    </row>
    <row r="1353" spans="1:1" ht="13.5" customHeight="1" x14ac:dyDescent="0.25">
      <c r="A1353" s="12" t="s">
        <v>478</v>
      </c>
    </row>
    <row r="1354" spans="1:1" ht="13.5" customHeight="1" x14ac:dyDescent="0.25">
      <c r="A1354" s="12" t="s">
        <v>523</v>
      </c>
    </row>
    <row r="1355" spans="1:1" ht="13.5" customHeight="1" x14ac:dyDescent="0.25">
      <c r="A1355" s="12"/>
    </row>
    <row r="1356" spans="1:1" ht="13.5" customHeight="1" x14ac:dyDescent="0.25">
      <c r="A1356" s="12" t="s">
        <v>1162</v>
      </c>
    </row>
    <row r="1357" spans="1:1" ht="13.5" customHeight="1" x14ac:dyDescent="0.25">
      <c r="A1357" s="12" t="s">
        <v>1163</v>
      </c>
    </row>
    <row r="1358" spans="1:1" ht="13.5" customHeight="1" x14ac:dyDescent="0.25">
      <c r="A1358" s="12" t="s">
        <v>1164</v>
      </c>
    </row>
    <row r="1359" spans="1:1" ht="13.5" customHeight="1" x14ac:dyDescent="0.25">
      <c r="A1359" s="12" t="s">
        <v>1165</v>
      </c>
    </row>
    <row r="1360" spans="1:1" ht="13.5" customHeight="1" x14ac:dyDescent="0.25">
      <c r="A1360" s="12" t="s">
        <v>1166</v>
      </c>
    </row>
    <row r="1361" spans="1:1" ht="13.5" customHeight="1" x14ac:dyDescent="0.25">
      <c r="A1361" s="12" t="s">
        <v>1167</v>
      </c>
    </row>
    <row r="1362" spans="1:1" ht="13.5" customHeight="1" x14ac:dyDescent="0.25">
      <c r="A1362" s="12" t="s">
        <v>1052</v>
      </c>
    </row>
    <row r="1363" spans="1:1" ht="13.5" customHeight="1" x14ac:dyDescent="0.25">
      <c r="A1363" s="12" t="s">
        <v>1168</v>
      </c>
    </row>
    <row r="1364" spans="1:1" ht="13.5" customHeight="1" x14ac:dyDescent="0.25">
      <c r="A1364" s="12" t="s">
        <v>1055</v>
      </c>
    </row>
    <row r="1365" spans="1:1" ht="13.5" customHeight="1" x14ac:dyDescent="0.25">
      <c r="A1365" s="12" t="s">
        <v>1056</v>
      </c>
    </row>
    <row r="1366" spans="1:1" ht="13.5" customHeight="1" x14ac:dyDescent="0.25">
      <c r="A1366" s="12" t="s">
        <v>1169</v>
      </c>
    </row>
    <row r="1367" spans="1:1" ht="13.5" customHeight="1" x14ac:dyDescent="0.25">
      <c r="A1367" s="12" t="s">
        <v>1170</v>
      </c>
    </row>
    <row r="1368" spans="1:1" ht="13.5" customHeight="1" x14ac:dyDescent="0.25">
      <c r="A1368" s="12" t="s">
        <v>1058</v>
      </c>
    </row>
    <row r="1369" spans="1:1" ht="13.5" customHeight="1" x14ac:dyDescent="0.25">
      <c r="A1369" s="12" t="s">
        <v>1059</v>
      </c>
    </row>
    <row r="1370" spans="1:1" ht="13.5" customHeight="1" x14ac:dyDescent="0.25">
      <c r="A1370" s="12" t="s">
        <v>1060</v>
      </c>
    </row>
    <row r="1371" spans="1:1" ht="13.5" customHeight="1" x14ac:dyDescent="0.25">
      <c r="A1371" s="12" t="s">
        <v>1171</v>
      </c>
    </row>
    <row r="1372" spans="1:1" ht="13.5" customHeight="1" x14ac:dyDescent="0.25">
      <c r="A1372" s="12" t="s">
        <v>1061</v>
      </c>
    </row>
    <row r="1373" spans="1:1" ht="13.5" customHeight="1" x14ac:dyDescent="0.25">
      <c r="A1373" s="12" t="s">
        <v>1062</v>
      </c>
    </row>
    <row r="1374" spans="1:1" ht="13.5" customHeight="1" x14ac:dyDescent="0.25">
      <c r="A1374" s="12"/>
    </row>
    <row r="1375" spans="1:1" ht="13.5" customHeight="1" x14ac:dyDescent="0.25">
      <c r="A1375" s="12" t="s">
        <v>1172</v>
      </c>
    </row>
    <row r="1376" spans="1:1" ht="13.5" customHeight="1" x14ac:dyDescent="0.25">
      <c r="A1376" s="12" t="s">
        <v>1173</v>
      </c>
    </row>
    <row r="1377" spans="1:1" ht="13.5" customHeight="1" x14ac:dyDescent="0.25">
      <c r="A1377" s="12" t="s">
        <v>1069</v>
      </c>
    </row>
    <row r="1378" spans="1:1" ht="13.5" customHeight="1" x14ac:dyDescent="0.25">
      <c r="A1378" s="12" t="s">
        <v>1174</v>
      </c>
    </row>
    <row r="1379" spans="1:1" ht="13.5" customHeight="1" x14ac:dyDescent="0.25">
      <c r="A1379" s="12" t="s">
        <v>1175</v>
      </c>
    </row>
    <row r="1380" spans="1:1" ht="13.5" customHeight="1" x14ac:dyDescent="0.25">
      <c r="A1380" s="12" t="s">
        <v>1176</v>
      </c>
    </row>
    <row r="1381" spans="1:1" ht="13.5" customHeight="1" x14ac:dyDescent="0.25">
      <c r="A1381" s="12" t="s">
        <v>1177</v>
      </c>
    </row>
    <row r="1382" spans="1:1" ht="13.5" customHeight="1" x14ac:dyDescent="0.25">
      <c r="A1382" s="12" t="s">
        <v>1178</v>
      </c>
    </row>
    <row r="1383" spans="1:1" ht="13.5" customHeight="1" x14ac:dyDescent="0.25">
      <c r="A1383" s="12" t="s">
        <v>1062</v>
      </c>
    </row>
    <row r="1384" spans="1:1" ht="13.5" customHeight="1" x14ac:dyDescent="0.25">
      <c r="A1384" s="12"/>
    </row>
    <row r="1385" spans="1:1" ht="13.5" customHeight="1" x14ac:dyDescent="0.25">
      <c r="A1385" s="12" t="s">
        <v>1179</v>
      </c>
    </row>
    <row r="1386" spans="1:1" ht="13.5" customHeight="1" x14ac:dyDescent="0.25">
      <c r="A1386" s="12" t="s">
        <v>525</v>
      </c>
    </row>
    <row r="1387" spans="1:1" ht="13.5" customHeight="1" x14ac:dyDescent="0.25">
      <c r="A1387" s="12"/>
    </row>
    <row r="1388" spans="1:1" ht="13.5" customHeight="1" x14ac:dyDescent="0.25">
      <c r="A1388" s="12" t="s">
        <v>1180</v>
      </c>
    </row>
    <row r="1389" spans="1:1" ht="13.5" customHeight="1" x14ac:dyDescent="0.25">
      <c r="A1389" s="12" t="s">
        <v>1181</v>
      </c>
    </row>
    <row r="1390" spans="1:1" ht="13.5" customHeight="1" x14ac:dyDescent="0.25">
      <c r="A1390" s="12" t="s">
        <v>1182</v>
      </c>
    </row>
    <row r="1391" spans="1:1" ht="13.5" customHeight="1" x14ac:dyDescent="0.25">
      <c r="A1391" s="12" t="s">
        <v>1183</v>
      </c>
    </row>
    <row r="1392" spans="1:1" ht="13.5" customHeight="1" x14ac:dyDescent="0.25">
      <c r="A1392" s="12" t="s">
        <v>1184</v>
      </c>
    </row>
    <row r="1393" spans="1:1" ht="13.5" customHeight="1" x14ac:dyDescent="0.25">
      <c r="A1393" s="12" t="s">
        <v>1185</v>
      </c>
    </row>
    <row r="1394" spans="1:1" ht="13.5" customHeight="1" x14ac:dyDescent="0.25">
      <c r="A1394" s="12" t="s">
        <v>1186</v>
      </c>
    </row>
    <row r="1395" spans="1:1" ht="13.5" customHeight="1" x14ac:dyDescent="0.25">
      <c r="A1395" s="12" t="s">
        <v>1187</v>
      </c>
    </row>
    <row r="1396" spans="1:1" ht="13.5" customHeight="1" x14ac:dyDescent="0.25">
      <c r="A1396" s="12" t="s">
        <v>1188</v>
      </c>
    </row>
    <row r="1397" spans="1:1" ht="13.5" customHeight="1" x14ac:dyDescent="0.25">
      <c r="A1397" s="12" t="s">
        <v>1189</v>
      </c>
    </row>
    <row r="1398" spans="1:1" ht="13.5" customHeight="1" x14ac:dyDescent="0.25">
      <c r="A1398" s="12" t="s">
        <v>1190</v>
      </c>
    </row>
    <row r="1399" spans="1:1" ht="13.5" customHeight="1" x14ac:dyDescent="0.25">
      <c r="A1399" s="12" t="s">
        <v>1191</v>
      </c>
    </row>
    <row r="1400" spans="1:1" ht="13.5" customHeight="1" x14ac:dyDescent="0.25">
      <c r="A1400" s="12" t="s">
        <v>1192</v>
      </c>
    </row>
    <row r="1401" spans="1:1" ht="13.5" customHeight="1" x14ac:dyDescent="0.25">
      <c r="A1401" s="12" t="s">
        <v>1193</v>
      </c>
    </row>
    <row r="1402" spans="1:1" ht="13.5" customHeight="1" x14ac:dyDescent="0.25">
      <c r="A1402" s="12" t="s">
        <v>1194</v>
      </c>
    </row>
    <row r="1403" spans="1:1" ht="13.5" customHeight="1" x14ac:dyDescent="0.25">
      <c r="A1403" s="12" t="s">
        <v>1195</v>
      </c>
    </row>
    <row r="1404" spans="1:1" ht="13.5" customHeight="1" x14ac:dyDescent="0.25">
      <c r="A1404" s="12" t="s">
        <v>1196</v>
      </c>
    </row>
    <row r="1405" spans="1:1" ht="13.5" customHeight="1" x14ac:dyDescent="0.25">
      <c r="A1405" s="12" t="s">
        <v>1197</v>
      </c>
    </row>
    <row r="1406" spans="1:1" ht="13.5" customHeight="1" x14ac:dyDescent="0.25">
      <c r="A1406" s="12" t="s">
        <v>1198</v>
      </c>
    </row>
    <row r="1407" spans="1:1" ht="13.5" customHeight="1" x14ac:dyDescent="0.25">
      <c r="A1407" s="12" t="s">
        <v>1199</v>
      </c>
    </row>
    <row r="1408" spans="1:1" ht="13.5" customHeight="1" x14ac:dyDescent="0.25">
      <c r="A1408" s="12" t="s">
        <v>1200</v>
      </c>
    </row>
    <row r="1409" spans="1:1" ht="13.5" customHeight="1" x14ac:dyDescent="0.25">
      <c r="A1409" s="12" t="s">
        <v>1201</v>
      </c>
    </row>
    <row r="1410" spans="1:1" ht="13.5" customHeight="1" x14ac:dyDescent="0.25">
      <c r="A1410" s="12" t="s">
        <v>1202</v>
      </c>
    </row>
    <row r="1411" spans="1:1" ht="13.5" customHeight="1" x14ac:dyDescent="0.25">
      <c r="A1411" s="12"/>
    </row>
    <row r="1412" spans="1:1" ht="13.5" customHeight="1" x14ac:dyDescent="0.25">
      <c r="A1412" s="12" t="s">
        <v>1203</v>
      </c>
    </row>
    <row r="1413" spans="1:1" ht="13.5" customHeight="1" x14ac:dyDescent="0.25">
      <c r="A1413" s="12" t="s">
        <v>1204</v>
      </c>
    </row>
    <row r="1414" spans="1:1" ht="13.5" customHeight="1" x14ac:dyDescent="0.25">
      <c r="A1414" s="12" t="s">
        <v>1205</v>
      </c>
    </row>
    <row r="1415" spans="1:1" ht="13.5" customHeight="1" x14ac:dyDescent="0.25">
      <c r="A1415" s="12" t="s">
        <v>1206</v>
      </c>
    </row>
    <row r="1416" spans="1:1" ht="13.5" customHeight="1" x14ac:dyDescent="0.25">
      <c r="A1416" s="12" t="s">
        <v>1207</v>
      </c>
    </row>
    <row r="1417" spans="1:1" ht="13.5" customHeight="1" x14ac:dyDescent="0.25">
      <c r="A1417" s="12" t="s">
        <v>1208</v>
      </c>
    </row>
    <row r="1418" spans="1:1" ht="13.5" customHeight="1" x14ac:dyDescent="0.25">
      <c r="A1418" s="12" t="s">
        <v>1209</v>
      </c>
    </row>
    <row r="1419" spans="1:1" ht="13.5" customHeight="1" x14ac:dyDescent="0.25">
      <c r="A1419" s="12" t="s">
        <v>1210</v>
      </c>
    </row>
    <row r="1420" spans="1:1" ht="13.5" customHeight="1" x14ac:dyDescent="0.25">
      <c r="A1420" s="12" t="s">
        <v>1211</v>
      </c>
    </row>
    <row r="1421" spans="1:1" ht="13.5" customHeight="1" x14ac:dyDescent="0.25">
      <c r="A1421" s="12" t="s">
        <v>1212</v>
      </c>
    </row>
    <row r="1422" spans="1:1" ht="13.5" customHeight="1" x14ac:dyDescent="0.25">
      <c r="A1422" s="12" t="s">
        <v>1213</v>
      </c>
    </row>
    <row r="1423" spans="1:1" ht="13.5" customHeight="1" x14ac:dyDescent="0.25">
      <c r="A1423" s="12" t="s">
        <v>478</v>
      </c>
    </row>
    <row r="1424" spans="1:1" ht="13.5" customHeight="1" x14ac:dyDescent="0.25">
      <c r="A1424" s="12" t="s">
        <v>523</v>
      </c>
    </row>
    <row r="1425" spans="1:1" ht="13.5" customHeight="1" x14ac:dyDescent="0.25">
      <c r="A1425" s="12"/>
    </row>
    <row r="1426" spans="1:1" ht="13.5" customHeight="1" x14ac:dyDescent="0.25">
      <c r="A1426" s="12" t="s">
        <v>1214</v>
      </c>
    </row>
    <row r="1427" spans="1:1" ht="13.5" customHeight="1" x14ac:dyDescent="0.25">
      <c r="A1427" s="12" t="s">
        <v>1215</v>
      </c>
    </row>
    <row r="1428" spans="1:1" ht="13.5" customHeight="1" x14ac:dyDescent="0.25">
      <c r="A1428" s="12" t="s">
        <v>511</v>
      </c>
    </row>
    <row r="1429" spans="1:1" ht="13.5" customHeight="1" x14ac:dyDescent="0.25">
      <c r="A1429" s="12" t="s">
        <v>429</v>
      </c>
    </row>
    <row r="1430" spans="1:1" ht="13.5" customHeight="1" x14ac:dyDescent="0.25">
      <c r="A1430" s="12"/>
    </row>
    <row r="1431" spans="1:1" ht="13.5" customHeight="1" x14ac:dyDescent="0.25">
      <c r="A1431" s="12" t="s">
        <v>1216</v>
      </c>
    </row>
    <row r="1432" spans="1:1" ht="13.5" customHeight="1" x14ac:dyDescent="0.25">
      <c r="A1432" s="12" t="s">
        <v>1217</v>
      </c>
    </row>
    <row r="1433" spans="1:1" ht="13.5" customHeight="1" x14ac:dyDescent="0.25">
      <c r="A1433" s="12"/>
    </row>
    <row r="1434" spans="1:1" ht="13.5" customHeight="1" x14ac:dyDescent="0.25">
      <c r="A1434" s="12" t="s">
        <v>1218</v>
      </c>
    </row>
    <row r="1435" spans="1:1" ht="13.5" customHeight="1" x14ac:dyDescent="0.25">
      <c r="A1435" s="12" t="s">
        <v>1219</v>
      </c>
    </row>
    <row r="1436" spans="1:1" ht="13.5" customHeight="1" x14ac:dyDescent="0.25">
      <c r="A1436" s="12" t="s">
        <v>1220</v>
      </c>
    </row>
    <row r="1437" spans="1:1" ht="13.5" customHeight="1" x14ac:dyDescent="0.25">
      <c r="A1437" s="12" t="s">
        <v>1221</v>
      </c>
    </row>
    <row r="1438" spans="1:1" ht="13.5" customHeight="1" x14ac:dyDescent="0.25">
      <c r="A1438" s="12" t="s">
        <v>429</v>
      </c>
    </row>
    <row r="1439" spans="1:1" ht="13.5" customHeight="1" x14ac:dyDescent="0.25">
      <c r="A1439" s="12"/>
    </row>
    <row r="1440" spans="1:1" ht="13.5" customHeight="1" x14ac:dyDescent="0.25">
      <c r="A1440" s="12" t="s">
        <v>1218</v>
      </c>
    </row>
    <row r="1441" spans="1:1" ht="13.5" customHeight="1" x14ac:dyDescent="0.25">
      <c r="A1441" s="12" t="s">
        <v>1222</v>
      </c>
    </row>
    <row r="1442" spans="1:1" ht="13.5" customHeight="1" x14ac:dyDescent="0.25">
      <c r="A1442" s="12" t="s">
        <v>1223</v>
      </c>
    </row>
    <row r="1443" spans="1:1" ht="13.5" customHeight="1" x14ac:dyDescent="0.25">
      <c r="A1443" s="12" t="s">
        <v>1224</v>
      </c>
    </row>
    <row r="1444" spans="1:1" ht="13.5" customHeight="1" x14ac:dyDescent="0.25">
      <c r="A1444" s="12" t="s">
        <v>1225</v>
      </c>
    </row>
    <row r="1445" spans="1:1" ht="13.5" customHeight="1" x14ac:dyDescent="0.25">
      <c r="A1445" s="12" t="s">
        <v>1226</v>
      </c>
    </row>
    <row r="1446" spans="1:1" ht="13.5" customHeight="1" x14ac:dyDescent="0.25">
      <c r="A1446" s="12" t="s">
        <v>1227</v>
      </c>
    </row>
    <row r="1447" spans="1:1" ht="13.5" customHeight="1" x14ac:dyDescent="0.25">
      <c r="A1447" s="12" t="s">
        <v>426</v>
      </c>
    </row>
    <row r="1448" spans="1:1" ht="13.5" customHeight="1" x14ac:dyDescent="0.25">
      <c r="A1448" s="12" t="s">
        <v>1228</v>
      </c>
    </row>
    <row r="1449" spans="1:1" ht="13.5" customHeight="1" x14ac:dyDescent="0.25">
      <c r="A1449" s="12" t="s">
        <v>429</v>
      </c>
    </row>
    <row r="1450" spans="1:1" ht="13.5" customHeight="1" x14ac:dyDescent="0.25">
      <c r="A1450" s="12"/>
    </row>
    <row r="1451" spans="1:1" ht="13.5" customHeight="1" x14ac:dyDescent="0.25">
      <c r="A1451" s="12" t="s">
        <v>1218</v>
      </c>
    </row>
    <row r="1452" spans="1:1" ht="13.5" customHeight="1" x14ac:dyDescent="0.25">
      <c r="A1452" s="12" t="s">
        <v>1229</v>
      </c>
    </row>
    <row r="1453" spans="1:1" ht="13.5" customHeight="1" x14ac:dyDescent="0.25">
      <c r="A1453" s="12" t="s">
        <v>1230</v>
      </c>
    </row>
    <row r="1454" spans="1:1" ht="13.5" customHeight="1" x14ac:dyDescent="0.25">
      <c r="A1454" s="12" t="s">
        <v>1231</v>
      </c>
    </row>
    <row r="1455" spans="1:1" ht="13.5" customHeight="1" x14ac:dyDescent="0.25">
      <c r="A1455" s="12" t="s">
        <v>1232</v>
      </c>
    </row>
    <row r="1456" spans="1:1" ht="13.5" customHeight="1" x14ac:dyDescent="0.25">
      <c r="A1456" s="12" t="s">
        <v>1233</v>
      </c>
    </row>
    <row r="1457" spans="1:1" ht="13.5" customHeight="1" x14ac:dyDescent="0.25">
      <c r="A1457" s="12" t="s">
        <v>1234</v>
      </c>
    </row>
    <row r="1458" spans="1:1" ht="13.5" customHeight="1" x14ac:dyDescent="0.25">
      <c r="A1458" s="12" t="s">
        <v>1235</v>
      </c>
    </row>
    <row r="1459" spans="1:1" ht="13.5" customHeight="1" x14ac:dyDescent="0.25">
      <c r="A1459" s="12" t="s">
        <v>555</v>
      </c>
    </row>
    <row r="1460" spans="1:1" ht="13.5" customHeight="1" x14ac:dyDescent="0.25">
      <c r="A1460" s="12" t="s">
        <v>1215</v>
      </c>
    </row>
    <row r="1461" spans="1:1" ht="13.5" customHeight="1" x14ac:dyDescent="0.25">
      <c r="A1461" s="12" t="s">
        <v>429</v>
      </c>
    </row>
    <row r="1462" spans="1:1" ht="13.5" customHeight="1" x14ac:dyDescent="0.25">
      <c r="A1462" s="12" t="s">
        <v>525</v>
      </c>
    </row>
    <row r="1463" spans="1:1" ht="13.5" customHeight="1" x14ac:dyDescent="0.25">
      <c r="A1463" s="12"/>
    </row>
    <row r="1464" spans="1:1" ht="13.5" customHeight="1" x14ac:dyDescent="0.25">
      <c r="A1464" s="12" t="s">
        <v>1236</v>
      </c>
    </row>
    <row r="1465" spans="1:1" ht="13.5" customHeight="1" x14ac:dyDescent="0.25">
      <c r="A1465" s="12" t="s">
        <v>1237</v>
      </c>
    </row>
    <row r="1466" spans="1:1" ht="13.5" customHeight="1" x14ac:dyDescent="0.25">
      <c r="A1466" s="12" t="s">
        <v>1238</v>
      </c>
    </row>
    <row r="1467" spans="1:1" ht="13.5" customHeight="1" x14ac:dyDescent="0.25">
      <c r="A1467" s="12" t="s">
        <v>1239</v>
      </c>
    </row>
    <row r="1468" spans="1:1" ht="13.5" customHeight="1" x14ac:dyDescent="0.25">
      <c r="A1468" s="12" t="s">
        <v>1240</v>
      </c>
    </row>
    <row r="1469" spans="1:1" ht="13.5" customHeight="1" x14ac:dyDescent="0.25">
      <c r="A1469" s="12" t="s">
        <v>1241</v>
      </c>
    </row>
    <row r="1470" spans="1:1" ht="13.5" customHeight="1" x14ac:dyDescent="0.25">
      <c r="A1470" s="12" t="s">
        <v>1242</v>
      </c>
    </row>
    <row r="1471" spans="1:1" ht="13.5" customHeight="1" x14ac:dyDescent="0.25">
      <c r="A1471" s="12" t="s">
        <v>1243</v>
      </c>
    </row>
    <row r="1472" spans="1:1" ht="13.5" customHeight="1" x14ac:dyDescent="0.25">
      <c r="A1472" s="12" t="s">
        <v>1244</v>
      </c>
    </row>
    <row r="1473" spans="1:1" ht="13.5" customHeight="1" x14ac:dyDescent="0.25">
      <c r="A1473" s="12" t="s">
        <v>1245</v>
      </c>
    </row>
    <row r="1474" spans="1:1" ht="13.5" customHeight="1" x14ac:dyDescent="0.25">
      <c r="A1474" s="12" t="s">
        <v>1246</v>
      </c>
    </row>
    <row r="1475" spans="1:1" ht="13.5" customHeight="1" x14ac:dyDescent="0.25">
      <c r="A1475" s="12" t="s">
        <v>1247</v>
      </c>
    </row>
    <row r="1476" spans="1:1" ht="13.5" customHeight="1" x14ac:dyDescent="0.25">
      <c r="A1476" s="12" t="s">
        <v>1248</v>
      </c>
    </row>
    <row r="1477" spans="1:1" ht="13.5" customHeight="1" x14ac:dyDescent="0.25">
      <c r="A1477" s="12" t="s">
        <v>1249</v>
      </c>
    </row>
    <row r="1478" spans="1:1" ht="13.5" customHeight="1" x14ac:dyDescent="0.25">
      <c r="A1478" s="12" t="s">
        <v>1250</v>
      </c>
    </row>
    <row r="1479" spans="1:1" ht="13.5" customHeight="1" x14ac:dyDescent="0.25">
      <c r="A1479" s="12" t="s">
        <v>1251</v>
      </c>
    </row>
    <row r="1480" spans="1:1" ht="13.5" customHeight="1" x14ac:dyDescent="0.25">
      <c r="A1480" s="12" t="s">
        <v>1252</v>
      </c>
    </row>
    <row r="1481" spans="1:1" ht="13.5" customHeight="1" x14ac:dyDescent="0.25">
      <c r="A1481" s="12" t="s">
        <v>1253</v>
      </c>
    </row>
    <row r="1482" spans="1:1" ht="13.5" customHeight="1" x14ac:dyDescent="0.25">
      <c r="A1482" s="12" t="s">
        <v>1254</v>
      </c>
    </row>
    <row r="1483" spans="1:1" ht="13.5" customHeight="1" x14ac:dyDescent="0.25">
      <c r="A1483" s="12" t="s">
        <v>1255</v>
      </c>
    </row>
    <row r="1484" spans="1:1" ht="13.5" customHeight="1" x14ac:dyDescent="0.25">
      <c r="A1484" s="12" t="s">
        <v>1256</v>
      </c>
    </row>
    <row r="1485" spans="1:1" ht="13.5" customHeight="1" x14ac:dyDescent="0.25">
      <c r="A1485" s="12" t="s">
        <v>1257</v>
      </c>
    </row>
    <row r="1486" spans="1:1" ht="13.5" customHeight="1" x14ac:dyDescent="0.25">
      <c r="A1486" s="12" t="s">
        <v>651</v>
      </c>
    </row>
    <row r="1487" spans="1:1" ht="13.5" customHeight="1" x14ac:dyDescent="0.25">
      <c r="A1487" s="12" t="s">
        <v>1258</v>
      </c>
    </row>
    <row r="1488" spans="1:1" ht="13.5" customHeight="1" x14ac:dyDescent="0.25">
      <c r="A1488" s="12" t="s">
        <v>653</v>
      </c>
    </row>
    <row r="1489" spans="1:1" ht="13.5" customHeight="1" x14ac:dyDescent="0.25">
      <c r="A1489" s="12" t="s">
        <v>525</v>
      </c>
    </row>
    <row r="1490" spans="1:1" ht="13.5" customHeight="1" x14ac:dyDescent="0.25">
      <c r="A1490" s="12"/>
    </row>
    <row r="1491" spans="1:1" ht="13.5" customHeight="1" x14ac:dyDescent="0.25">
      <c r="A1491" s="12" t="s">
        <v>1259</v>
      </c>
    </row>
    <row r="1492" spans="1:1" ht="13.5" customHeight="1" x14ac:dyDescent="0.25">
      <c r="A1492" s="12" t="s">
        <v>1260</v>
      </c>
    </row>
    <row r="1493" spans="1:1" ht="13.5" customHeight="1" x14ac:dyDescent="0.25">
      <c r="A1493" s="12" t="s">
        <v>1261</v>
      </c>
    </row>
    <row r="1494" spans="1:1" ht="13.5" customHeight="1" x14ac:dyDescent="0.25">
      <c r="A1494" s="12" t="s">
        <v>1262</v>
      </c>
    </row>
    <row r="1495" spans="1:1" ht="13.5" customHeight="1" x14ac:dyDescent="0.25">
      <c r="A1495" s="12" t="s">
        <v>1263</v>
      </c>
    </row>
    <row r="1496" spans="1:1" ht="13.5" customHeight="1" x14ac:dyDescent="0.25">
      <c r="A1496" s="12" t="s">
        <v>508</v>
      </c>
    </row>
    <row r="1497" spans="1:1" ht="13.5" customHeight="1" x14ac:dyDescent="0.25">
      <c r="A1497" s="12" t="s">
        <v>1264</v>
      </c>
    </row>
    <row r="1498" spans="1:1" ht="13.5" customHeight="1" x14ac:dyDescent="0.25">
      <c r="A1498" s="12" t="s">
        <v>1265</v>
      </c>
    </row>
    <row r="1499" spans="1:1" ht="13.5" customHeight="1" x14ac:dyDescent="0.25">
      <c r="A1499" s="12" t="s">
        <v>1266</v>
      </c>
    </row>
    <row r="1500" spans="1:1" ht="13.5" customHeight="1" x14ac:dyDescent="0.25">
      <c r="A1500" s="12" t="s">
        <v>1267</v>
      </c>
    </row>
    <row r="1501" spans="1:1" ht="13.5" customHeight="1" x14ac:dyDescent="0.25">
      <c r="A1501" s="12" t="s">
        <v>523</v>
      </c>
    </row>
    <row r="1502" spans="1:1" ht="13.5" customHeight="1" x14ac:dyDescent="0.25">
      <c r="A1502" s="12" t="s">
        <v>525</v>
      </c>
    </row>
    <row r="1503" spans="1:1" ht="13.5" customHeight="1" x14ac:dyDescent="0.25">
      <c r="A1503" s="12"/>
    </row>
    <row r="1504" spans="1:1" ht="13.5" customHeight="1" x14ac:dyDescent="0.25">
      <c r="A1504" s="12" t="s">
        <v>1268</v>
      </c>
    </row>
    <row r="1505" spans="1:1" ht="13.5" customHeight="1" x14ac:dyDescent="0.25">
      <c r="A1505" s="12" t="s">
        <v>1031</v>
      </c>
    </row>
    <row r="1506" spans="1:1" ht="13.5" customHeight="1" x14ac:dyDescent="0.25">
      <c r="A1506" s="12" t="s">
        <v>1269</v>
      </c>
    </row>
    <row r="1507" spans="1:1" ht="13.5" customHeight="1" x14ac:dyDescent="0.25">
      <c r="A1507" s="12" t="s">
        <v>1270</v>
      </c>
    </row>
    <row r="1508" spans="1:1" ht="13.5" customHeight="1" x14ac:dyDescent="0.25">
      <c r="A1508" s="12" t="s">
        <v>1271</v>
      </c>
    </row>
    <row r="1509" spans="1:1" ht="13.5" customHeight="1" x14ac:dyDescent="0.25">
      <c r="A1509" s="12" t="s">
        <v>1272</v>
      </c>
    </row>
    <row r="1510" spans="1:1" ht="13.5" customHeight="1" x14ac:dyDescent="0.25">
      <c r="A1510" s="12" t="s">
        <v>1273</v>
      </c>
    </row>
    <row r="1511" spans="1:1" ht="13.5" customHeight="1" x14ac:dyDescent="0.25">
      <c r="A1511" s="12" t="s">
        <v>525</v>
      </c>
    </row>
    <row r="1512" spans="1:1" ht="13.5" customHeight="1" x14ac:dyDescent="0.25">
      <c r="A1512" s="12"/>
    </row>
    <row r="1513" spans="1:1" ht="13.5" customHeight="1" x14ac:dyDescent="0.25">
      <c r="A1513" s="12" t="s">
        <v>1274</v>
      </c>
    </row>
    <row r="1514" spans="1:1" ht="13.5" customHeight="1" x14ac:dyDescent="0.25">
      <c r="A1514" s="12" t="s">
        <v>1275</v>
      </c>
    </row>
    <row r="1515" spans="1:1" ht="13.5" customHeight="1" x14ac:dyDescent="0.25">
      <c r="A1515" s="12" t="s">
        <v>1276</v>
      </c>
    </row>
    <row r="1516" spans="1:1" ht="13.5" customHeight="1" x14ac:dyDescent="0.25">
      <c r="A1516" s="12" t="s">
        <v>1277</v>
      </c>
    </row>
    <row r="1517" spans="1:1" ht="13.5" customHeight="1" x14ac:dyDescent="0.25">
      <c r="A1517" s="12" t="s">
        <v>1278</v>
      </c>
    </row>
    <row r="1518" spans="1:1" ht="13.5" customHeight="1" x14ac:dyDescent="0.25">
      <c r="A1518" s="12" t="s">
        <v>1279</v>
      </c>
    </row>
    <row r="1519" spans="1:1" ht="13.5" customHeight="1" x14ac:dyDescent="0.25">
      <c r="A1519" s="12" t="s">
        <v>1280</v>
      </c>
    </row>
    <row r="1520" spans="1:1" ht="13.5" customHeight="1" x14ac:dyDescent="0.25">
      <c r="A1520" s="12" t="s">
        <v>508</v>
      </c>
    </row>
    <row r="1521" spans="1:1" ht="13.5" customHeight="1" x14ac:dyDescent="0.25">
      <c r="A1521" s="12" t="s">
        <v>1281</v>
      </c>
    </row>
    <row r="1522" spans="1:1" ht="13.5" customHeight="1" x14ac:dyDescent="0.25">
      <c r="A1522" s="12" t="s">
        <v>1282</v>
      </c>
    </row>
    <row r="1523" spans="1:1" ht="13.5" customHeight="1" x14ac:dyDescent="0.25">
      <c r="A1523" s="12" t="s">
        <v>1283</v>
      </c>
    </row>
    <row r="1524" spans="1:1" ht="13.5" customHeight="1" x14ac:dyDescent="0.25">
      <c r="A1524" s="12"/>
    </row>
    <row r="1525" spans="1:1" ht="13.5" customHeight="1" x14ac:dyDescent="0.25">
      <c r="A1525" s="12" t="s">
        <v>1284</v>
      </c>
    </row>
    <row r="1526" spans="1:1" ht="13.5" customHeight="1" x14ac:dyDescent="0.25">
      <c r="A1526" s="12" t="s">
        <v>1285</v>
      </c>
    </row>
    <row r="1527" spans="1:1" ht="13.5" customHeight="1" x14ac:dyDescent="0.25">
      <c r="A1527" s="12" t="s">
        <v>511</v>
      </c>
    </row>
    <row r="1528" spans="1:1" ht="13.5" customHeight="1" x14ac:dyDescent="0.25">
      <c r="A1528" s="12" t="s">
        <v>429</v>
      </c>
    </row>
    <row r="1529" spans="1:1" ht="13.5" customHeight="1" x14ac:dyDescent="0.25">
      <c r="A1529" s="12"/>
    </row>
    <row r="1530" spans="1:1" ht="13.5" customHeight="1" x14ac:dyDescent="0.25">
      <c r="A1530" s="12" t="s">
        <v>1286</v>
      </c>
    </row>
    <row r="1531" spans="1:1" ht="13.5" customHeight="1" x14ac:dyDescent="0.25">
      <c r="A1531" s="12" t="s">
        <v>1287</v>
      </c>
    </row>
    <row r="1532" spans="1:1" ht="13.5" customHeight="1" x14ac:dyDescent="0.25">
      <c r="A1532" s="12" t="s">
        <v>1288</v>
      </c>
    </row>
    <row r="1533" spans="1:1" ht="13.5" customHeight="1" x14ac:dyDescent="0.25">
      <c r="A1533" s="12" t="s">
        <v>1289</v>
      </c>
    </row>
    <row r="1534" spans="1:1" ht="13.5" customHeight="1" x14ac:dyDescent="0.25">
      <c r="A1534" s="12" t="s">
        <v>1290</v>
      </c>
    </row>
    <row r="1535" spans="1:1" ht="13.5" customHeight="1" x14ac:dyDescent="0.25">
      <c r="A1535" s="12" t="s">
        <v>1291</v>
      </c>
    </row>
    <row r="1536" spans="1:1" ht="13.5" customHeight="1" x14ac:dyDescent="0.25">
      <c r="A1536" s="12"/>
    </row>
    <row r="1537" spans="1:1" ht="13.5" customHeight="1" x14ac:dyDescent="0.25">
      <c r="A1537" s="12" t="s">
        <v>1292</v>
      </c>
    </row>
    <row r="1538" spans="1:1" ht="13.5" customHeight="1" x14ac:dyDescent="0.25">
      <c r="A1538" s="12" t="s">
        <v>1293</v>
      </c>
    </row>
    <row r="1539" spans="1:1" ht="13.5" customHeight="1" x14ac:dyDescent="0.25">
      <c r="A1539" s="12" t="s">
        <v>1294</v>
      </c>
    </row>
    <row r="1540" spans="1:1" ht="13.5" customHeight="1" x14ac:dyDescent="0.25">
      <c r="A1540" s="12" t="s">
        <v>1295</v>
      </c>
    </row>
    <row r="1541" spans="1:1" ht="13.5" customHeight="1" x14ac:dyDescent="0.25">
      <c r="A1541" s="12" t="s">
        <v>1296</v>
      </c>
    </row>
    <row r="1542" spans="1:1" ht="13.5" customHeight="1" x14ac:dyDescent="0.25">
      <c r="A1542" s="12" t="s">
        <v>426</v>
      </c>
    </row>
    <row r="1543" spans="1:1" ht="13.5" customHeight="1" x14ac:dyDescent="0.25">
      <c r="A1543" s="12" t="s">
        <v>478</v>
      </c>
    </row>
    <row r="1544" spans="1:1" ht="13.5" customHeight="1" x14ac:dyDescent="0.25">
      <c r="A1544" s="12"/>
    </row>
    <row r="1545" spans="1:1" ht="13.5" customHeight="1" x14ac:dyDescent="0.25">
      <c r="A1545" s="12" t="s">
        <v>1297</v>
      </c>
    </row>
    <row r="1546" spans="1:1" ht="13.5" customHeight="1" x14ac:dyDescent="0.25">
      <c r="A1546" s="12" t="s">
        <v>1298</v>
      </c>
    </row>
    <row r="1547" spans="1:1" ht="13.5" customHeight="1" x14ac:dyDescent="0.25">
      <c r="A1547" s="12" t="s">
        <v>1299</v>
      </c>
    </row>
    <row r="1548" spans="1:1" ht="13.5" customHeight="1" x14ac:dyDescent="0.25">
      <c r="A1548" s="12" t="s">
        <v>1300</v>
      </c>
    </row>
    <row r="1549" spans="1:1" ht="13.5" customHeight="1" x14ac:dyDescent="0.25">
      <c r="A1549" s="12" t="s">
        <v>805</v>
      </c>
    </row>
    <row r="1550" spans="1:1" ht="13.5" customHeight="1" x14ac:dyDescent="0.25">
      <c r="A1550" s="12" t="s">
        <v>1301</v>
      </c>
    </row>
    <row r="1551" spans="1:1" ht="13.5" customHeight="1" x14ac:dyDescent="0.25">
      <c r="A1551" s="12" t="s">
        <v>1302</v>
      </c>
    </row>
    <row r="1552" spans="1:1" ht="13.5" customHeight="1" x14ac:dyDescent="0.25">
      <c r="A1552" s="12" t="s">
        <v>1303</v>
      </c>
    </row>
    <row r="1553" spans="1:1" ht="13.5" customHeight="1" x14ac:dyDescent="0.25">
      <c r="A1553" s="12" t="s">
        <v>836</v>
      </c>
    </row>
    <row r="1554" spans="1:1" ht="13.5" customHeight="1" x14ac:dyDescent="0.25">
      <c r="A1554" s="12" t="s">
        <v>1304</v>
      </c>
    </row>
    <row r="1555" spans="1:1" ht="13.5" customHeight="1" x14ac:dyDescent="0.25">
      <c r="A1555" s="12" t="s">
        <v>426</v>
      </c>
    </row>
    <row r="1556" spans="1:1" ht="13.5" customHeight="1" x14ac:dyDescent="0.25">
      <c r="A1556" s="12" t="s">
        <v>1305</v>
      </c>
    </row>
    <row r="1557" spans="1:1" ht="13.5" customHeight="1" x14ac:dyDescent="0.25">
      <c r="A1557" s="12" t="s">
        <v>478</v>
      </c>
    </row>
    <row r="1558" spans="1:1" ht="13.5" customHeight="1" x14ac:dyDescent="0.25">
      <c r="A1558" s="12" t="s">
        <v>1272</v>
      </c>
    </row>
    <row r="1559" spans="1:1" ht="13.5" customHeight="1" x14ac:dyDescent="0.25">
      <c r="A1559" s="12"/>
    </row>
    <row r="1560" spans="1:1" ht="13.5" customHeight="1" x14ac:dyDescent="0.25">
      <c r="A1560" s="12" t="s">
        <v>1306</v>
      </c>
    </row>
    <row r="1561" spans="1:1" ht="13.5" customHeight="1" x14ac:dyDescent="0.25">
      <c r="A1561" s="12" t="s">
        <v>525</v>
      </c>
    </row>
    <row r="1562" spans="1:1" ht="13.5" customHeight="1" x14ac:dyDescent="0.25">
      <c r="A1562" s="12"/>
    </row>
    <row r="1563" spans="1:1" ht="13.5" customHeight="1" x14ac:dyDescent="0.25">
      <c r="A1563" s="12" t="s">
        <v>1307</v>
      </c>
    </row>
    <row r="1564" spans="1:1" ht="13.5" customHeight="1" x14ac:dyDescent="0.25">
      <c r="A1564" s="12" t="s">
        <v>1308</v>
      </c>
    </row>
    <row r="1565" spans="1:1" ht="13.5" customHeight="1" x14ac:dyDescent="0.25">
      <c r="A1565" s="12" t="s">
        <v>1309</v>
      </c>
    </row>
    <row r="1566" spans="1:1" ht="13.5" customHeight="1" x14ac:dyDescent="0.25">
      <c r="A1566" s="12" t="s">
        <v>555</v>
      </c>
    </row>
    <row r="1567" spans="1:1" ht="13.5" customHeight="1" x14ac:dyDescent="0.25">
      <c r="A1567" s="12" t="s">
        <v>1310</v>
      </c>
    </row>
    <row r="1568" spans="1:1" ht="13.5" customHeight="1" x14ac:dyDescent="0.25">
      <c r="A1568" s="12" t="s">
        <v>429</v>
      </c>
    </row>
    <row r="1569" spans="1:1" ht="13.5" customHeight="1" x14ac:dyDescent="0.25">
      <c r="A1569" s="12" t="s">
        <v>525</v>
      </c>
    </row>
    <row r="1570" spans="1:1" ht="13.5" customHeight="1" x14ac:dyDescent="0.25">
      <c r="A1570" s="12"/>
    </row>
    <row r="1571" spans="1:1" ht="13.5" customHeight="1" x14ac:dyDescent="0.25">
      <c r="A1571" s="12" t="s">
        <v>1311</v>
      </c>
    </row>
    <row r="1572" spans="1:1" ht="13.5" customHeight="1" x14ac:dyDescent="0.25">
      <c r="A1572" s="12" t="s">
        <v>1125</v>
      </c>
    </row>
    <row r="1573" spans="1:1" ht="13.5" customHeight="1" x14ac:dyDescent="0.25">
      <c r="A1573" s="12" t="s">
        <v>1067</v>
      </c>
    </row>
    <row r="1574" spans="1:1" ht="13.5" customHeight="1" x14ac:dyDescent="0.25">
      <c r="A1574" s="12" t="s">
        <v>1312</v>
      </c>
    </row>
    <row r="1575" spans="1:1" ht="13.5" customHeight="1" x14ac:dyDescent="0.25">
      <c r="A1575" s="12" t="s">
        <v>1069</v>
      </c>
    </row>
    <row r="1576" spans="1:1" ht="13.5" customHeight="1" x14ac:dyDescent="0.25">
      <c r="A1576" s="12" t="s">
        <v>1313</v>
      </c>
    </row>
    <row r="1577" spans="1:1" ht="13.5" customHeight="1" x14ac:dyDescent="0.25">
      <c r="A1577" s="12" t="s">
        <v>525</v>
      </c>
    </row>
    <row r="1578" spans="1:1" ht="13.5" customHeight="1" x14ac:dyDescent="0.25">
      <c r="A1578" s="12"/>
    </row>
    <row r="1579" spans="1:1" ht="13.5" customHeight="1" x14ac:dyDescent="0.25">
      <c r="A1579" s="12" t="s">
        <v>1314</v>
      </c>
    </row>
    <row r="1580" spans="1:1" ht="13.5" customHeight="1" x14ac:dyDescent="0.25">
      <c r="A1580" s="12" t="s">
        <v>1315</v>
      </c>
    </row>
    <row r="1581" spans="1:1" ht="13.5" customHeight="1" x14ac:dyDescent="0.25">
      <c r="A1581" s="12" t="s">
        <v>525</v>
      </c>
    </row>
    <row r="1582" spans="1:1" ht="13.5" customHeight="1" x14ac:dyDescent="0.25">
      <c r="A1582" s="12"/>
    </row>
    <row r="1583" spans="1:1" ht="13.5" customHeight="1" x14ac:dyDescent="0.25">
      <c r="A1583" s="12" t="s">
        <v>1316</v>
      </c>
    </row>
    <row r="1584" spans="1:1" ht="13.5" customHeight="1" x14ac:dyDescent="0.25">
      <c r="A1584" s="12" t="s">
        <v>1125</v>
      </c>
    </row>
    <row r="1585" spans="1:1" ht="13.5" customHeight="1" x14ac:dyDescent="0.25">
      <c r="A1585" s="12" t="s">
        <v>1067</v>
      </c>
    </row>
    <row r="1586" spans="1:1" ht="13.5" customHeight="1" x14ac:dyDescent="0.25">
      <c r="A1586" s="12" t="s">
        <v>1317</v>
      </c>
    </row>
    <row r="1587" spans="1:1" ht="13.5" customHeight="1" x14ac:dyDescent="0.25">
      <c r="A1587" s="12" t="s">
        <v>1318</v>
      </c>
    </row>
    <row r="1588" spans="1:1" ht="13.5" customHeight="1" x14ac:dyDescent="0.25">
      <c r="A1588" s="12" t="s">
        <v>525</v>
      </c>
    </row>
    <row r="1589" spans="1:1" ht="13.5" customHeight="1" x14ac:dyDescent="0.25">
      <c r="A1589" s="12"/>
    </row>
    <row r="1590" spans="1:1" ht="13.5" customHeight="1" x14ac:dyDescent="0.25">
      <c r="A1590" s="12" t="s">
        <v>1319</v>
      </c>
    </row>
    <row r="1591" spans="1:1" ht="13.5" customHeight="1" x14ac:dyDescent="0.25">
      <c r="A1591" s="12" t="s">
        <v>1320</v>
      </c>
    </row>
    <row r="1592" spans="1:1" ht="13.5" customHeight="1" x14ac:dyDescent="0.25">
      <c r="A1592" s="12" t="s">
        <v>1321</v>
      </c>
    </row>
    <row r="1593" spans="1:1" ht="13.5" customHeight="1" x14ac:dyDescent="0.25">
      <c r="A1593" s="12" t="s">
        <v>1254</v>
      </c>
    </row>
    <row r="1594" spans="1:1" ht="13.5" customHeight="1" x14ac:dyDescent="0.25">
      <c r="A1594" s="12" t="s">
        <v>1322</v>
      </c>
    </row>
    <row r="1595" spans="1:1" ht="13.5" customHeight="1" x14ac:dyDescent="0.25">
      <c r="A1595" s="12" t="s">
        <v>1323</v>
      </c>
    </row>
    <row r="1596" spans="1:1" ht="13.5" customHeight="1" x14ac:dyDescent="0.25">
      <c r="A1596" s="12" t="s">
        <v>1324</v>
      </c>
    </row>
    <row r="1597" spans="1:1" ht="13.5" customHeight="1" x14ac:dyDescent="0.25">
      <c r="A1597" s="12" t="s">
        <v>1325</v>
      </c>
    </row>
    <row r="1598" spans="1:1" ht="13.5" customHeight="1" x14ac:dyDescent="0.25">
      <c r="A1598" s="12" t="s">
        <v>1326</v>
      </c>
    </row>
    <row r="1599" spans="1:1" ht="13.5" customHeight="1" x14ac:dyDescent="0.25">
      <c r="A1599" s="12" t="s">
        <v>1327</v>
      </c>
    </row>
    <row r="1600" spans="1:1" ht="13.5" customHeight="1" x14ac:dyDescent="0.25">
      <c r="A1600" s="12" t="s">
        <v>1328</v>
      </c>
    </row>
    <row r="1601" spans="1:1" ht="13.5" customHeight="1" x14ac:dyDescent="0.25">
      <c r="A1601" s="12" t="s">
        <v>1329</v>
      </c>
    </row>
    <row r="1602" spans="1:1" ht="13.5" customHeight="1" x14ac:dyDescent="0.25">
      <c r="A1602" s="12" t="s">
        <v>1330</v>
      </c>
    </row>
    <row r="1603" spans="1:1" ht="13.5" customHeight="1" x14ac:dyDescent="0.25">
      <c r="A1603" s="12" t="s">
        <v>1331</v>
      </c>
    </row>
    <row r="1604" spans="1:1" ht="13.5" customHeight="1" x14ac:dyDescent="0.25">
      <c r="A1604" s="12" t="s">
        <v>1332</v>
      </c>
    </row>
    <row r="1605" spans="1:1" ht="13.5" customHeight="1" x14ac:dyDescent="0.25">
      <c r="A1605" s="12" t="s">
        <v>1333</v>
      </c>
    </row>
    <row r="1606" spans="1:1" ht="13.5" customHeight="1" x14ac:dyDescent="0.25">
      <c r="A1606" s="12" t="s">
        <v>1334</v>
      </c>
    </row>
    <row r="1607" spans="1:1" ht="13.5" customHeight="1" x14ac:dyDescent="0.25">
      <c r="A1607" s="12" t="s">
        <v>1335</v>
      </c>
    </row>
    <row r="1608" spans="1:1" ht="13.5" customHeight="1" x14ac:dyDescent="0.25">
      <c r="A1608" s="12" t="s">
        <v>1336</v>
      </c>
    </row>
    <row r="1609" spans="1:1" ht="13.5" customHeight="1" x14ac:dyDescent="0.25">
      <c r="A1609" s="12" t="s">
        <v>1337</v>
      </c>
    </row>
    <row r="1610" spans="1:1" ht="13.5" customHeight="1" x14ac:dyDescent="0.25">
      <c r="A1610" s="12" t="s">
        <v>1338</v>
      </c>
    </row>
    <row r="1611" spans="1:1" ht="13.5" customHeight="1" x14ac:dyDescent="0.25">
      <c r="A1611" s="12" t="s">
        <v>1339</v>
      </c>
    </row>
    <row r="1612" spans="1:1" ht="13.5" customHeight="1" x14ac:dyDescent="0.25">
      <c r="A1612" s="12" t="s">
        <v>1340</v>
      </c>
    </row>
    <row r="1613" spans="1:1" ht="13.5" customHeight="1" x14ac:dyDescent="0.25">
      <c r="A1613" s="12" t="s">
        <v>1341</v>
      </c>
    </row>
    <row r="1614" spans="1:1" ht="13.5" customHeight="1" x14ac:dyDescent="0.25">
      <c r="A1614" s="12" t="s">
        <v>1342</v>
      </c>
    </row>
    <row r="1615" spans="1:1" ht="13.5" customHeight="1" x14ac:dyDescent="0.25">
      <c r="A1615" s="12" t="s">
        <v>1343</v>
      </c>
    </row>
    <row r="1616" spans="1:1" ht="13.5" customHeight="1" x14ac:dyDescent="0.25">
      <c r="A1616" s="12" t="s">
        <v>1344</v>
      </c>
    </row>
    <row r="1617" spans="1:1" ht="13.5" customHeight="1" x14ac:dyDescent="0.25">
      <c r="A1617" s="12" t="s">
        <v>1345</v>
      </c>
    </row>
    <row r="1618" spans="1:1" ht="13.5" customHeight="1" x14ac:dyDescent="0.25">
      <c r="A1618" s="12" t="s">
        <v>1346</v>
      </c>
    </row>
    <row r="1619" spans="1:1" ht="13.5" customHeight="1" x14ac:dyDescent="0.25">
      <c r="A1619" s="12" t="s">
        <v>1347</v>
      </c>
    </row>
    <row r="1620" spans="1:1" ht="13.5" customHeight="1" x14ac:dyDescent="0.25">
      <c r="A1620" s="12" t="s">
        <v>1348</v>
      </c>
    </row>
    <row r="1621" spans="1:1" ht="13.5" customHeight="1" x14ac:dyDescent="0.25">
      <c r="A1621" s="12" t="s">
        <v>1349</v>
      </c>
    </row>
    <row r="1622" spans="1:1" ht="13.5" customHeight="1" x14ac:dyDescent="0.25">
      <c r="A1622" s="12" t="s">
        <v>1350</v>
      </c>
    </row>
    <row r="1623" spans="1:1" ht="13.5" customHeight="1" x14ac:dyDescent="0.25">
      <c r="A1623" s="12" t="s">
        <v>1351</v>
      </c>
    </row>
    <row r="1624" spans="1:1" ht="13.5" customHeight="1" x14ac:dyDescent="0.25">
      <c r="A1624" s="12" t="s">
        <v>1352</v>
      </c>
    </row>
    <row r="1625" spans="1:1" ht="13.5" customHeight="1" x14ac:dyDescent="0.25">
      <c r="A1625" s="12" t="s">
        <v>1353</v>
      </c>
    </row>
    <row r="1626" spans="1:1" ht="13.5" customHeight="1" x14ac:dyDescent="0.25">
      <c r="A1626" s="12" t="s">
        <v>1354</v>
      </c>
    </row>
    <row r="1627" spans="1:1" ht="13.5" customHeight="1" x14ac:dyDescent="0.25">
      <c r="A1627" s="12" t="s">
        <v>1355</v>
      </c>
    </row>
    <row r="1628" spans="1:1" ht="13.5" customHeight="1" x14ac:dyDescent="0.25">
      <c r="A1628" s="12" t="s">
        <v>1356</v>
      </c>
    </row>
    <row r="1629" spans="1:1" ht="13.5" customHeight="1" x14ac:dyDescent="0.25">
      <c r="A1629" s="12" t="s">
        <v>1357</v>
      </c>
    </row>
    <row r="1630" spans="1:1" ht="13.5" customHeight="1" x14ac:dyDescent="0.25">
      <c r="A1630" s="12" t="s">
        <v>1358</v>
      </c>
    </row>
    <row r="1631" spans="1:1" ht="13.5" customHeight="1" x14ac:dyDescent="0.25">
      <c r="A1631" s="12" t="s">
        <v>1359</v>
      </c>
    </row>
    <row r="1632" spans="1:1" ht="13.5" customHeight="1" x14ac:dyDescent="0.25">
      <c r="A1632" s="12" t="s">
        <v>1360</v>
      </c>
    </row>
    <row r="1633" spans="1:1" ht="13.5" customHeight="1" x14ac:dyDescent="0.25">
      <c r="A1633" s="12" t="s">
        <v>1361</v>
      </c>
    </row>
    <row r="1634" spans="1:1" ht="13.5" customHeight="1" x14ac:dyDescent="0.25">
      <c r="A1634" s="12" t="s">
        <v>1362</v>
      </c>
    </row>
    <row r="1635" spans="1:1" ht="13.5" customHeight="1" x14ac:dyDescent="0.25">
      <c r="A1635" s="12" t="s">
        <v>1363</v>
      </c>
    </row>
    <row r="1636" spans="1:1" ht="13.5" customHeight="1" x14ac:dyDescent="0.25">
      <c r="A1636" s="12" t="s">
        <v>1364</v>
      </c>
    </row>
    <row r="1637" spans="1:1" ht="13.5" customHeight="1" x14ac:dyDescent="0.25">
      <c r="A1637" s="12" t="s">
        <v>1365</v>
      </c>
    </row>
    <row r="1638" spans="1:1" ht="13.5" customHeight="1" x14ac:dyDescent="0.25">
      <c r="A1638" s="12" t="s">
        <v>653</v>
      </c>
    </row>
    <row r="1639" spans="1:1" ht="13.5" customHeight="1" x14ac:dyDescent="0.25">
      <c r="A1639" s="12" t="s">
        <v>525</v>
      </c>
    </row>
    <row r="1640" spans="1:1" ht="13.5" customHeight="1" x14ac:dyDescent="0.25">
      <c r="A1640" s="12"/>
    </row>
    <row r="1641" spans="1:1" x14ac:dyDescent="0.25">
      <c r="A1641" t="s">
        <v>1366</v>
      </c>
    </row>
    <row r="1642" spans="1:1" x14ac:dyDescent="0.25">
      <c r="A1642" t="s">
        <v>1367</v>
      </c>
    </row>
    <row r="1643" spans="1:1" ht="28.5" customHeight="1" x14ac:dyDescent="0.25">
      <c r="A1643" s="11" t="s">
        <v>1368</v>
      </c>
    </row>
    <row r="1644" spans="1:1" x14ac:dyDescent="0.25">
      <c r="A1644" t="s">
        <v>1369</v>
      </c>
    </row>
    <row r="1645" spans="1:1" ht="13.5" customHeight="1" x14ac:dyDescent="0.25">
      <c r="A1645" s="12" t="s">
        <v>1370</v>
      </c>
    </row>
    <row r="1646" spans="1:1" ht="13.5" customHeight="1" x14ac:dyDescent="0.25">
      <c r="A1646" s="12" t="s">
        <v>1279</v>
      </c>
    </row>
    <row r="1647" spans="1:1" ht="13.5" customHeight="1" x14ac:dyDescent="0.25">
      <c r="A1647" s="12" t="s">
        <v>1371</v>
      </c>
    </row>
    <row r="1648" spans="1:1" ht="13.5" customHeight="1" x14ac:dyDescent="0.25">
      <c r="A1648" s="12" t="s">
        <v>1372</v>
      </c>
    </row>
    <row r="1649" spans="1:1" ht="13.5" customHeight="1" x14ac:dyDescent="0.25">
      <c r="A1649" s="12" t="s">
        <v>508</v>
      </c>
    </row>
    <row r="1650" spans="1:1" ht="13.5" customHeight="1" x14ac:dyDescent="0.25">
      <c r="A1650" s="12" t="s">
        <v>1196</v>
      </c>
    </row>
    <row r="1651" spans="1:1" ht="13.5" customHeight="1" x14ac:dyDescent="0.25">
      <c r="A1651" s="12" t="s">
        <v>1373</v>
      </c>
    </row>
    <row r="1652" spans="1:1" ht="13.5" customHeight="1" x14ac:dyDescent="0.25">
      <c r="A1652" s="12"/>
    </row>
    <row r="1653" spans="1:1" ht="13.5" customHeight="1" x14ac:dyDescent="0.25">
      <c r="A1653" s="12" t="s">
        <v>1374</v>
      </c>
    </row>
    <row r="1654" spans="1:1" ht="13.5" customHeight="1" x14ac:dyDescent="0.25">
      <c r="A1654" s="12" t="s">
        <v>1375</v>
      </c>
    </row>
    <row r="1655" spans="1:1" ht="13.5" customHeight="1" x14ac:dyDescent="0.25">
      <c r="A1655" s="12" t="s">
        <v>1376</v>
      </c>
    </row>
    <row r="1656" spans="1:1" ht="13.5" customHeight="1" x14ac:dyDescent="0.25">
      <c r="A1656" s="12" t="s">
        <v>1377</v>
      </c>
    </row>
    <row r="1657" spans="1:1" ht="13.5" customHeight="1" x14ac:dyDescent="0.25">
      <c r="A1657" s="12" t="s">
        <v>1378</v>
      </c>
    </row>
    <row r="1658" spans="1:1" ht="13.5" customHeight="1" x14ac:dyDescent="0.25">
      <c r="A1658" s="12" t="s">
        <v>511</v>
      </c>
    </row>
    <row r="1659" spans="1:1" ht="13.5" customHeight="1" x14ac:dyDescent="0.25">
      <c r="A1659" s="12" t="s">
        <v>429</v>
      </c>
    </row>
    <row r="1660" spans="1:1" ht="13.5" customHeight="1" x14ac:dyDescent="0.25">
      <c r="A1660" s="12"/>
    </row>
    <row r="1661" spans="1:1" ht="13.5" customHeight="1" x14ac:dyDescent="0.25">
      <c r="A1661" s="12" t="s">
        <v>1286</v>
      </c>
    </row>
    <row r="1662" spans="1:1" ht="13.5" customHeight="1" x14ac:dyDescent="0.25">
      <c r="A1662" s="12" t="s">
        <v>1379</v>
      </c>
    </row>
    <row r="1663" spans="1:1" ht="13.5" customHeight="1" x14ac:dyDescent="0.25">
      <c r="A1663" s="12" t="s">
        <v>1380</v>
      </c>
    </row>
    <row r="1664" spans="1:1" ht="13.5" customHeight="1" x14ac:dyDescent="0.25">
      <c r="A1664" s="12"/>
    </row>
    <row r="1665" spans="1:1" ht="13.5" customHeight="1" x14ac:dyDescent="0.25">
      <c r="A1665" s="12" t="s">
        <v>1381</v>
      </c>
    </row>
    <row r="1666" spans="1:1" ht="13.5" customHeight="1" x14ac:dyDescent="0.25">
      <c r="A1666" s="12" t="s">
        <v>1382</v>
      </c>
    </row>
    <row r="1667" spans="1:1" ht="13.5" customHeight="1" x14ac:dyDescent="0.25">
      <c r="A1667" s="12" t="s">
        <v>1383</v>
      </c>
    </row>
    <row r="1668" spans="1:1" ht="13.5" customHeight="1" x14ac:dyDescent="0.25">
      <c r="A1668" s="12" t="s">
        <v>1384</v>
      </c>
    </row>
    <row r="1669" spans="1:1" ht="13.5" customHeight="1" x14ac:dyDescent="0.25">
      <c r="A1669" s="12" t="s">
        <v>836</v>
      </c>
    </row>
    <row r="1670" spans="1:1" ht="13.5" customHeight="1" x14ac:dyDescent="0.25">
      <c r="A1670" s="12" t="s">
        <v>1385</v>
      </c>
    </row>
    <row r="1671" spans="1:1" ht="13.5" customHeight="1" x14ac:dyDescent="0.25">
      <c r="A1671" s="12" t="s">
        <v>426</v>
      </c>
    </row>
    <row r="1672" spans="1:1" ht="13.5" customHeight="1" x14ac:dyDescent="0.25">
      <c r="A1672" s="12"/>
    </row>
    <row r="1673" spans="1:1" ht="13.5" customHeight="1" x14ac:dyDescent="0.25">
      <c r="A1673" s="12" t="s">
        <v>1386</v>
      </c>
    </row>
    <row r="1674" spans="1:1" ht="13.5" customHeight="1" x14ac:dyDescent="0.25">
      <c r="A1674" s="12" t="s">
        <v>1387</v>
      </c>
    </row>
    <row r="1675" spans="1:1" ht="13.5" customHeight="1" x14ac:dyDescent="0.25">
      <c r="A1675" s="12" t="s">
        <v>836</v>
      </c>
    </row>
    <row r="1676" spans="1:1" ht="13.5" customHeight="1" x14ac:dyDescent="0.25">
      <c r="A1676" s="12" t="s">
        <v>1388</v>
      </c>
    </row>
    <row r="1677" spans="1:1" ht="13.5" customHeight="1" x14ac:dyDescent="0.25">
      <c r="A1677" s="12" t="s">
        <v>1389</v>
      </c>
    </row>
    <row r="1678" spans="1:1" ht="13.5" customHeight="1" x14ac:dyDescent="0.25">
      <c r="A1678" s="12" t="s">
        <v>1390</v>
      </c>
    </row>
    <row r="1679" spans="1:1" ht="13.5" customHeight="1" x14ac:dyDescent="0.25">
      <c r="A1679" s="12" t="s">
        <v>1391</v>
      </c>
    </row>
    <row r="1680" spans="1:1" ht="13.5" customHeight="1" x14ac:dyDescent="0.25">
      <c r="A1680" s="12" t="s">
        <v>1392</v>
      </c>
    </row>
    <row r="1681" spans="1:1" ht="13.5" customHeight="1" x14ac:dyDescent="0.25">
      <c r="A1681" s="12" t="s">
        <v>1393</v>
      </c>
    </row>
    <row r="1682" spans="1:1" ht="13.5" customHeight="1" x14ac:dyDescent="0.25">
      <c r="A1682" s="12" t="s">
        <v>424</v>
      </c>
    </row>
    <row r="1683" spans="1:1" ht="13.5" customHeight="1" x14ac:dyDescent="0.25">
      <c r="A1683" s="12" t="s">
        <v>426</v>
      </c>
    </row>
    <row r="1684" spans="1:1" ht="13.5" customHeight="1" x14ac:dyDescent="0.25">
      <c r="A1684" s="12" t="s">
        <v>478</v>
      </c>
    </row>
    <row r="1685" spans="1:1" ht="13.5" customHeight="1" x14ac:dyDescent="0.25">
      <c r="A1685" s="12" t="s">
        <v>523</v>
      </c>
    </row>
    <row r="1686" spans="1:1" ht="13.5" customHeight="1" x14ac:dyDescent="0.25">
      <c r="A1686" s="12"/>
    </row>
    <row r="1687" spans="1:1" ht="13.5" customHeight="1" x14ac:dyDescent="0.25">
      <c r="A1687" s="12" t="s">
        <v>1394</v>
      </c>
    </row>
    <row r="1688" spans="1:1" ht="13.5" customHeight="1" x14ac:dyDescent="0.25">
      <c r="A1688" s="12" t="s">
        <v>1395</v>
      </c>
    </row>
    <row r="1689" spans="1:1" ht="13.5" customHeight="1" x14ac:dyDescent="0.25">
      <c r="A1689" s="12" t="s">
        <v>1396</v>
      </c>
    </row>
    <row r="1690" spans="1:1" ht="13.5" customHeight="1" x14ac:dyDescent="0.25">
      <c r="A1690" s="12" t="s">
        <v>1397</v>
      </c>
    </row>
    <row r="1691" spans="1:1" ht="13.5" customHeight="1" x14ac:dyDescent="0.25">
      <c r="A1691" s="12" t="s">
        <v>525</v>
      </c>
    </row>
    <row r="1692" spans="1:1" ht="13.5" customHeight="1" x14ac:dyDescent="0.25">
      <c r="A1692" s="12"/>
    </row>
    <row r="1693" spans="1:1" ht="13.5" customHeight="1" x14ac:dyDescent="0.25">
      <c r="A1693" s="12"/>
    </row>
    <row r="1694" spans="1:1" ht="13.5" customHeight="1" x14ac:dyDescent="0.25">
      <c r="A1694" s="12"/>
    </row>
    <row r="1696" spans="1:1" x14ac:dyDescent="0.25">
      <c r="A1696" t="s">
        <v>1398</v>
      </c>
    </row>
    <row r="1698" spans="1:1" x14ac:dyDescent="0.25">
      <c r="A1698" t="s">
        <v>147</v>
      </c>
    </row>
    <row r="1700" spans="1:1" x14ac:dyDescent="0.25">
      <c r="A1700" t="s">
        <v>1399</v>
      </c>
    </row>
    <row r="1701" spans="1:1" x14ac:dyDescent="0.25">
      <c r="A1701" t="s">
        <v>1400</v>
      </c>
    </row>
    <row r="1702" spans="1:1" x14ac:dyDescent="0.25">
      <c r="A1702" t="s">
        <v>1401</v>
      </c>
    </row>
    <row r="1703" spans="1:1" x14ac:dyDescent="0.25">
      <c r="A1703" t="s">
        <v>1402</v>
      </c>
    </row>
    <row r="1704" spans="1:1" x14ac:dyDescent="0.25">
      <c r="A1704" t="s">
        <v>1403</v>
      </c>
    </row>
    <row r="1705" spans="1:1" x14ac:dyDescent="0.25">
      <c r="A1705" t="s">
        <v>1404</v>
      </c>
    </row>
    <row r="1706" spans="1:1" x14ac:dyDescent="0.25">
      <c r="A1706" t="s">
        <v>1405</v>
      </c>
    </row>
    <row r="1707" spans="1:1" x14ac:dyDescent="0.25">
      <c r="A1707" t="s">
        <v>1406</v>
      </c>
    </row>
    <row r="1708" spans="1:1" x14ac:dyDescent="0.25">
      <c r="A1708" t="s">
        <v>1407</v>
      </c>
    </row>
    <row r="1709" spans="1:1" x14ac:dyDescent="0.25">
      <c r="A1709" t="s">
        <v>1408</v>
      </c>
    </row>
    <row r="1710" spans="1:1" x14ac:dyDescent="0.25">
      <c r="A1710" t="s">
        <v>1409</v>
      </c>
    </row>
    <row r="1711" spans="1:1" x14ac:dyDescent="0.25">
      <c r="A1711" t="s">
        <v>1410</v>
      </c>
    </row>
    <row r="1712" spans="1:1" x14ac:dyDescent="0.25">
      <c r="A1712" t="s">
        <v>1411</v>
      </c>
    </row>
    <row r="1713" spans="1:1" x14ac:dyDescent="0.25">
      <c r="A1713" t="s">
        <v>1412</v>
      </c>
    </row>
    <row r="1714" spans="1:1" x14ac:dyDescent="0.25">
      <c r="A1714" t="s">
        <v>1413</v>
      </c>
    </row>
    <row r="1715" spans="1:1" x14ac:dyDescent="0.25">
      <c r="A1715" t="s">
        <v>1414</v>
      </c>
    </row>
    <row r="1716" spans="1:1" x14ac:dyDescent="0.25">
      <c r="A1716" t="s">
        <v>1415</v>
      </c>
    </row>
    <row r="1717" spans="1:1" x14ac:dyDescent="0.25">
      <c r="A1717" t="s">
        <v>1416</v>
      </c>
    </row>
    <row r="1718" spans="1:1" x14ac:dyDescent="0.25">
      <c r="A1718" t="s">
        <v>1417</v>
      </c>
    </row>
    <row r="1719" spans="1:1" x14ac:dyDescent="0.25">
      <c r="A1719" t="s">
        <v>1418</v>
      </c>
    </row>
    <row r="1720" spans="1:1" x14ac:dyDescent="0.25">
      <c r="A1720" t="s">
        <v>1419</v>
      </c>
    </row>
    <row r="1721" spans="1:1" x14ac:dyDescent="0.25">
      <c r="A1721" t="s">
        <v>1420</v>
      </c>
    </row>
    <row r="1722" spans="1:1" x14ac:dyDescent="0.25">
      <c r="A1722" t="s">
        <v>1421</v>
      </c>
    </row>
    <row r="1723" spans="1:1" x14ac:dyDescent="0.25">
      <c r="A1723" t="s">
        <v>1422</v>
      </c>
    </row>
    <row r="1724" spans="1:1" x14ac:dyDescent="0.25">
      <c r="A1724" t="s">
        <v>1423</v>
      </c>
    </row>
    <row r="1725" spans="1:1" x14ac:dyDescent="0.25">
      <c r="A1725" t="s">
        <v>1424</v>
      </c>
    </row>
    <row r="1726" spans="1:1" x14ac:dyDescent="0.25">
      <c r="A1726" t="s">
        <v>1425</v>
      </c>
    </row>
    <row r="1727" spans="1:1" x14ac:dyDescent="0.25">
      <c r="A1727" t="s">
        <v>1426</v>
      </c>
    </row>
    <row r="1728" spans="1:1" x14ac:dyDescent="0.25">
      <c r="A1728" t="s">
        <v>1427</v>
      </c>
    </row>
    <row r="1729" spans="1:1" x14ac:dyDescent="0.25">
      <c r="A1729" t="s">
        <v>1428</v>
      </c>
    </row>
    <row r="1730" spans="1:1" x14ac:dyDescent="0.25">
      <c r="A1730" t="s">
        <v>1429</v>
      </c>
    </row>
    <row r="1731" spans="1:1" x14ac:dyDescent="0.25">
      <c r="A1731" t="s">
        <v>1430</v>
      </c>
    </row>
    <row r="1732" spans="1:1" x14ac:dyDescent="0.25">
      <c r="A1732" t="s">
        <v>1431</v>
      </c>
    </row>
    <row r="1733" spans="1:1" x14ac:dyDescent="0.25">
      <c r="A1733" t="s">
        <v>1432</v>
      </c>
    </row>
    <row r="1734" spans="1:1" x14ac:dyDescent="0.25">
      <c r="A1734" t="s">
        <v>1433</v>
      </c>
    </row>
    <row r="1735" spans="1:1" x14ac:dyDescent="0.25">
      <c r="A1735" t="s">
        <v>1434</v>
      </c>
    </row>
    <row r="1736" spans="1:1" x14ac:dyDescent="0.25">
      <c r="A1736" t="s">
        <v>1435</v>
      </c>
    </row>
    <row r="1737" spans="1:1" x14ac:dyDescent="0.25">
      <c r="A1737" t="s">
        <v>1436</v>
      </c>
    </row>
    <row r="1738" spans="1:1" x14ac:dyDescent="0.25">
      <c r="A1738" t="s">
        <v>1437</v>
      </c>
    </row>
    <row r="1739" spans="1:1" x14ac:dyDescent="0.25">
      <c r="A1739" t="s">
        <v>1438</v>
      </c>
    </row>
    <row r="1740" spans="1:1" x14ac:dyDescent="0.25">
      <c r="A1740" t="s">
        <v>1439</v>
      </c>
    </row>
    <row r="1741" spans="1:1" x14ac:dyDescent="0.25">
      <c r="A1741" t="s">
        <v>1440</v>
      </c>
    </row>
    <row r="1742" spans="1:1" x14ac:dyDescent="0.25">
      <c r="A1742" t="s">
        <v>1441</v>
      </c>
    </row>
    <row r="1743" spans="1:1" x14ac:dyDescent="0.25">
      <c r="A1743" t="s">
        <v>1442</v>
      </c>
    </row>
    <row r="1744" spans="1:1" x14ac:dyDescent="0.25">
      <c r="A1744" t="s">
        <v>1443</v>
      </c>
    </row>
    <row r="1745" spans="1:1" x14ac:dyDescent="0.25">
      <c r="A1745" t="s">
        <v>512</v>
      </c>
    </row>
    <row r="1746" spans="1:1" x14ac:dyDescent="0.25">
      <c r="A1746" t="s">
        <v>1444</v>
      </c>
    </row>
    <row r="1747" spans="1:1" x14ac:dyDescent="0.25">
      <c r="A1747" t="s">
        <v>514</v>
      </c>
    </row>
    <row r="1749" spans="1:1" x14ac:dyDescent="0.25">
      <c r="A1749" t="s">
        <v>512</v>
      </c>
    </row>
    <row r="1750" spans="1:1" x14ac:dyDescent="0.25">
      <c r="A1750" t="s">
        <v>1445</v>
      </c>
    </row>
    <row r="1751" spans="1:1" x14ac:dyDescent="0.25">
      <c r="A1751" t="s">
        <v>514</v>
      </c>
    </row>
    <row r="1753" spans="1:1" x14ac:dyDescent="0.25">
      <c r="A1753" t="s">
        <v>1446</v>
      </c>
    </row>
    <row r="1754" spans="1:1" x14ac:dyDescent="0.25">
      <c r="A1754" t="s">
        <v>1447</v>
      </c>
    </row>
    <row r="1755" spans="1:1" x14ac:dyDescent="0.25">
      <c r="A1755" t="s">
        <v>1448</v>
      </c>
    </row>
    <row r="1756" spans="1:1" x14ac:dyDescent="0.25">
      <c r="A1756" t="s">
        <v>1449</v>
      </c>
    </row>
    <row r="1757" spans="1:1" x14ac:dyDescent="0.25">
      <c r="A1757" t="s">
        <v>1450</v>
      </c>
    </row>
    <row r="1758" spans="1:1" x14ac:dyDescent="0.25">
      <c r="A1758" t="s">
        <v>1451</v>
      </c>
    </row>
    <row r="1759" spans="1:1" x14ac:dyDescent="0.25">
      <c r="A1759" t="s">
        <v>1452</v>
      </c>
    </row>
    <row r="1760" spans="1:1" x14ac:dyDescent="0.25">
      <c r="A1760" t="s">
        <v>1453</v>
      </c>
    </row>
    <row r="1761" spans="1:1" x14ac:dyDescent="0.25">
      <c r="A1761" t="s">
        <v>1454</v>
      </c>
    </row>
    <row r="1762" spans="1:1" x14ac:dyDescent="0.25">
      <c r="A1762" t="s">
        <v>687</v>
      </c>
    </row>
    <row r="1763" spans="1:1" x14ac:dyDescent="0.25">
      <c r="A1763" t="s">
        <v>493</v>
      </c>
    </row>
  </sheetData>
  <sheetProtection sheet="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NY394"/>
  <sheetViews>
    <sheetView workbookViewId="0"/>
  </sheetViews>
  <sheetFormatPr defaultColWidth="8.7109375" defaultRowHeight="15" x14ac:dyDescent="0.25"/>
  <sheetData>
    <row r="1" spans="1:389" ht="15" customHeight="1" x14ac:dyDescent="0.25">
      <c r="A1" t="s">
        <v>34</v>
      </c>
      <c r="B1" t="s">
        <v>1455</v>
      </c>
      <c r="C1" t="s">
        <v>1456</v>
      </c>
      <c r="D1" t="s">
        <v>1457</v>
      </c>
      <c r="F1" t="s">
        <v>1458</v>
      </c>
      <c r="G1" t="s">
        <v>1459</v>
      </c>
      <c r="H1" t="s">
        <v>1460</v>
      </c>
      <c r="I1" t="s">
        <v>1461</v>
      </c>
      <c r="J1" t="s">
        <v>1462</v>
      </c>
      <c r="K1" t="s">
        <v>1463</v>
      </c>
      <c r="L1" t="s">
        <v>1464</v>
      </c>
      <c r="M1" t="s">
        <v>1465</v>
      </c>
      <c r="N1" t="s">
        <v>1466</v>
      </c>
      <c r="O1" t="s">
        <v>1467</v>
      </c>
      <c r="P1" t="s">
        <v>1468</v>
      </c>
      <c r="Q1" t="s">
        <v>1469</v>
      </c>
      <c r="R1" t="s">
        <v>1470</v>
      </c>
      <c r="S1" t="s">
        <v>1471</v>
      </c>
      <c r="T1" t="s">
        <v>1472</v>
      </c>
      <c r="U1" t="s">
        <v>1473</v>
      </c>
      <c r="V1" t="s">
        <v>1474</v>
      </c>
      <c r="W1" t="s">
        <v>1475</v>
      </c>
      <c r="X1" t="s">
        <v>1476</v>
      </c>
      <c r="Y1" t="s">
        <v>1477</v>
      </c>
      <c r="Z1" t="s">
        <v>1478</v>
      </c>
      <c r="AA1" t="s">
        <v>1479</v>
      </c>
      <c r="AB1" t="s">
        <v>1480</v>
      </c>
      <c r="AC1" t="s">
        <v>1481</v>
      </c>
      <c r="AD1" t="s">
        <v>1482</v>
      </c>
      <c r="AE1" t="s">
        <v>1483</v>
      </c>
      <c r="AF1" t="s">
        <v>1484</v>
      </c>
      <c r="AG1" t="s">
        <v>1485</v>
      </c>
      <c r="AH1" t="s">
        <v>1486</v>
      </c>
      <c r="AI1" t="s">
        <v>1487</v>
      </c>
      <c r="AJ1" t="s">
        <v>1488</v>
      </c>
      <c r="AK1" t="s">
        <v>1489</v>
      </c>
      <c r="AL1" t="s">
        <v>1490</v>
      </c>
      <c r="AM1" t="s">
        <v>1491</v>
      </c>
      <c r="AN1" t="s">
        <v>1492</v>
      </c>
      <c r="AO1" t="s">
        <v>1493</v>
      </c>
      <c r="AP1" t="s">
        <v>1494</v>
      </c>
      <c r="AQ1" t="s">
        <v>1495</v>
      </c>
      <c r="AR1" t="s">
        <v>1496</v>
      </c>
      <c r="AS1" t="s">
        <v>1497</v>
      </c>
      <c r="AT1" t="s">
        <v>1498</v>
      </c>
      <c r="AU1" t="s">
        <v>1499</v>
      </c>
      <c r="AV1" t="s">
        <v>1500</v>
      </c>
      <c r="AW1" t="s">
        <v>1501</v>
      </c>
      <c r="AX1" t="s">
        <v>1502</v>
      </c>
      <c r="AY1" t="s">
        <v>1503</v>
      </c>
      <c r="AZ1" t="s">
        <v>1504</v>
      </c>
      <c r="BA1" t="s">
        <v>1505</v>
      </c>
      <c r="BB1" t="s">
        <v>1506</v>
      </c>
      <c r="BC1" t="s">
        <v>1507</v>
      </c>
      <c r="BD1" t="s">
        <v>1508</v>
      </c>
      <c r="BE1" t="s">
        <v>1509</v>
      </c>
      <c r="BF1" t="s">
        <v>1510</v>
      </c>
      <c r="BG1" t="s">
        <v>1511</v>
      </c>
      <c r="BH1" t="s">
        <v>1512</v>
      </c>
      <c r="BI1" t="s">
        <v>1513</v>
      </c>
      <c r="BJ1" t="s">
        <v>1514</v>
      </c>
      <c r="BK1" t="s">
        <v>1515</v>
      </c>
      <c r="BL1" t="s">
        <v>1516</v>
      </c>
      <c r="BM1" t="s">
        <v>1517</v>
      </c>
      <c r="BN1" t="s">
        <v>1518</v>
      </c>
      <c r="BO1" t="s">
        <v>1519</v>
      </c>
      <c r="BP1" t="s">
        <v>1520</v>
      </c>
      <c r="BQ1" t="s">
        <v>1521</v>
      </c>
      <c r="BR1" t="s">
        <v>1522</v>
      </c>
      <c r="BS1" t="s">
        <v>1523</v>
      </c>
      <c r="BT1" t="s">
        <v>1524</v>
      </c>
      <c r="BU1" t="s">
        <v>1525</v>
      </c>
      <c r="BV1" t="s">
        <v>1526</v>
      </c>
      <c r="BW1" t="s">
        <v>1527</v>
      </c>
      <c r="BX1" t="s">
        <v>1528</v>
      </c>
      <c r="BY1" t="s">
        <v>1529</v>
      </c>
      <c r="BZ1" t="s">
        <v>1530</v>
      </c>
      <c r="CA1" t="s">
        <v>1531</v>
      </c>
      <c r="CB1" t="s">
        <v>1532</v>
      </c>
      <c r="CC1" t="s">
        <v>1533</v>
      </c>
      <c r="CD1" t="s">
        <v>1534</v>
      </c>
      <c r="CE1" t="s">
        <v>1535</v>
      </c>
      <c r="CF1" t="s">
        <v>1536</v>
      </c>
      <c r="CG1" t="s">
        <v>1537</v>
      </c>
      <c r="CH1" t="s">
        <v>1538</v>
      </c>
      <c r="CI1" t="s">
        <v>1539</v>
      </c>
      <c r="CJ1" t="s">
        <v>1540</v>
      </c>
      <c r="CK1" t="s">
        <v>1541</v>
      </c>
      <c r="CL1" t="s">
        <v>1542</v>
      </c>
      <c r="CM1" t="s">
        <v>1543</v>
      </c>
      <c r="CN1" t="s">
        <v>1544</v>
      </c>
      <c r="CO1" t="s">
        <v>1545</v>
      </c>
      <c r="CP1" t="s">
        <v>1546</v>
      </c>
      <c r="CQ1" t="s">
        <v>1547</v>
      </c>
      <c r="CR1" t="s">
        <v>1548</v>
      </c>
      <c r="CS1" t="s">
        <v>1549</v>
      </c>
      <c r="CT1" t="s">
        <v>1550</v>
      </c>
      <c r="CU1" t="s">
        <v>1551</v>
      </c>
      <c r="CV1" t="s">
        <v>1552</v>
      </c>
      <c r="CW1" t="s">
        <v>1553</v>
      </c>
      <c r="CX1" t="s">
        <v>1554</v>
      </c>
      <c r="CY1" t="s">
        <v>1555</v>
      </c>
      <c r="CZ1" t="s">
        <v>1556</v>
      </c>
      <c r="DA1" t="s">
        <v>1557</v>
      </c>
      <c r="DB1" t="s">
        <v>1558</v>
      </c>
      <c r="DC1" t="s">
        <v>1559</v>
      </c>
      <c r="DD1" t="s">
        <v>1560</v>
      </c>
      <c r="DE1" t="s">
        <v>1561</v>
      </c>
      <c r="DF1" t="s">
        <v>1562</v>
      </c>
      <c r="DG1" t="s">
        <v>1563</v>
      </c>
      <c r="DH1" t="s">
        <v>1564</v>
      </c>
      <c r="DI1" t="s">
        <v>1565</v>
      </c>
      <c r="DJ1" t="s">
        <v>1566</v>
      </c>
      <c r="DK1" t="s">
        <v>1567</v>
      </c>
      <c r="DL1" t="s">
        <v>1568</v>
      </c>
      <c r="DM1" t="s">
        <v>1569</v>
      </c>
      <c r="DN1" t="s">
        <v>1570</v>
      </c>
      <c r="DO1" t="s">
        <v>1571</v>
      </c>
      <c r="DP1" t="s">
        <v>1572</v>
      </c>
      <c r="DQ1" t="s">
        <v>1573</v>
      </c>
      <c r="DR1" t="s">
        <v>1574</v>
      </c>
      <c r="DS1" t="s">
        <v>1575</v>
      </c>
      <c r="DT1" t="s">
        <v>1576</v>
      </c>
      <c r="DU1" t="s">
        <v>1577</v>
      </c>
      <c r="DV1" t="s">
        <v>1578</v>
      </c>
      <c r="DW1" t="s">
        <v>1579</v>
      </c>
      <c r="DX1" t="s">
        <v>1580</v>
      </c>
      <c r="DY1" t="s">
        <v>1581</v>
      </c>
      <c r="DZ1" t="s">
        <v>1582</v>
      </c>
      <c r="EA1" t="s">
        <v>1583</v>
      </c>
      <c r="EB1" t="s">
        <v>1584</v>
      </c>
      <c r="EC1" t="s">
        <v>1585</v>
      </c>
      <c r="ED1" t="s">
        <v>1586</v>
      </c>
      <c r="EE1" t="s">
        <v>1587</v>
      </c>
      <c r="EF1" t="s">
        <v>1588</v>
      </c>
      <c r="EG1" t="s">
        <v>1589</v>
      </c>
      <c r="EH1" t="s">
        <v>1590</v>
      </c>
      <c r="EI1" t="s">
        <v>1591</v>
      </c>
      <c r="EJ1" t="s">
        <v>1592</v>
      </c>
      <c r="EK1" t="s">
        <v>1593</v>
      </c>
      <c r="EL1" t="s">
        <v>1594</v>
      </c>
      <c r="EM1" t="s">
        <v>1595</v>
      </c>
      <c r="EN1" t="s">
        <v>1596</v>
      </c>
      <c r="EO1" t="s">
        <v>1597</v>
      </c>
      <c r="EP1" t="s">
        <v>1598</v>
      </c>
      <c r="EQ1" t="s">
        <v>1599</v>
      </c>
      <c r="ER1" t="s">
        <v>1600</v>
      </c>
      <c r="ES1" t="s">
        <v>1601</v>
      </c>
      <c r="ET1" t="s">
        <v>1602</v>
      </c>
      <c r="EU1" t="s">
        <v>1603</v>
      </c>
      <c r="EV1" t="s">
        <v>1604</v>
      </c>
      <c r="EW1" t="s">
        <v>1605</v>
      </c>
      <c r="EX1" t="s">
        <v>1606</v>
      </c>
      <c r="EY1" t="s">
        <v>1607</v>
      </c>
      <c r="EZ1" t="s">
        <v>1608</v>
      </c>
      <c r="FA1" t="s">
        <v>1609</v>
      </c>
      <c r="FB1" t="s">
        <v>1610</v>
      </c>
      <c r="FC1" t="s">
        <v>1611</v>
      </c>
      <c r="FD1" t="s">
        <v>1612</v>
      </c>
      <c r="FE1" t="s">
        <v>1613</v>
      </c>
      <c r="FF1" t="s">
        <v>1614</v>
      </c>
      <c r="FG1" t="s">
        <v>1615</v>
      </c>
      <c r="FH1" t="s">
        <v>1616</v>
      </c>
      <c r="FI1" t="s">
        <v>1617</v>
      </c>
      <c r="FJ1" t="s">
        <v>1618</v>
      </c>
      <c r="FK1" t="s">
        <v>1619</v>
      </c>
      <c r="FL1" t="s">
        <v>1620</v>
      </c>
      <c r="FM1" t="s">
        <v>1621</v>
      </c>
      <c r="FN1" t="s">
        <v>1622</v>
      </c>
      <c r="FO1" t="s">
        <v>1623</v>
      </c>
      <c r="FP1" t="s">
        <v>1624</v>
      </c>
      <c r="FQ1" t="s">
        <v>1625</v>
      </c>
      <c r="FR1" t="s">
        <v>1626</v>
      </c>
      <c r="FS1" t="s">
        <v>1627</v>
      </c>
      <c r="FT1" t="s">
        <v>1628</v>
      </c>
      <c r="FU1" t="s">
        <v>1629</v>
      </c>
      <c r="FV1" t="s">
        <v>1630</v>
      </c>
      <c r="FW1" t="s">
        <v>1631</v>
      </c>
      <c r="FX1" t="s">
        <v>1632</v>
      </c>
      <c r="FY1" t="s">
        <v>1633</v>
      </c>
      <c r="FZ1" t="s">
        <v>1634</v>
      </c>
      <c r="GA1" t="s">
        <v>1635</v>
      </c>
      <c r="GB1" t="s">
        <v>1636</v>
      </c>
      <c r="GC1" t="s">
        <v>1637</v>
      </c>
      <c r="GD1" t="s">
        <v>1638</v>
      </c>
      <c r="GE1" t="s">
        <v>1639</v>
      </c>
      <c r="GF1" t="s">
        <v>1640</v>
      </c>
      <c r="GG1" t="s">
        <v>1641</v>
      </c>
      <c r="GH1" t="s">
        <v>1642</v>
      </c>
      <c r="GI1" t="s">
        <v>1643</v>
      </c>
      <c r="GJ1" t="s">
        <v>1644</v>
      </c>
      <c r="GK1" t="s">
        <v>1645</v>
      </c>
      <c r="GL1" t="s">
        <v>1646</v>
      </c>
      <c r="GM1" t="s">
        <v>1647</v>
      </c>
      <c r="GN1" t="s">
        <v>1648</v>
      </c>
      <c r="GO1" t="s">
        <v>1649</v>
      </c>
      <c r="GP1" t="s">
        <v>1650</v>
      </c>
      <c r="GQ1" t="s">
        <v>1651</v>
      </c>
      <c r="GR1" t="s">
        <v>1652</v>
      </c>
      <c r="GS1" t="s">
        <v>1653</v>
      </c>
      <c r="GT1" t="s">
        <v>1654</v>
      </c>
      <c r="GU1" t="s">
        <v>1655</v>
      </c>
      <c r="GV1" t="s">
        <v>1656</v>
      </c>
      <c r="GW1" t="s">
        <v>1657</v>
      </c>
      <c r="GX1" t="s">
        <v>1658</v>
      </c>
      <c r="GY1" t="s">
        <v>1659</v>
      </c>
      <c r="GZ1" t="s">
        <v>1660</v>
      </c>
      <c r="HA1" t="s">
        <v>1661</v>
      </c>
      <c r="HB1" t="s">
        <v>1662</v>
      </c>
      <c r="HC1" t="s">
        <v>1663</v>
      </c>
      <c r="HD1" t="s">
        <v>1664</v>
      </c>
      <c r="HE1" t="s">
        <v>1665</v>
      </c>
      <c r="HF1" t="s">
        <v>1666</v>
      </c>
      <c r="HG1" t="s">
        <v>1667</v>
      </c>
      <c r="HH1" t="s">
        <v>1668</v>
      </c>
      <c r="HI1" t="s">
        <v>1669</v>
      </c>
      <c r="HJ1" t="s">
        <v>1670</v>
      </c>
      <c r="HK1" t="s">
        <v>1671</v>
      </c>
      <c r="HL1" t="s">
        <v>1672</v>
      </c>
      <c r="HM1" t="s">
        <v>1673</v>
      </c>
      <c r="HN1" t="s">
        <v>1674</v>
      </c>
      <c r="HO1" t="s">
        <v>1675</v>
      </c>
      <c r="HP1" t="s">
        <v>1676</v>
      </c>
      <c r="HQ1" t="s">
        <v>1677</v>
      </c>
      <c r="HR1" t="s">
        <v>1678</v>
      </c>
      <c r="HS1" t="s">
        <v>1679</v>
      </c>
      <c r="HT1" t="s">
        <v>1680</v>
      </c>
      <c r="HU1" t="s">
        <v>1681</v>
      </c>
      <c r="HV1" t="s">
        <v>1682</v>
      </c>
      <c r="HW1" t="s">
        <v>1683</v>
      </c>
      <c r="HX1" t="s">
        <v>1684</v>
      </c>
      <c r="HY1" t="s">
        <v>1685</v>
      </c>
      <c r="HZ1" t="s">
        <v>1686</v>
      </c>
      <c r="IA1" t="s">
        <v>1687</v>
      </c>
      <c r="IB1" t="s">
        <v>1688</v>
      </c>
      <c r="IC1" t="s">
        <v>1689</v>
      </c>
      <c r="ID1" t="s">
        <v>1690</v>
      </c>
      <c r="IE1" t="s">
        <v>1691</v>
      </c>
      <c r="IF1" t="s">
        <v>1692</v>
      </c>
      <c r="IG1" t="s">
        <v>1693</v>
      </c>
      <c r="IH1" t="s">
        <v>1694</v>
      </c>
      <c r="II1" t="s">
        <v>1695</v>
      </c>
      <c r="IJ1" t="s">
        <v>1696</v>
      </c>
      <c r="IK1" t="s">
        <v>1697</v>
      </c>
      <c r="IL1" t="s">
        <v>1698</v>
      </c>
      <c r="IM1" t="s">
        <v>1699</v>
      </c>
      <c r="IN1" t="s">
        <v>1700</v>
      </c>
      <c r="IO1" t="s">
        <v>1701</v>
      </c>
      <c r="IP1" t="s">
        <v>1702</v>
      </c>
      <c r="IQ1" t="s">
        <v>1703</v>
      </c>
      <c r="IR1" t="s">
        <v>1704</v>
      </c>
      <c r="IS1" t="s">
        <v>1705</v>
      </c>
      <c r="IT1" t="s">
        <v>1706</v>
      </c>
      <c r="IU1" t="s">
        <v>1707</v>
      </c>
      <c r="IV1" t="s">
        <v>1708</v>
      </c>
      <c r="IW1" t="s">
        <v>1709</v>
      </c>
      <c r="IX1" t="s">
        <v>1710</v>
      </c>
      <c r="IY1" t="s">
        <v>1711</v>
      </c>
      <c r="IZ1" t="s">
        <v>1712</v>
      </c>
      <c r="JA1" t="s">
        <v>1713</v>
      </c>
      <c r="JB1" t="s">
        <v>1714</v>
      </c>
      <c r="JC1" t="s">
        <v>1715</v>
      </c>
      <c r="JD1" t="s">
        <v>1716</v>
      </c>
      <c r="JE1" t="s">
        <v>1717</v>
      </c>
      <c r="JF1" t="s">
        <v>1718</v>
      </c>
      <c r="JG1" t="s">
        <v>1719</v>
      </c>
      <c r="JH1" t="s">
        <v>1720</v>
      </c>
      <c r="JI1" t="s">
        <v>1721</v>
      </c>
      <c r="JJ1" t="s">
        <v>1722</v>
      </c>
      <c r="JK1" t="s">
        <v>1723</v>
      </c>
      <c r="JL1" t="s">
        <v>1724</v>
      </c>
      <c r="JM1" t="s">
        <v>1725</v>
      </c>
      <c r="JN1" t="s">
        <v>1726</v>
      </c>
      <c r="JO1" t="s">
        <v>1727</v>
      </c>
      <c r="JP1" t="s">
        <v>1728</v>
      </c>
      <c r="JQ1" t="s">
        <v>1729</v>
      </c>
      <c r="JR1" t="s">
        <v>1730</v>
      </c>
      <c r="JS1" t="s">
        <v>1731</v>
      </c>
      <c r="JT1" t="s">
        <v>1732</v>
      </c>
      <c r="JU1" t="s">
        <v>1733</v>
      </c>
      <c r="JV1" t="s">
        <v>1734</v>
      </c>
      <c r="JW1" t="s">
        <v>1735</v>
      </c>
      <c r="JX1" t="s">
        <v>1736</v>
      </c>
      <c r="JY1" t="s">
        <v>1737</v>
      </c>
      <c r="JZ1" t="s">
        <v>1738</v>
      </c>
      <c r="KA1" t="s">
        <v>1739</v>
      </c>
      <c r="KB1" t="s">
        <v>1740</v>
      </c>
      <c r="KC1" t="s">
        <v>1741</v>
      </c>
      <c r="KD1" t="s">
        <v>1742</v>
      </c>
      <c r="KE1" t="s">
        <v>1743</v>
      </c>
      <c r="KF1" t="s">
        <v>1744</v>
      </c>
      <c r="KG1" t="s">
        <v>1745</v>
      </c>
      <c r="KH1" t="s">
        <v>1746</v>
      </c>
      <c r="KI1" t="s">
        <v>1747</v>
      </c>
      <c r="KJ1" t="s">
        <v>1748</v>
      </c>
      <c r="KK1" t="s">
        <v>1749</v>
      </c>
      <c r="KL1" t="s">
        <v>1750</v>
      </c>
      <c r="KM1" t="s">
        <v>1751</v>
      </c>
      <c r="KN1" t="s">
        <v>1752</v>
      </c>
      <c r="KO1" t="s">
        <v>1753</v>
      </c>
      <c r="KP1" t="s">
        <v>1754</v>
      </c>
      <c r="KQ1" t="s">
        <v>1755</v>
      </c>
      <c r="KR1" t="s">
        <v>1756</v>
      </c>
      <c r="KS1" t="s">
        <v>1757</v>
      </c>
      <c r="KT1" t="s">
        <v>1758</v>
      </c>
      <c r="KU1" t="s">
        <v>1759</v>
      </c>
      <c r="KV1" t="s">
        <v>1760</v>
      </c>
      <c r="KW1" t="s">
        <v>1761</v>
      </c>
      <c r="KX1" t="s">
        <v>1762</v>
      </c>
      <c r="KY1" t="s">
        <v>1763</v>
      </c>
      <c r="KZ1" t="s">
        <v>1764</v>
      </c>
      <c r="LA1" t="s">
        <v>1765</v>
      </c>
      <c r="LB1" t="s">
        <v>1766</v>
      </c>
      <c r="LC1" t="s">
        <v>1767</v>
      </c>
      <c r="LD1" t="s">
        <v>1768</v>
      </c>
      <c r="LE1" t="s">
        <v>1769</v>
      </c>
      <c r="LF1" t="s">
        <v>1770</v>
      </c>
      <c r="LG1" t="s">
        <v>1771</v>
      </c>
      <c r="LH1" t="s">
        <v>1772</v>
      </c>
      <c r="LI1" t="s">
        <v>1773</v>
      </c>
      <c r="LJ1" t="s">
        <v>1774</v>
      </c>
      <c r="LK1" t="s">
        <v>1775</v>
      </c>
      <c r="LL1" t="s">
        <v>1776</v>
      </c>
      <c r="LM1" t="s">
        <v>1777</v>
      </c>
      <c r="LN1" t="s">
        <v>1778</v>
      </c>
      <c r="LO1" t="s">
        <v>1779</v>
      </c>
      <c r="LP1" t="s">
        <v>1780</v>
      </c>
      <c r="LQ1" t="s">
        <v>1781</v>
      </c>
      <c r="LR1" t="s">
        <v>1782</v>
      </c>
      <c r="LS1" t="s">
        <v>1783</v>
      </c>
      <c r="LT1" t="s">
        <v>1784</v>
      </c>
      <c r="LU1" t="s">
        <v>1785</v>
      </c>
      <c r="LV1" t="s">
        <v>1786</v>
      </c>
      <c r="LW1" t="s">
        <v>1787</v>
      </c>
      <c r="LX1" t="s">
        <v>1788</v>
      </c>
      <c r="LY1" t="s">
        <v>1789</v>
      </c>
      <c r="LZ1" t="s">
        <v>1790</v>
      </c>
      <c r="MA1" t="s">
        <v>1791</v>
      </c>
      <c r="MB1" t="s">
        <v>1792</v>
      </c>
      <c r="MC1" t="s">
        <v>1793</v>
      </c>
      <c r="MD1" t="s">
        <v>1794</v>
      </c>
      <c r="ME1" t="s">
        <v>1795</v>
      </c>
      <c r="MF1" t="s">
        <v>1796</v>
      </c>
      <c r="MG1" t="s">
        <v>1797</v>
      </c>
      <c r="MH1" t="s">
        <v>1798</v>
      </c>
      <c r="MI1" t="s">
        <v>1799</v>
      </c>
      <c r="MJ1" t="s">
        <v>1800</v>
      </c>
      <c r="MK1" t="s">
        <v>1801</v>
      </c>
      <c r="ML1" t="s">
        <v>1802</v>
      </c>
      <c r="MM1" t="s">
        <v>1803</v>
      </c>
      <c r="MN1" t="s">
        <v>1804</v>
      </c>
      <c r="MO1" t="s">
        <v>1805</v>
      </c>
      <c r="MP1" t="s">
        <v>1806</v>
      </c>
      <c r="MQ1" t="s">
        <v>1807</v>
      </c>
      <c r="MR1" t="s">
        <v>1808</v>
      </c>
      <c r="MS1" t="s">
        <v>1809</v>
      </c>
      <c r="MT1" t="s">
        <v>1810</v>
      </c>
      <c r="MU1" t="s">
        <v>1811</v>
      </c>
      <c r="MV1" t="s">
        <v>1812</v>
      </c>
      <c r="MW1" t="s">
        <v>1813</v>
      </c>
      <c r="MX1" t="s">
        <v>1814</v>
      </c>
      <c r="MY1" t="s">
        <v>1815</v>
      </c>
      <c r="MZ1" t="s">
        <v>1816</v>
      </c>
      <c r="NA1" t="s">
        <v>1817</v>
      </c>
      <c r="NB1" t="s">
        <v>1818</v>
      </c>
      <c r="NC1" t="s">
        <v>1819</v>
      </c>
      <c r="ND1" t="s">
        <v>1820</v>
      </c>
      <c r="NE1" t="s">
        <v>1821</v>
      </c>
      <c r="NF1" t="s">
        <v>1822</v>
      </c>
      <c r="NG1" t="s">
        <v>1823</v>
      </c>
      <c r="NH1" t="s">
        <v>1824</v>
      </c>
      <c r="NI1" t="s">
        <v>1825</v>
      </c>
      <c r="NJ1" t="s">
        <v>1826</v>
      </c>
      <c r="NK1" t="s">
        <v>1827</v>
      </c>
      <c r="NL1" t="s">
        <v>1828</v>
      </c>
      <c r="NM1" t="s">
        <v>1829</v>
      </c>
      <c r="NN1" t="s">
        <v>1830</v>
      </c>
      <c r="NO1" t="s">
        <v>1831</v>
      </c>
      <c r="NP1" t="s">
        <v>1832</v>
      </c>
      <c r="NR1" t="s">
        <v>1833</v>
      </c>
      <c r="NS1" t="s">
        <v>1834</v>
      </c>
      <c r="NU1" t="s">
        <v>1835</v>
      </c>
      <c r="NV1" t="s">
        <v>1836</v>
      </c>
      <c r="NX1" t="s">
        <v>1837</v>
      </c>
      <c r="NY1" t="s">
        <v>1838</v>
      </c>
    </row>
    <row r="2" spans="1:389" ht="15" customHeight="1" x14ac:dyDescent="0.25">
      <c r="A2" t="s">
        <v>1839</v>
      </c>
      <c r="B2" t="s">
        <v>1840</v>
      </c>
      <c r="C2" t="s">
        <v>1841</v>
      </c>
      <c r="D2" t="s">
        <v>1458</v>
      </c>
      <c r="F2" t="s">
        <v>1842</v>
      </c>
      <c r="G2" t="s">
        <v>1839</v>
      </c>
      <c r="H2" t="s">
        <v>1843</v>
      </c>
      <c r="I2" t="s">
        <v>1843</v>
      </c>
      <c r="J2" t="s">
        <v>1843</v>
      </c>
      <c r="K2" t="s">
        <v>1839</v>
      </c>
      <c r="L2" t="s">
        <v>1839</v>
      </c>
      <c r="M2" t="s">
        <v>1839</v>
      </c>
      <c r="N2" t="s">
        <v>1839</v>
      </c>
      <c r="O2" t="s">
        <v>1843</v>
      </c>
      <c r="P2" t="s">
        <v>1839</v>
      </c>
      <c r="Q2" t="s">
        <v>1843</v>
      </c>
      <c r="R2" t="s">
        <v>1839</v>
      </c>
      <c r="S2" t="s">
        <v>1839</v>
      </c>
      <c r="T2" t="s">
        <v>1843</v>
      </c>
      <c r="U2" t="s">
        <v>1843</v>
      </c>
      <c r="V2" t="s">
        <v>1843</v>
      </c>
      <c r="W2" t="s">
        <v>1843</v>
      </c>
      <c r="X2" t="s">
        <v>1843</v>
      </c>
      <c r="Y2" t="s">
        <v>1843</v>
      </c>
      <c r="Z2" t="s">
        <v>1842</v>
      </c>
      <c r="AA2" t="s">
        <v>1843</v>
      </c>
      <c r="AB2" t="s">
        <v>1843</v>
      </c>
      <c r="AC2" t="s">
        <v>1843</v>
      </c>
      <c r="AD2" t="s">
        <v>1843</v>
      </c>
      <c r="AE2" t="s">
        <v>1843</v>
      </c>
      <c r="AF2" t="s">
        <v>1843</v>
      </c>
      <c r="AG2" t="s">
        <v>1843</v>
      </c>
      <c r="AH2" t="s">
        <v>1839</v>
      </c>
      <c r="AI2" t="s">
        <v>1843</v>
      </c>
      <c r="AJ2" t="s">
        <v>1843</v>
      </c>
      <c r="AK2" t="s">
        <v>1843</v>
      </c>
      <c r="AL2" t="s">
        <v>1843</v>
      </c>
      <c r="AM2" t="s">
        <v>1839</v>
      </c>
      <c r="AN2" t="s">
        <v>1843</v>
      </c>
      <c r="AO2" t="s">
        <v>1839</v>
      </c>
      <c r="AP2" t="s">
        <v>1839</v>
      </c>
      <c r="AQ2" t="s">
        <v>1839</v>
      </c>
      <c r="AR2" t="s">
        <v>1839</v>
      </c>
      <c r="AS2" t="s">
        <v>1843</v>
      </c>
      <c r="AT2" t="s">
        <v>1843</v>
      </c>
      <c r="AU2" t="s">
        <v>1843</v>
      </c>
      <c r="AV2" t="s">
        <v>1843</v>
      </c>
      <c r="AW2" t="s">
        <v>1843</v>
      </c>
      <c r="AX2" t="s">
        <v>1843</v>
      </c>
      <c r="AY2" t="s">
        <v>1843</v>
      </c>
      <c r="AZ2" t="s">
        <v>1843</v>
      </c>
      <c r="BA2" t="s">
        <v>1843</v>
      </c>
      <c r="BB2" t="s">
        <v>1843</v>
      </c>
      <c r="BC2" t="s">
        <v>1843</v>
      </c>
      <c r="BD2" t="s">
        <v>1843</v>
      </c>
      <c r="BE2" t="s">
        <v>1843</v>
      </c>
      <c r="BF2" t="s">
        <v>1843</v>
      </c>
      <c r="BG2" t="s">
        <v>1843</v>
      </c>
      <c r="BH2" t="s">
        <v>1843</v>
      </c>
      <c r="BI2" t="s">
        <v>1843</v>
      </c>
      <c r="BJ2" t="s">
        <v>1843</v>
      </c>
      <c r="BK2" t="s">
        <v>1843</v>
      </c>
      <c r="BL2" t="s">
        <v>1843</v>
      </c>
      <c r="BM2" t="s">
        <v>1843</v>
      </c>
      <c r="BN2" t="s">
        <v>1843</v>
      </c>
      <c r="BO2" t="s">
        <v>1843</v>
      </c>
      <c r="BP2" t="s">
        <v>1843</v>
      </c>
      <c r="BQ2" t="s">
        <v>1843</v>
      </c>
      <c r="BR2" t="s">
        <v>1843</v>
      </c>
      <c r="BS2" t="s">
        <v>1843</v>
      </c>
      <c r="BT2" t="s">
        <v>1843</v>
      </c>
      <c r="BU2" t="s">
        <v>1843</v>
      </c>
      <c r="BV2" t="s">
        <v>1843</v>
      </c>
      <c r="BW2" t="s">
        <v>1843</v>
      </c>
      <c r="BX2" t="s">
        <v>1843</v>
      </c>
      <c r="BY2" t="s">
        <v>1843</v>
      </c>
      <c r="BZ2" t="s">
        <v>1839</v>
      </c>
      <c r="CA2" t="s">
        <v>1839</v>
      </c>
      <c r="CB2" t="s">
        <v>1843</v>
      </c>
      <c r="CC2" t="s">
        <v>1843</v>
      </c>
      <c r="CD2" t="s">
        <v>1843</v>
      </c>
      <c r="CE2" t="s">
        <v>1839</v>
      </c>
      <c r="CF2" t="s">
        <v>1843</v>
      </c>
      <c r="CG2" t="s">
        <v>1843</v>
      </c>
      <c r="CH2" t="s">
        <v>1843</v>
      </c>
      <c r="CI2" t="s">
        <v>1843</v>
      </c>
      <c r="CJ2" t="s">
        <v>1843</v>
      </c>
      <c r="CK2" t="s">
        <v>1839</v>
      </c>
      <c r="CL2" t="s">
        <v>1839</v>
      </c>
      <c r="CM2" t="s">
        <v>1839</v>
      </c>
      <c r="CN2" t="s">
        <v>1839</v>
      </c>
      <c r="CO2" t="s">
        <v>1839</v>
      </c>
      <c r="CP2" t="s">
        <v>1839</v>
      </c>
      <c r="CQ2" t="s">
        <v>1839</v>
      </c>
      <c r="CR2" t="s">
        <v>1839</v>
      </c>
      <c r="CS2" t="s">
        <v>1843</v>
      </c>
      <c r="CT2" t="s">
        <v>1843</v>
      </c>
      <c r="CU2" t="s">
        <v>1839</v>
      </c>
      <c r="CV2" t="s">
        <v>1843</v>
      </c>
      <c r="CW2" t="s">
        <v>1843</v>
      </c>
      <c r="CX2" t="s">
        <v>1843</v>
      </c>
      <c r="CY2" t="s">
        <v>1843</v>
      </c>
      <c r="CZ2" t="s">
        <v>1839</v>
      </c>
      <c r="DA2" t="s">
        <v>1839</v>
      </c>
      <c r="DB2" t="s">
        <v>1839</v>
      </c>
      <c r="DC2" t="s">
        <v>1839</v>
      </c>
      <c r="DD2" t="s">
        <v>1843</v>
      </c>
      <c r="DE2" t="s">
        <v>1843</v>
      </c>
      <c r="DF2" t="s">
        <v>1843</v>
      </c>
      <c r="DG2" t="s">
        <v>1843</v>
      </c>
      <c r="DH2" t="s">
        <v>1843</v>
      </c>
      <c r="DI2" t="s">
        <v>1843</v>
      </c>
      <c r="DJ2" t="s">
        <v>1839</v>
      </c>
      <c r="DK2" t="s">
        <v>1839</v>
      </c>
      <c r="DL2" t="s">
        <v>1843</v>
      </c>
      <c r="DM2" t="s">
        <v>1843</v>
      </c>
      <c r="DN2" t="s">
        <v>1843</v>
      </c>
      <c r="DO2" t="s">
        <v>1839</v>
      </c>
      <c r="DP2" t="s">
        <v>1839</v>
      </c>
      <c r="DQ2" t="s">
        <v>1839</v>
      </c>
      <c r="DR2" t="s">
        <v>1839</v>
      </c>
      <c r="DS2" t="s">
        <v>1843</v>
      </c>
      <c r="DT2" t="s">
        <v>1839</v>
      </c>
      <c r="DU2" t="s">
        <v>1839</v>
      </c>
      <c r="DV2" t="s">
        <v>1839</v>
      </c>
      <c r="DW2" t="s">
        <v>1843</v>
      </c>
      <c r="DX2" t="s">
        <v>1843</v>
      </c>
      <c r="DY2" t="s">
        <v>1843</v>
      </c>
      <c r="DZ2" t="s">
        <v>1843</v>
      </c>
      <c r="EA2" t="s">
        <v>1839</v>
      </c>
      <c r="EB2" t="s">
        <v>1839</v>
      </c>
      <c r="EC2" t="s">
        <v>1839</v>
      </c>
      <c r="ED2" t="s">
        <v>1843</v>
      </c>
      <c r="EE2" t="s">
        <v>1843</v>
      </c>
      <c r="EF2" t="s">
        <v>1843</v>
      </c>
      <c r="EG2" t="s">
        <v>1839</v>
      </c>
      <c r="EH2" t="s">
        <v>1839</v>
      </c>
      <c r="EI2" t="s">
        <v>1839</v>
      </c>
      <c r="EJ2" t="s">
        <v>1839</v>
      </c>
      <c r="EK2" t="s">
        <v>1839</v>
      </c>
      <c r="EL2" t="s">
        <v>1839</v>
      </c>
      <c r="EM2" t="s">
        <v>1843</v>
      </c>
      <c r="EN2" t="s">
        <v>1843</v>
      </c>
      <c r="EO2" t="s">
        <v>1843</v>
      </c>
      <c r="EP2" t="s">
        <v>1842</v>
      </c>
      <c r="EQ2" t="s">
        <v>1842</v>
      </c>
      <c r="ER2" t="s">
        <v>1842</v>
      </c>
      <c r="ES2" t="s">
        <v>1842</v>
      </c>
      <c r="ET2" t="s">
        <v>1843</v>
      </c>
      <c r="EU2" t="s">
        <v>1843</v>
      </c>
      <c r="EV2" t="s">
        <v>1843</v>
      </c>
      <c r="EW2" t="s">
        <v>1843</v>
      </c>
      <c r="EX2" t="s">
        <v>1843</v>
      </c>
      <c r="EY2" t="s">
        <v>1839</v>
      </c>
      <c r="EZ2" t="s">
        <v>1843</v>
      </c>
      <c r="FA2" t="s">
        <v>1839</v>
      </c>
      <c r="FB2" t="s">
        <v>1839</v>
      </c>
      <c r="FC2" t="s">
        <v>1839</v>
      </c>
      <c r="FD2" t="s">
        <v>1843</v>
      </c>
      <c r="FE2" t="s">
        <v>1843</v>
      </c>
      <c r="FF2" t="s">
        <v>1839</v>
      </c>
      <c r="FG2" t="s">
        <v>1839</v>
      </c>
      <c r="FH2" t="s">
        <v>1839</v>
      </c>
      <c r="FI2" t="s">
        <v>1839</v>
      </c>
      <c r="FJ2" t="s">
        <v>1843</v>
      </c>
      <c r="FK2" t="s">
        <v>1843</v>
      </c>
      <c r="FL2" t="s">
        <v>1843</v>
      </c>
      <c r="FM2" t="s">
        <v>1843</v>
      </c>
      <c r="FN2" t="s">
        <v>1843</v>
      </c>
      <c r="FO2" t="s">
        <v>1843</v>
      </c>
      <c r="FP2" t="s">
        <v>1843</v>
      </c>
      <c r="FQ2" t="s">
        <v>1843</v>
      </c>
      <c r="FR2" t="s">
        <v>1843</v>
      </c>
      <c r="FS2" t="s">
        <v>1843</v>
      </c>
      <c r="FT2" t="s">
        <v>1843</v>
      </c>
      <c r="FU2" t="s">
        <v>1843</v>
      </c>
      <c r="FV2" t="s">
        <v>1843</v>
      </c>
      <c r="FW2" t="s">
        <v>1843</v>
      </c>
      <c r="FX2" t="s">
        <v>1843</v>
      </c>
      <c r="FY2" t="s">
        <v>1839</v>
      </c>
      <c r="FZ2" t="s">
        <v>1839</v>
      </c>
      <c r="GA2" t="s">
        <v>1839</v>
      </c>
      <c r="GB2" t="s">
        <v>1843</v>
      </c>
      <c r="GC2" t="s">
        <v>1843</v>
      </c>
      <c r="GD2" t="s">
        <v>1843</v>
      </c>
      <c r="GE2" t="s">
        <v>1843</v>
      </c>
      <c r="GF2" t="s">
        <v>1843</v>
      </c>
      <c r="GG2" t="s">
        <v>1843</v>
      </c>
      <c r="GH2" t="s">
        <v>1843</v>
      </c>
      <c r="GI2" t="s">
        <v>1843</v>
      </c>
      <c r="GJ2" t="s">
        <v>1843</v>
      </c>
      <c r="GK2" t="s">
        <v>1843</v>
      </c>
      <c r="GL2" t="s">
        <v>1843</v>
      </c>
      <c r="GM2" t="s">
        <v>1843</v>
      </c>
      <c r="GN2" t="s">
        <v>1843</v>
      </c>
      <c r="GO2" t="s">
        <v>1843</v>
      </c>
      <c r="GP2" t="s">
        <v>1843</v>
      </c>
      <c r="GQ2" t="s">
        <v>1843</v>
      </c>
      <c r="GR2" t="s">
        <v>1843</v>
      </c>
      <c r="GS2" t="s">
        <v>1843</v>
      </c>
      <c r="GT2" t="s">
        <v>1843</v>
      </c>
      <c r="GU2" t="s">
        <v>1843</v>
      </c>
      <c r="GV2" t="s">
        <v>1843</v>
      </c>
      <c r="GW2" t="s">
        <v>1843</v>
      </c>
      <c r="GX2" t="s">
        <v>1843</v>
      </c>
      <c r="GY2" t="s">
        <v>1843</v>
      </c>
      <c r="GZ2" t="s">
        <v>1843</v>
      </c>
      <c r="HA2" t="s">
        <v>1843</v>
      </c>
      <c r="HB2" t="s">
        <v>1843</v>
      </c>
      <c r="HC2" t="s">
        <v>1843</v>
      </c>
      <c r="HD2" t="s">
        <v>1839</v>
      </c>
      <c r="HE2" t="s">
        <v>1843</v>
      </c>
      <c r="HF2" t="s">
        <v>1839</v>
      </c>
      <c r="HG2" t="s">
        <v>1843</v>
      </c>
      <c r="HH2" t="s">
        <v>1843</v>
      </c>
      <c r="HI2" t="s">
        <v>1843</v>
      </c>
      <c r="HJ2" t="s">
        <v>1843</v>
      </c>
      <c r="HK2" t="s">
        <v>1843</v>
      </c>
      <c r="HL2" t="s">
        <v>1843</v>
      </c>
      <c r="HM2" t="s">
        <v>1843</v>
      </c>
      <c r="HN2" t="s">
        <v>1843</v>
      </c>
      <c r="HO2" t="s">
        <v>1839</v>
      </c>
      <c r="HP2" t="s">
        <v>1843</v>
      </c>
      <c r="HQ2" t="s">
        <v>1839</v>
      </c>
      <c r="HR2" t="s">
        <v>1839</v>
      </c>
      <c r="HS2" t="s">
        <v>1839</v>
      </c>
      <c r="HT2" t="s">
        <v>1843</v>
      </c>
      <c r="HU2" t="s">
        <v>1843</v>
      </c>
      <c r="HV2" t="s">
        <v>1843</v>
      </c>
      <c r="HW2" t="s">
        <v>1843</v>
      </c>
      <c r="HX2" t="s">
        <v>1843</v>
      </c>
      <c r="HY2" t="s">
        <v>1843</v>
      </c>
      <c r="HZ2" t="s">
        <v>1843</v>
      </c>
      <c r="IA2" t="s">
        <v>1843</v>
      </c>
      <c r="IB2" t="s">
        <v>1843</v>
      </c>
      <c r="IC2" t="s">
        <v>1843</v>
      </c>
      <c r="ID2" t="s">
        <v>1843</v>
      </c>
      <c r="IE2" t="s">
        <v>1843</v>
      </c>
      <c r="IF2" t="s">
        <v>1839</v>
      </c>
      <c r="IG2" t="s">
        <v>1839</v>
      </c>
      <c r="IH2" t="s">
        <v>1839</v>
      </c>
      <c r="II2" t="s">
        <v>1839</v>
      </c>
      <c r="IJ2" t="s">
        <v>1839</v>
      </c>
      <c r="IK2" t="s">
        <v>1843</v>
      </c>
      <c r="IL2" t="s">
        <v>1843</v>
      </c>
      <c r="IM2" t="s">
        <v>1843</v>
      </c>
      <c r="IN2" t="s">
        <v>1843</v>
      </c>
      <c r="IO2" t="s">
        <v>1839</v>
      </c>
      <c r="IP2" t="s">
        <v>1843</v>
      </c>
      <c r="IQ2" t="s">
        <v>1843</v>
      </c>
      <c r="IR2" t="s">
        <v>1843</v>
      </c>
      <c r="IS2" t="s">
        <v>1843</v>
      </c>
      <c r="IT2" t="s">
        <v>1843</v>
      </c>
      <c r="IU2" t="s">
        <v>1843</v>
      </c>
      <c r="IV2" t="s">
        <v>1843</v>
      </c>
      <c r="IW2" t="s">
        <v>1843</v>
      </c>
      <c r="IX2" t="s">
        <v>1843</v>
      </c>
      <c r="IY2" t="s">
        <v>1843</v>
      </c>
      <c r="IZ2" t="s">
        <v>1843</v>
      </c>
      <c r="JA2" t="s">
        <v>1843</v>
      </c>
      <c r="JB2" t="s">
        <v>1839</v>
      </c>
      <c r="JC2" t="s">
        <v>1843</v>
      </c>
      <c r="JD2" t="s">
        <v>1843</v>
      </c>
      <c r="JE2" t="s">
        <v>1843</v>
      </c>
      <c r="JF2" t="s">
        <v>1843</v>
      </c>
      <c r="JG2" t="s">
        <v>1843</v>
      </c>
      <c r="JH2" t="s">
        <v>1843</v>
      </c>
      <c r="JI2" t="s">
        <v>1843</v>
      </c>
      <c r="JJ2" t="s">
        <v>1843</v>
      </c>
      <c r="JK2" t="s">
        <v>1843</v>
      </c>
      <c r="JL2" t="s">
        <v>1839</v>
      </c>
      <c r="JM2" t="s">
        <v>1843</v>
      </c>
      <c r="JN2" t="s">
        <v>1843</v>
      </c>
      <c r="JO2" t="s">
        <v>1843</v>
      </c>
      <c r="JP2" t="s">
        <v>1843</v>
      </c>
      <c r="JQ2" t="s">
        <v>1843</v>
      </c>
      <c r="JR2" t="s">
        <v>1843</v>
      </c>
      <c r="JS2" t="s">
        <v>1843</v>
      </c>
      <c r="JT2" t="s">
        <v>1839</v>
      </c>
      <c r="JU2" t="s">
        <v>1843</v>
      </c>
      <c r="JV2" t="s">
        <v>1839</v>
      </c>
      <c r="JW2" t="s">
        <v>1843</v>
      </c>
      <c r="JX2" t="s">
        <v>1843</v>
      </c>
      <c r="JY2" t="s">
        <v>1843</v>
      </c>
      <c r="JZ2" t="s">
        <v>1839</v>
      </c>
      <c r="KA2" t="s">
        <v>1843</v>
      </c>
      <c r="KB2" t="s">
        <v>1843</v>
      </c>
      <c r="KC2" t="s">
        <v>1843</v>
      </c>
      <c r="KD2" t="s">
        <v>1843</v>
      </c>
      <c r="KE2" t="s">
        <v>1843</v>
      </c>
      <c r="KF2" t="s">
        <v>1843</v>
      </c>
      <c r="KG2" t="s">
        <v>1843</v>
      </c>
      <c r="KH2" t="s">
        <v>1843</v>
      </c>
      <c r="KI2" t="s">
        <v>1843</v>
      </c>
      <c r="KJ2" t="s">
        <v>1843</v>
      </c>
      <c r="KK2" t="s">
        <v>1843</v>
      </c>
      <c r="KL2" t="s">
        <v>1843</v>
      </c>
      <c r="KM2" t="s">
        <v>1843</v>
      </c>
      <c r="KN2" t="s">
        <v>1839</v>
      </c>
      <c r="KO2" t="s">
        <v>1843</v>
      </c>
      <c r="KP2" t="s">
        <v>1843</v>
      </c>
      <c r="KQ2" t="s">
        <v>1843</v>
      </c>
      <c r="KR2" t="s">
        <v>1843</v>
      </c>
      <c r="KS2" t="s">
        <v>1843</v>
      </c>
      <c r="KT2" t="s">
        <v>1843</v>
      </c>
      <c r="KU2" t="s">
        <v>1843</v>
      </c>
      <c r="KV2" t="s">
        <v>1843</v>
      </c>
      <c r="KW2" t="s">
        <v>1843</v>
      </c>
      <c r="KX2" t="s">
        <v>1843</v>
      </c>
      <c r="KY2" t="s">
        <v>1843</v>
      </c>
      <c r="KZ2" t="s">
        <v>1843</v>
      </c>
      <c r="LA2" t="s">
        <v>1843</v>
      </c>
      <c r="LB2" t="s">
        <v>1843</v>
      </c>
      <c r="LC2" t="s">
        <v>1843</v>
      </c>
      <c r="LD2" t="s">
        <v>1843</v>
      </c>
      <c r="LE2" t="s">
        <v>1843</v>
      </c>
      <c r="LF2" t="s">
        <v>1843</v>
      </c>
      <c r="LG2" t="s">
        <v>1839</v>
      </c>
      <c r="LH2" t="s">
        <v>1839</v>
      </c>
      <c r="LI2" t="s">
        <v>1839</v>
      </c>
      <c r="LJ2" t="s">
        <v>1843</v>
      </c>
      <c r="LK2" t="s">
        <v>1839</v>
      </c>
      <c r="LL2" t="s">
        <v>1839</v>
      </c>
      <c r="LM2" t="s">
        <v>1843</v>
      </c>
      <c r="LN2" t="s">
        <v>1843</v>
      </c>
      <c r="LO2" t="s">
        <v>1839</v>
      </c>
      <c r="LP2" t="s">
        <v>1839</v>
      </c>
      <c r="LQ2" t="s">
        <v>1839</v>
      </c>
      <c r="LR2" t="s">
        <v>1839</v>
      </c>
      <c r="LS2" t="s">
        <v>1843</v>
      </c>
      <c r="LT2" t="s">
        <v>1843</v>
      </c>
      <c r="LU2" t="s">
        <v>1843</v>
      </c>
      <c r="LV2" t="s">
        <v>1843</v>
      </c>
      <c r="LW2" t="s">
        <v>1839</v>
      </c>
      <c r="LX2" t="s">
        <v>1843</v>
      </c>
      <c r="LY2" t="s">
        <v>1843</v>
      </c>
      <c r="LZ2" t="s">
        <v>1843</v>
      </c>
      <c r="MA2" t="s">
        <v>1843</v>
      </c>
      <c r="MB2" t="s">
        <v>1843</v>
      </c>
      <c r="MC2" t="s">
        <v>1843</v>
      </c>
      <c r="MD2" t="s">
        <v>1839</v>
      </c>
      <c r="ME2" t="s">
        <v>1843</v>
      </c>
      <c r="MF2" t="s">
        <v>1843</v>
      </c>
      <c r="MG2" t="s">
        <v>1839</v>
      </c>
      <c r="MH2" t="s">
        <v>1839</v>
      </c>
      <c r="MI2" t="s">
        <v>1839</v>
      </c>
      <c r="MJ2" t="s">
        <v>1843</v>
      </c>
      <c r="MK2" t="s">
        <v>1843</v>
      </c>
      <c r="ML2" t="s">
        <v>1843</v>
      </c>
      <c r="MM2" t="s">
        <v>1843</v>
      </c>
      <c r="MN2" t="s">
        <v>1843</v>
      </c>
      <c r="MO2" t="s">
        <v>1843</v>
      </c>
      <c r="MP2" t="s">
        <v>1843</v>
      </c>
      <c r="MQ2" t="s">
        <v>1843</v>
      </c>
      <c r="MR2" t="s">
        <v>1843</v>
      </c>
      <c r="MS2" t="s">
        <v>1843</v>
      </c>
      <c r="MT2" t="s">
        <v>1843</v>
      </c>
      <c r="MU2" t="s">
        <v>1843</v>
      </c>
      <c r="MV2" t="s">
        <v>1843</v>
      </c>
      <c r="MW2" t="s">
        <v>1843</v>
      </c>
      <c r="MX2" t="s">
        <v>1839</v>
      </c>
      <c r="MY2" t="s">
        <v>1843</v>
      </c>
      <c r="MZ2" t="s">
        <v>1839</v>
      </c>
      <c r="NA2" t="s">
        <v>1843</v>
      </c>
      <c r="NB2" t="s">
        <v>1843</v>
      </c>
      <c r="NC2" t="s">
        <v>1843</v>
      </c>
      <c r="ND2" t="s">
        <v>1843</v>
      </c>
      <c r="NE2" t="s">
        <v>1844</v>
      </c>
      <c r="NF2" t="s">
        <v>1844</v>
      </c>
      <c r="NG2" t="s">
        <v>1843</v>
      </c>
      <c r="NH2" t="s">
        <v>1843</v>
      </c>
      <c r="NI2" t="s">
        <v>1843</v>
      </c>
      <c r="NJ2" t="s">
        <v>1843</v>
      </c>
      <c r="NK2" t="s">
        <v>1843</v>
      </c>
      <c r="NL2" t="s">
        <v>1843</v>
      </c>
      <c r="NM2" t="s">
        <v>1843</v>
      </c>
      <c r="NN2" t="s">
        <v>1839</v>
      </c>
      <c r="NR2" t="s">
        <v>1458</v>
      </c>
      <c r="NS2" t="s">
        <v>1845</v>
      </c>
      <c r="NU2" t="s">
        <v>1846</v>
      </c>
      <c r="NV2" t="s">
        <v>1847</v>
      </c>
      <c r="NX2" t="s">
        <v>1848</v>
      </c>
      <c r="NY2" t="s">
        <v>1849</v>
      </c>
    </row>
    <row r="3" spans="1:389" ht="15" customHeight="1" x14ac:dyDescent="0.25">
      <c r="A3" t="s">
        <v>1843</v>
      </c>
      <c r="B3" t="s">
        <v>1846</v>
      </c>
      <c r="C3" t="s">
        <v>1850</v>
      </c>
      <c r="D3" t="s">
        <v>1459</v>
      </c>
      <c r="F3" t="s">
        <v>1851</v>
      </c>
      <c r="G3" t="s">
        <v>1843</v>
      </c>
      <c r="H3" t="s">
        <v>1852</v>
      </c>
      <c r="I3" t="s">
        <v>1852</v>
      </c>
      <c r="J3" t="s">
        <v>1852</v>
      </c>
      <c r="K3" t="s">
        <v>1843</v>
      </c>
      <c r="L3" t="s">
        <v>1843</v>
      </c>
      <c r="M3" t="s">
        <v>1843</v>
      </c>
      <c r="N3" t="s">
        <v>1843</v>
      </c>
      <c r="O3" t="s">
        <v>1852</v>
      </c>
      <c r="P3" t="s">
        <v>1843</v>
      </c>
      <c r="Q3" t="s">
        <v>1852</v>
      </c>
      <c r="R3" t="s">
        <v>1843</v>
      </c>
      <c r="S3" t="s">
        <v>1843</v>
      </c>
      <c r="T3" t="s">
        <v>1852</v>
      </c>
      <c r="U3" t="s">
        <v>1852</v>
      </c>
      <c r="V3" t="s">
        <v>1852</v>
      </c>
      <c r="W3" t="s">
        <v>1852</v>
      </c>
      <c r="X3" t="s">
        <v>1852</v>
      </c>
      <c r="Y3" t="s">
        <v>1852</v>
      </c>
      <c r="Z3" t="s">
        <v>1851</v>
      </c>
      <c r="AA3" t="s">
        <v>1852</v>
      </c>
      <c r="AB3" t="s">
        <v>1852</v>
      </c>
      <c r="AC3" t="s">
        <v>1852</v>
      </c>
      <c r="AD3" t="s">
        <v>1852</v>
      </c>
      <c r="AE3" t="s">
        <v>1852</v>
      </c>
      <c r="AF3" t="s">
        <v>1852</v>
      </c>
      <c r="AG3" t="s">
        <v>1852</v>
      </c>
      <c r="AH3" t="s">
        <v>1843</v>
      </c>
      <c r="AI3" t="s">
        <v>1852</v>
      </c>
      <c r="AJ3" t="s">
        <v>1852</v>
      </c>
      <c r="AK3" t="s">
        <v>1852</v>
      </c>
      <c r="AL3" t="s">
        <v>1852</v>
      </c>
      <c r="AM3" t="s">
        <v>1843</v>
      </c>
      <c r="AN3" t="s">
        <v>1852</v>
      </c>
      <c r="AO3" t="s">
        <v>1843</v>
      </c>
      <c r="AP3" t="s">
        <v>1843</v>
      </c>
      <c r="AQ3" t="s">
        <v>1843</v>
      </c>
      <c r="AR3" t="s">
        <v>1843</v>
      </c>
      <c r="AS3" t="s">
        <v>1852</v>
      </c>
      <c r="AT3" t="s">
        <v>1852</v>
      </c>
      <c r="AU3" t="s">
        <v>1852</v>
      </c>
      <c r="AV3" t="s">
        <v>1852</v>
      </c>
      <c r="AW3" t="s">
        <v>1852</v>
      </c>
      <c r="AX3" t="s">
        <v>1852</v>
      </c>
      <c r="AY3" t="s">
        <v>1852</v>
      </c>
      <c r="AZ3" t="s">
        <v>1852</v>
      </c>
      <c r="BA3" t="s">
        <v>1852</v>
      </c>
      <c r="BB3" t="s">
        <v>1852</v>
      </c>
      <c r="BC3" t="s">
        <v>1852</v>
      </c>
      <c r="BD3" t="s">
        <v>1852</v>
      </c>
      <c r="BE3" t="s">
        <v>1852</v>
      </c>
      <c r="BF3" t="s">
        <v>1852</v>
      </c>
      <c r="BG3" t="s">
        <v>1852</v>
      </c>
      <c r="BH3" t="s">
        <v>1852</v>
      </c>
      <c r="BI3" t="s">
        <v>1852</v>
      </c>
      <c r="BJ3" t="s">
        <v>1852</v>
      </c>
      <c r="BK3" t="s">
        <v>1852</v>
      </c>
      <c r="BL3" t="s">
        <v>1852</v>
      </c>
      <c r="BM3" t="s">
        <v>1852</v>
      </c>
      <c r="BN3" t="s">
        <v>1852</v>
      </c>
      <c r="BO3" t="s">
        <v>1852</v>
      </c>
      <c r="BP3" t="s">
        <v>1852</v>
      </c>
      <c r="BQ3" t="s">
        <v>1852</v>
      </c>
      <c r="BR3" t="s">
        <v>1852</v>
      </c>
      <c r="BS3" t="s">
        <v>1852</v>
      </c>
      <c r="BT3" t="s">
        <v>1852</v>
      </c>
      <c r="BU3" t="s">
        <v>1852</v>
      </c>
      <c r="BV3" t="s">
        <v>1852</v>
      </c>
      <c r="BW3" t="s">
        <v>1852</v>
      </c>
      <c r="BX3" t="s">
        <v>1852</v>
      </c>
      <c r="BY3" t="s">
        <v>1852</v>
      </c>
      <c r="BZ3" t="s">
        <v>1843</v>
      </c>
      <c r="CA3" t="s">
        <v>1843</v>
      </c>
      <c r="CB3" t="s">
        <v>1852</v>
      </c>
      <c r="CC3" t="s">
        <v>1852</v>
      </c>
      <c r="CD3" t="s">
        <v>1852</v>
      </c>
      <c r="CE3" t="s">
        <v>1843</v>
      </c>
      <c r="CF3" t="s">
        <v>1852</v>
      </c>
      <c r="CG3" t="s">
        <v>1852</v>
      </c>
      <c r="CH3" t="s">
        <v>1852</v>
      </c>
      <c r="CI3" t="s">
        <v>1852</v>
      </c>
      <c r="CJ3" t="s">
        <v>1852</v>
      </c>
      <c r="CK3" t="s">
        <v>1843</v>
      </c>
      <c r="CL3" t="s">
        <v>1843</v>
      </c>
      <c r="CM3" t="s">
        <v>1843</v>
      </c>
      <c r="CN3" t="s">
        <v>1843</v>
      </c>
      <c r="CO3" t="s">
        <v>1843</v>
      </c>
      <c r="CP3" t="s">
        <v>1843</v>
      </c>
      <c r="CQ3" t="s">
        <v>1843</v>
      </c>
      <c r="CR3" t="s">
        <v>1843</v>
      </c>
      <c r="CS3" t="s">
        <v>1852</v>
      </c>
      <c r="CT3" t="s">
        <v>1852</v>
      </c>
      <c r="CU3" t="s">
        <v>1843</v>
      </c>
      <c r="CV3" t="s">
        <v>1852</v>
      </c>
      <c r="CW3" t="s">
        <v>1852</v>
      </c>
      <c r="CX3" t="s">
        <v>1852</v>
      </c>
      <c r="CY3" t="s">
        <v>1852</v>
      </c>
      <c r="CZ3" t="s">
        <v>1843</v>
      </c>
      <c r="DA3" t="s">
        <v>1843</v>
      </c>
      <c r="DB3" t="s">
        <v>1843</v>
      </c>
      <c r="DC3" t="s">
        <v>1843</v>
      </c>
      <c r="DD3" t="s">
        <v>1852</v>
      </c>
      <c r="DE3" t="s">
        <v>1852</v>
      </c>
      <c r="DF3" t="s">
        <v>1852</v>
      </c>
      <c r="DG3" t="s">
        <v>1852</v>
      </c>
      <c r="DH3" t="s">
        <v>1852</v>
      </c>
      <c r="DI3" t="s">
        <v>1852</v>
      </c>
      <c r="DJ3" t="s">
        <v>1843</v>
      </c>
      <c r="DK3" t="s">
        <v>1843</v>
      </c>
      <c r="DL3" t="s">
        <v>1852</v>
      </c>
      <c r="DM3" t="s">
        <v>1852</v>
      </c>
      <c r="DN3" t="s">
        <v>1852</v>
      </c>
      <c r="DO3" t="s">
        <v>1843</v>
      </c>
      <c r="DP3" t="s">
        <v>1843</v>
      </c>
      <c r="DQ3" t="s">
        <v>1843</v>
      </c>
      <c r="DR3" t="s">
        <v>1843</v>
      </c>
      <c r="DS3" t="s">
        <v>1852</v>
      </c>
      <c r="DT3" t="s">
        <v>1843</v>
      </c>
      <c r="DU3" t="s">
        <v>1843</v>
      </c>
      <c r="DV3" t="s">
        <v>1843</v>
      </c>
      <c r="DW3" t="s">
        <v>1852</v>
      </c>
      <c r="DX3" t="s">
        <v>1852</v>
      </c>
      <c r="DY3" t="s">
        <v>1852</v>
      </c>
      <c r="DZ3" t="s">
        <v>1852</v>
      </c>
      <c r="EA3" t="s">
        <v>1843</v>
      </c>
      <c r="EB3" t="s">
        <v>1843</v>
      </c>
      <c r="EC3" t="s">
        <v>1843</v>
      </c>
      <c r="ED3" t="s">
        <v>1852</v>
      </c>
      <c r="EE3" t="s">
        <v>1852</v>
      </c>
      <c r="EF3" t="s">
        <v>1852</v>
      </c>
      <c r="EG3" t="s">
        <v>1843</v>
      </c>
      <c r="EH3" t="s">
        <v>1843</v>
      </c>
      <c r="EI3" t="s">
        <v>1843</v>
      </c>
      <c r="EJ3" t="s">
        <v>1843</v>
      </c>
      <c r="EK3" t="s">
        <v>1843</v>
      </c>
      <c r="EL3" t="s">
        <v>1843</v>
      </c>
      <c r="EM3" t="s">
        <v>1852</v>
      </c>
      <c r="EN3" t="s">
        <v>1852</v>
      </c>
      <c r="EO3" t="s">
        <v>1852</v>
      </c>
      <c r="EP3" t="s">
        <v>1851</v>
      </c>
      <c r="EQ3" t="s">
        <v>1851</v>
      </c>
      <c r="ER3" t="s">
        <v>1851</v>
      </c>
      <c r="ES3" t="s">
        <v>1851</v>
      </c>
      <c r="ET3" t="s">
        <v>1852</v>
      </c>
      <c r="EU3" t="s">
        <v>1852</v>
      </c>
      <c r="EV3" t="s">
        <v>1852</v>
      </c>
      <c r="EW3" t="s">
        <v>1852</v>
      </c>
      <c r="EX3" t="s">
        <v>1852</v>
      </c>
      <c r="EY3" t="s">
        <v>1843</v>
      </c>
      <c r="EZ3" t="s">
        <v>1852</v>
      </c>
      <c r="FA3" t="s">
        <v>1843</v>
      </c>
      <c r="FB3" t="s">
        <v>1843</v>
      </c>
      <c r="FC3" t="s">
        <v>1843</v>
      </c>
      <c r="FD3" t="s">
        <v>1852</v>
      </c>
      <c r="FE3" t="s">
        <v>1852</v>
      </c>
      <c r="FF3" t="s">
        <v>1843</v>
      </c>
      <c r="FG3" t="s">
        <v>1843</v>
      </c>
      <c r="FH3" t="s">
        <v>1843</v>
      </c>
      <c r="FI3" t="s">
        <v>1843</v>
      </c>
      <c r="FJ3" t="s">
        <v>1852</v>
      </c>
      <c r="FK3" t="s">
        <v>1852</v>
      </c>
      <c r="FL3" t="s">
        <v>1852</v>
      </c>
      <c r="FM3" t="s">
        <v>1852</v>
      </c>
      <c r="FN3" t="s">
        <v>1852</v>
      </c>
      <c r="FO3" t="s">
        <v>1852</v>
      </c>
      <c r="FP3" t="s">
        <v>1852</v>
      </c>
      <c r="FQ3" t="s">
        <v>1852</v>
      </c>
      <c r="FR3" t="s">
        <v>1852</v>
      </c>
      <c r="FS3" t="s">
        <v>1852</v>
      </c>
      <c r="FT3" t="s">
        <v>1852</v>
      </c>
      <c r="FU3" t="s">
        <v>1852</v>
      </c>
      <c r="FV3" t="s">
        <v>1852</v>
      </c>
      <c r="FW3" t="s">
        <v>1852</v>
      </c>
      <c r="FX3" t="s">
        <v>1852</v>
      </c>
      <c r="FY3" t="s">
        <v>1843</v>
      </c>
      <c r="FZ3" t="s">
        <v>1843</v>
      </c>
      <c r="GA3" t="s">
        <v>1843</v>
      </c>
      <c r="GB3" t="s">
        <v>1852</v>
      </c>
      <c r="GC3" t="s">
        <v>1852</v>
      </c>
      <c r="GD3" t="s">
        <v>1852</v>
      </c>
      <c r="GE3" t="s">
        <v>1852</v>
      </c>
      <c r="GF3" t="s">
        <v>1852</v>
      </c>
      <c r="GG3" t="s">
        <v>1852</v>
      </c>
      <c r="GH3" t="s">
        <v>1852</v>
      </c>
      <c r="GI3" t="s">
        <v>1852</v>
      </c>
      <c r="GJ3" t="s">
        <v>1852</v>
      </c>
      <c r="GK3" t="s">
        <v>1852</v>
      </c>
      <c r="GL3" t="s">
        <v>1852</v>
      </c>
      <c r="GM3" t="s">
        <v>1852</v>
      </c>
      <c r="GN3" t="s">
        <v>1852</v>
      </c>
      <c r="GO3" t="s">
        <v>1852</v>
      </c>
      <c r="GP3" t="s">
        <v>1852</v>
      </c>
      <c r="GQ3" t="s">
        <v>1852</v>
      </c>
      <c r="GR3" t="s">
        <v>1852</v>
      </c>
      <c r="GS3" t="s">
        <v>1852</v>
      </c>
      <c r="GT3" t="s">
        <v>1852</v>
      </c>
      <c r="GU3" t="s">
        <v>1852</v>
      </c>
      <c r="GV3" t="s">
        <v>1852</v>
      </c>
      <c r="GW3" t="s">
        <v>1852</v>
      </c>
      <c r="GX3" t="s">
        <v>1852</v>
      </c>
      <c r="GY3" t="s">
        <v>1852</v>
      </c>
      <c r="GZ3" t="s">
        <v>1852</v>
      </c>
      <c r="HA3" t="s">
        <v>1852</v>
      </c>
      <c r="HB3" t="s">
        <v>1852</v>
      </c>
      <c r="HC3" t="s">
        <v>1852</v>
      </c>
      <c r="HD3" t="s">
        <v>1843</v>
      </c>
      <c r="HE3" t="s">
        <v>1852</v>
      </c>
      <c r="HF3" t="s">
        <v>1843</v>
      </c>
      <c r="HG3" t="s">
        <v>1852</v>
      </c>
      <c r="HH3" t="s">
        <v>1852</v>
      </c>
      <c r="HI3" t="s">
        <v>1852</v>
      </c>
      <c r="HJ3" t="s">
        <v>1852</v>
      </c>
      <c r="HK3" t="s">
        <v>1852</v>
      </c>
      <c r="HL3" t="s">
        <v>1852</v>
      </c>
      <c r="HM3" t="s">
        <v>1852</v>
      </c>
      <c r="HN3" t="s">
        <v>1852</v>
      </c>
      <c r="HO3" t="s">
        <v>1843</v>
      </c>
      <c r="HP3" t="s">
        <v>1852</v>
      </c>
      <c r="HQ3" t="s">
        <v>1843</v>
      </c>
      <c r="HR3" t="s">
        <v>1843</v>
      </c>
      <c r="HS3" t="s">
        <v>1843</v>
      </c>
      <c r="HT3" t="s">
        <v>1852</v>
      </c>
      <c r="HU3" t="s">
        <v>1852</v>
      </c>
      <c r="HV3" t="s">
        <v>1852</v>
      </c>
      <c r="HW3" t="s">
        <v>1852</v>
      </c>
      <c r="HX3" t="s">
        <v>1852</v>
      </c>
      <c r="HY3" t="s">
        <v>1852</v>
      </c>
      <c r="HZ3" t="s">
        <v>1852</v>
      </c>
      <c r="IA3" t="s">
        <v>1852</v>
      </c>
      <c r="IB3" t="s">
        <v>1852</v>
      </c>
      <c r="IC3" t="s">
        <v>1852</v>
      </c>
      <c r="ID3" t="s">
        <v>1852</v>
      </c>
      <c r="IE3" t="s">
        <v>1852</v>
      </c>
      <c r="IF3" t="s">
        <v>1843</v>
      </c>
      <c r="IG3" t="s">
        <v>1843</v>
      </c>
      <c r="IH3" t="s">
        <v>1843</v>
      </c>
      <c r="II3" t="s">
        <v>1843</v>
      </c>
      <c r="IJ3" t="s">
        <v>1843</v>
      </c>
      <c r="IK3" t="s">
        <v>1852</v>
      </c>
      <c r="IL3" t="s">
        <v>1852</v>
      </c>
      <c r="IM3" t="s">
        <v>1852</v>
      </c>
      <c r="IN3" t="s">
        <v>1852</v>
      </c>
      <c r="IO3" t="s">
        <v>1843</v>
      </c>
      <c r="IP3" t="s">
        <v>1852</v>
      </c>
      <c r="IQ3" t="s">
        <v>1852</v>
      </c>
      <c r="IR3" t="s">
        <v>1852</v>
      </c>
      <c r="IS3" t="s">
        <v>1852</v>
      </c>
      <c r="IT3" t="s">
        <v>1852</v>
      </c>
      <c r="IU3" t="s">
        <v>1852</v>
      </c>
      <c r="IV3" t="s">
        <v>1852</v>
      </c>
      <c r="IW3" t="s">
        <v>1852</v>
      </c>
      <c r="IX3" t="s">
        <v>1852</v>
      </c>
      <c r="IY3" t="s">
        <v>1852</v>
      </c>
      <c r="IZ3" t="s">
        <v>1852</v>
      </c>
      <c r="JA3" t="s">
        <v>1852</v>
      </c>
      <c r="JB3" t="s">
        <v>1843</v>
      </c>
      <c r="JC3" t="s">
        <v>1852</v>
      </c>
      <c r="JD3" t="s">
        <v>1852</v>
      </c>
      <c r="JE3" t="s">
        <v>1852</v>
      </c>
      <c r="JF3" t="s">
        <v>1852</v>
      </c>
      <c r="JG3" t="s">
        <v>1852</v>
      </c>
      <c r="JH3" t="s">
        <v>1852</v>
      </c>
      <c r="JI3" t="s">
        <v>1852</v>
      </c>
      <c r="JJ3" t="s">
        <v>1852</v>
      </c>
      <c r="JK3" t="s">
        <v>1852</v>
      </c>
      <c r="JL3" t="s">
        <v>1843</v>
      </c>
      <c r="JM3" t="s">
        <v>1852</v>
      </c>
      <c r="JN3" t="s">
        <v>1852</v>
      </c>
      <c r="JO3" t="s">
        <v>1852</v>
      </c>
      <c r="JP3" t="s">
        <v>1852</v>
      </c>
      <c r="JQ3" t="s">
        <v>1852</v>
      </c>
      <c r="JR3" t="s">
        <v>1852</v>
      </c>
      <c r="JS3" t="s">
        <v>1852</v>
      </c>
      <c r="JT3" t="s">
        <v>1843</v>
      </c>
      <c r="JU3" t="s">
        <v>1852</v>
      </c>
      <c r="JV3" t="s">
        <v>1843</v>
      </c>
      <c r="JW3" t="s">
        <v>1852</v>
      </c>
      <c r="JX3" t="s">
        <v>1852</v>
      </c>
      <c r="JY3" t="s">
        <v>1852</v>
      </c>
      <c r="JZ3" t="s">
        <v>1843</v>
      </c>
      <c r="KA3" t="s">
        <v>1852</v>
      </c>
      <c r="KB3" t="s">
        <v>1852</v>
      </c>
      <c r="KC3" t="s">
        <v>1852</v>
      </c>
      <c r="KD3" t="s">
        <v>1852</v>
      </c>
      <c r="KE3" t="s">
        <v>1852</v>
      </c>
      <c r="KF3" t="s">
        <v>1852</v>
      </c>
      <c r="KG3" t="s">
        <v>1852</v>
      </c>
      <c r="KH3" t="s">
        <v>1852</v>
      </c>
      <c r="KI3" t="s">
        <v>1852</v>
      </c>
      <c r="KJ3" t="s">
        <v>1852</v>
      </c>
      <c r="KK3" t="s">
        <v>1852</v>
      </c>
      <c r="KL3" t="s">
        <v>1852</v>
      </c>
      <c r="KM3" t="s">
        <v>1852</v>
      </c>
      <c r="KN3" t="s">
        <v>1843</v>
      </c>
      <c r="KO3" t="s">
        <v>1852</v>
      </c>
      <c r="KP3" t="s">
        <v>1852</v>
      </c>
      <c r="KQ3" t="s">
        <v>1852</v>
      </c>
      <c r="KR3" t="s">
        <v>1852</v>
      </c>
      <c r="KS3" t="s">
        <v>1852</v>
      </c>
      <c r="KT3" t="s">
        <v>1852</v>
      </c>
      <c r="KU3" t="s">
        <v>1852</v>
      </c>
      <c r="KV3" t="s">
        <v>1852</v>
      </c>
      <c r="KW3" t="s">
        <v>1852</v>
      </c>
      <c r="KX3" t="s">
        <v>1852</v>
      </c>
      <c r="KY3" t="s">
        <v>1852</v>
      </c>
      <c r="KZ3" t="s">
        <v>1852</v>
      </c>
      <c r="LA3" t="s">
        <v>1852</v>
      </c>
      <c r="LB3" t="s">
        <v>1852</v>
      </c>
      <c r="LC3" t="s">
        <v>1852</v>
      </c>
      <c r="LD3" t="s">
        <v>1852</v>
      </c>
      <c r="LE3" t="s">
        <v>1852</v>
      </c>
      <c r="LF3" t="s">
        <v>1852</v>
      </c>
      <c r="LG3" t="s">
        <v>1843</v>
      </c>
      <c r="LH3" t="s">
        <v>1843</v>
      </c>
      <c r="LI3" t="s">
        <v>1843</v>
      </c>
      <c r="LJ3" t="s">
        <v>1852</v>
      </c>
      <c r="LK3" t="s">
        <v>1843</v>
      </c>
      <c r="LL3" t="s">
        <v>1843</v>
      </c>
      <c r="LM3" t="s">
        <v>1852</v>
      </c>
      <c r="LN3" t="s">
        <v>1852</v>
      </c>
      <c r="LO3" t="s">
        <v>1843</v>
      </c>
      <c r="LP3" t="s">
        <v>1843</v>
      </c>
      <c r="LQ3" t="s">
        <v>1843</v>
      </c>
      <c r="LR3" t="s">
        <v>1843</v>
      </c>
      <c r="LS3" t="s">
        <v>1852</v>
      </c>
      <c r="LT3" t="s">
        <v>1852</v>
      </c>
      <c r="LU3" t="s">
        <v>1852</v>
      </c>
      <c r="LV3" t="s">
        <v>1852</v>
      </c>
      <c r="LW3" t="s">
        <v>1843</v>
      </c>
      <c r="LX3" t="s">
        <v>1852</v>
      </c>
      <c r="LY3" t="s">
        <v>1852</v>
      </c>
      <c r="LZ3" t="s">
        <v>1852</v>
      </c>
      <c r="MA3" t="s">
        <v>1852</v>
      </c>
      <c r="MB3" t="s">
        <v>1852</v>
      </c>
      <c r="MC3" t="s">
        <v>1852</v>
      </c>
      <c r="MD3" t="s">
        <v>1843</v>
      </c>
      <c r="ME3" t="s">
        <v>1852</v>
      </c>
      <c r="MF3" t="s">
        <v>1852</v>
      </c>
      <c r="MG3" t="s">
        <v>1843</v>
      </c>
      <c r="MH3" t="s">
        <v>1843</v>
      </c>
      <c r="MI3" t="s">
        <v>1843</v>
      </c>
      <c r="MJ3" t="s">
        <v>1852</v>
      </c>
      <c r="MK3" t="s">
        <v>1852</v>
      </c>
      <c r="ML3" t="s">
        <v>1852</v>
      </c>
      <c r="MM3" t="s">
        <v>1852</v>
      </c>
      <c r="MN3" t="s">
        <v>1852</v>
      </c>
      <c r="MO3" t="s">
        <v>1852</v>
      </c>
      <c r="MP3" t="s">
        <v>1852</v>
      </c>
      <c r="MQ3" t="s">
        <v>1852</v>
      </c>
      <c r="MR3" t="s">
        <v>1852</v>
      </c>
      <c r="MS3" t="s">
        <v>1852</v>
      </c>
      <c r="MT3" t="s">
        <v>1852</v>
      </c>
      <c r="MU3" t="s">
        <v>1852</v>
      </c>
      <c r="MV3" t="s">
        <v>1852</v>
      </c>
      <c r="MW3" t="s">
        <v>1852</v>
      </c>
      <c r="MX3" t="s">
        <v>1843</v>
      </c>
      <c r="MY3" t="s">
        <v>1852</v>
      </c>
      <c r="MZ3" t="s">
        <v>1843</v>
      </c>
      <c r="NA3" t="s">
        <v>1852</v>
      </c>
      <c r="NB3" t="s">
        <v>1852</v>
      </c>
      <c r="NC3" t="s">
        <v>1852</v>
      </c>
      <c r="ND3" t="s">
        <v>1852</v>
      </c>
      <c r="NE3" t="s">
        <v>1853</v>
      </c>
      <c r="NF3" t="s">
        <v>1853</v>
      </c>
      <c r="NG3" t="s">
        <v>1852</v>
      </c>
      <c r="NH3" t="s">
        <v>1852</v>
      </c>
      <c r="NI3" t="s">
        <v>1852</v>
      </c>
      <c r="NJ3" t="s">
        <v>1852</v>
      </c>
      <c r="NK3" t="s">
        <v>1852</v>
      </c>
      <c r="NL3" t="s">
        <v>1852</v>
      </c>
      <c r="NM3" t="s">
        <v>1852</v>
      </c>
      <c r="NN3" t="s">
        <v>1843</v>
      </c>
      <c r="NO3" t="s">
        <v>1854</v>
      </c>
      <c r="NP3" t="s">
        <v>1855</v>
      </c>
      <c r="NR3" t="s">
        <v>1459</v>
      </c>
      <c r="NS3" t="s">
        <v>1856</v>
      </c>
      <c r="NU3" t="s">
        <v>1840</v>
      </c>
      <c r="NV3" t="s">
        <v>1847</v>
      </c>
      <c r="NX3" t="s">
        <v>1857</v>
      </c>
      <c r="NY3" t="s">
        <v>1846</v>
      </c>
    </row>
    <row r="4" spans="1:389" ht="15" customHeight="1" x14ac:dyDescent="0.25">
      <c r="A4" t="s">
        <v>1852</v>
      </c>
      <c r="B4" t="s">
        <v>1858</v>
      </c>
      <c r="C4" t="s">
        <v>1850</v>
      </c>
      <c r="D4" t="s">
        <v>1460</v>
      </c>
      <c r="G4" t="s">
        <v>1852</v>
      </c>
      <c r="H4" t="s">
        <v>1859</v>
      </c>
      <c r="I4" t="s">
        <v>1859</v>
      </c>
      <c r="J4" t="s">
        <v>1859</v>
      </c>
      <c r="K4" t="s">
        <v>1852</v>
      </c>
      <c r="L4" t="s">
        <v>1852</v>
      </c>
      <c r="M4" t="s">
        <v>1852</v>
      </c>
      <c r="N4" t="s">
        <v>1852</v>
      </c>
      <c r="O4" t="s">
        <v>1859</v>
      </c>
      <c r="P4" t="s">
        <v>1852</v>
      </c>
      <c r="Q4" t="s">
        <v>1859</v>
      </c>
      <c r="R4" t="s">
        <v>1852</v>
      </c>
      <c r="S4" t="s">
        <v>1852</v>
      </c>
      <c r="T4" t="s">
        <v>1859</v>
      </c>
      <c r="U4" t="s">
        <v>1859</v>
      </c>
      <c r="V4" t="s">
        <v>1859</v>
      </c>
      <c r="W4" t="s">
        <v>1859</v>
      </c>
      <c r="X4" t="s">
        <v>1859</v>
      </c>
      <c r="Y4" t="s">
        <v>1859</v>
      </c>
      <c r="AA4" t="s">
        <v>1859</v>
      </c>
      <c r="AB4" t="s">
        <v>1859</v>
      </c>
      <c r="AC4" t="s">
        <v>1859</v>
      </c>
      <c r="AD4" t="s">
        <v>1859</v>
      </c>
      <c r="AE4" t="s">
        <v>1859</v>
      </c>
      <c r="AF4" t="s">
        <v>1859</v>
      </c>
      <c r="AG4" t="s">
        <v>1859</v>
      </c>
      <c r="AH4" t="s">
        <v>1852</v>
      </c>
      <c r="AI4" t="s">
        <v>1859</v>
      </c>
      <c r="AJ4" t="s">
        <v>1859</v>
      </c>
      <c r="AK4" t="s">
        <v>1859</v>
      </c>
      <c r="AL4" t="s">
        <v>1859</v>
      </c>
      <c r="AM4" t="s">
        <v>1852</v>
      </c>
      <c r="AN4" t="s">
        <v>1859</v>
      </c>
      <c r="AO4" t="s">
        <v>1852</v>
      </c>
      <c r="AP4" t="s">
        <v>1852</v>
      </c>
      <c r="AQ4" t="s">
        <v>1852</v>
      </c>
      <c r="AR4" t="s">
        <v>1852</v>
      </c>
      <c r="AS4" t="s">
        <v>1859</v>
      </c>
      <c r="AT4" t="s">
        <v>1859</v>
      </c>
      <c r="AU4" t="s">
        <v>1859</v>
      </c>
      <c r="AV4" t="s">
        <v>1859</v>
      </c>
      <c r="AW4" t="s">
        <v>1859</v>
      </c>
      <c r="AX4" t="s">
        <v>1859</v>
      </c>
      <c r="AY4" t="s">
        <v>1859</v>
      </c>
      <c r="AZ4" t="s">
        <v>1859</v>
      </c>
      <c r="BA4" t="s">
        <v>1859</v>
      </c>
      <c r="BB4" t="s">
        <v>1859</v>
      </c>
      <c r="BC4" t="s">
        <v>1859</v>
      </c>
      <c r="BD4" t="s">
        <v>1859</v>
      </c>
      <c r="BE4" t="s">
        <v>1859</v>
      </c>
      <c r="BF4" t="s">
        <v>1859</v>
      </c>
      <c r="BG4" t="s">
        <v>1859</v>
      </c>
      <c r="BH4" t="s">
        <v>1859</v>
      </c>
      <c r="BI4" t="s">
        <v>1859</v>
      </c>
      <c r="BJ4" t="s">
        <v>1859</v>
      </c>
      <c r="BK4" t="s">
        <v>1859</v>
      </c>
      <c r="BL4" t="s">
        <v>1859</v>
      </c>
      <c r="BM4" t="s">
        <v>1859</v>
      </c>
      <c r="BN4" t="s">
        <v>1859</v>
      </c>
      <c r="BO4" t="s">
        <v>1859</v>
      </c>
      <c r="BP4" t="s">
        <v>1859</v>
      </c>
      <c r="BQ4" t="s">
        <v>1859</v>
      </c>
      <c r="BR4" t="s">
        <v>1859</v>
      </c>
      <c r="BS4" t="s">
        <v>1859</v>
      </c>
      <c r="BT4" t="s">
        <v>1859</v>
      </c>
      <c r="BU4" t="s">
        <v>1859</v>
      </c>
      <c r="BV4" t="s">
        <v>1859</v>
      </c>
      <c r="BW4" t="s">
        <v>1859</v>
      </c>
      <c r="BX4" t="s">
        <v>1859</v>
      </c>
      <c r="BY4" t="s">
        <v>1859</v>
      </c>
      <c r="BZ4" t="s">
        <v>1852</v>
      </c>
      <c r="CA4" t="s">
        <v>1852</v>
      </c>
      <c r="CB4" t="s">
        <v>1859</v>
      </c>
      <c r="CC4" t="s">
        <v>1859</v>
      </c>
      <c r="CD4" t="s">
        <v>1859</v>
      </c>
      <c r="CE4" t="s">
        <v>1852</v>
      </c>
      <c r="CF4" t="s">
        <v>1859</v>
      </c>
      <c r="CG4" t="s">
        <v>1859</v>
      </c>
      <c r="CH4" t="s">
        <v>1859</v>
      </c>
      <c r="CI4" t="s">
        <v>1859</v>
      </c>
      <c r="CJ4" t="s">
        <v>1859</v>
      </c>
      <c r="CK4" t="s">
        <v>1852</v>
      </c>
      <c r="CL4" t="s">
        <v>1852</v>
      </c>
      <c r="CM4" t="s">
        <v>1852</v>
      </c>
      <c r="CN4" t="s">
        <v>1852</v>
      </c>
      <c r="CO4" t="s">
        <v>1852</v>
      </c>
      <c r="CP4" t="s">
        <v>1852</v>
      </c>
      <c r="CQ4" t="s">
        <v>1852</v>
      </c>
      <c r="CR4" t="s">
        <v>1852</v>
      </c>
      <c r="CS4" t="s">
        <v>1859</v>
      </c>
      <c r="CT4" t="s">
        <v>1859</v>
      </c>
      <c r="CU4" t="s">
        <v>1852</v>
      </c>
      <c r="CV4" t="s">
        <v>1859</v>
      </c>
      <c r="CW4" t="s">
        <v>1859</v>
      </c>
      <c r="CX4" t="s">
        <v>1859</v>
      </c>
      <c r="CY4" t="s">
        <v>1859</v>
      </c>
      <c r="CZ4" t="s">
        <v>1852</v>
      </c>
      <c r="DA4" t="s">
        <v>1852</v>
      </c>
      <c r="DB4" t="s">
        <v>1852</v>
      </c>
      <c r="DC4" t="s">
        <v>1852</v>
      </c>
      <c r="DD4" t="s">
        <v>1859</v>
      </c>
      <c r="DE4" t="s">
        <v>1859</v>
      </c>
      <c r="DF4" t="s">
        <v>1859</v>
      </c>
      <c r="DG4" t="s">
        <v>1859</v>
      </c>
      <c r="DH4" t="s">
        <v>1859</v>
      </c>
      <c r="DI4" t="s">
        <v>1859</v>
      </c>
      <c r="DJ4" t="s">
        <v>1852</v>
      </c>
      <c r="DK4" t="s">
        <v>1852</v>
      </c>
      <c r="DL4" t="s">
        <v>1859</v>
      </c>
      <c r="DM4" t="s">
        <v>1859</v>
      </c>
      <c r="DN4" t="s">
        <v>1859</v>
      </c>
      <c r="DO4" t="s">
        <v>1852</v>
      </c>
      <c r="DP4" t="s">
        <v>1852</v>
      </c>
      <c r="DQ4" t="s">
        <v>1852</v>
      </c>
      <c r="DR4" t="s">
        <v>1852</v>
      </c>
      <c r="DS4" t="s">
        <v>1859</v>
      </c>
      <c r="DT4" t="s">
        <v>1852</v>
      </c>
      <c r="DU4" t="s">
        <v>1852</v>
      </c>
      <c r="DV4" t="s">
        <v>1852</v>
      </c>
      <c r="DW4" t="s">
        <v>1859</v>
      </c>
      <c r="DX4" t="s">
        <v>1859</v>
      </c>
      <c r="DY4" t="s">
        <v>1859</v>
      </c>
      <c r="DZ4" t="s">
        <v>1859</v>
      </c>
      <c r="EA4" t="s">
        <v>1852</v>
      </c>
      <c r="EB4" t="s">
        <v>1852</v>
      </c>
      <c r="EC4" t="s">
        <v>1852</v>
      </c>
      <c r="ED4" t="s">
        <v>1859</v>
      </c>
      <c r="EE4" t="s">
        <v>1859</v>
      </c>
      <c r="EF4" t="s">
        <v>1859</v>
      </c>
      <c r="EG4" t="s">
        <v>1852</v>
      </c>
      <c r="EH4" t="s">
        <v>1852</v>
      </c>
      <c r="EI4" t="s">
        <v>1852</v>
      </c>
      <c r="EJ4" t="s">
        <v>1852</v>
      </c>
      <c r="EK4" t="s">
        <v>1852</v>
      </c>
      <c r="EL4" t="s">
        <v>1852</v>
      </c>
      <c r="EM4" t="s">
        <v>1859</v>
      </c>
      <c r="EN4" t="s">
        <v>1859</v>
      </c>
      <c r="EO4" t="s">
        <v>1859</v>
      </c>
      <c r="ET4" t="s">
        <v>1859</v>
      </c>
      <c r="EU4" t="s">
        <v>1859</v>
      </c>
      <c r="EV4" t="s">
        <v>1859</v>
      </c>
      <c r="EW4" t="s">
        <v>1859</v>
      </c>
      <c r="EX4" t="s">
        <v>1859</v>
      </c>
      <c r="EY4" t="s">
        <v>1852</v>
      </c>
      <c r="EZ4" t="s">
        <v>1859</v>
      </c>
      <c r="FA4" t="s">
        <v>1852</v>
      </c>
      <c r="FB4" t="s">
        <v>1852</v>
      </c>
      <c r="FC4" t="s">
        <v>1852</v>
      </c>
      <c r="FD4" t="s">
        <v>1859</v>
      </c>
      <c r="FE4" t="s">
        <v>1859</v>
      </c>
      <c r="FF4" t="s">
        <v>1852</v>
      </c>
      <c r="FG4" t="s">
        <v>1852</v>
      </c>
      <c r="FH4" t="s">
        <v>1852</v>
      </c>
      <c r="FI4" t="s">
        <v>1852</v>
      </c>
      <c r="FJ4" t="s">
        <v>1859</v>
      </c>
      <c r="FK4" t="s">
        <v>1859</v>
      </c>
      <c r="FL4" t="s">
        <v>1859</v>
      </c>
      <c r="FM4" t="s">
        <v>1859</v>
      </c>
      <c r="FN4" t="s">
        <v>1859</v>
      </c>
      <c r="FO4" t="s">
        <v>1859</v>
      </c>
      <c r="FP4" t="s">
        <v>1859</v>
      </c>
      <c r="FQ4" t="s">
        <v>1859</v>
      </c>
      <c r="FR4" t="s">
        <v>1859</v>
      </c>
      <c r="FS4" t="s">
        <v>1859</v>
      </c>
      <c r="FT4" t="s">
        <v>1859</v>
      </c>
      <c r="FU4" t="s">
        <v>1859</v>
      </c>
      <c r="FV4" t="s">
        <v>1859</v>
      </c>
      <c r="FW4" t="s">
        <v>1859</v>
      </c>
      <c r="FX4" t="s">
        <v>1859</v>
      </c>
      <c r="FY4" t="s">
        <v>1852</v>
      </c>
      <c r="FZ4" t="s">
        <v>1852</v>
      </c>
      <c r="GA4" t="s">
        <v>1852</v>
      </c>
      <c r="GB4" t="s">
        <v>1859</v>
      </c>
      <c r="GC4" t="s">
        <v>1859</v>
      </c>
      <c r="GD4" t="s">
        <v>1859</v>
      </c>
      <c r="GE4" t="s">
        <v>1859</v>
      </c>
      <c r="GF4" t="s">
        <v>1859</v>
      </c>
      <c r="GG4" t="s">
        <v>1859</v>
      </c>
      <c r="GH4" t="s">
        <v>1859</v>
      </c>
      <c r="GI4" t="s">
        <v>1859</v>
      </c>
      <c r="GJ4" t="s">
        <v>1859</v>
      </c>
      <c r="GK4" t="s">
        <v>1859</v>
      </c>
      <c r="GL4" t="s">
        <v>1859</v>
      </c>
      <c r="GM4" t="s">
        <v>1859</v>
      </c>
      <c r="GN4" t="s">
        <v>1859</v>
      </c>
      <c r="GO4" t="s">
        <v>1859</v>
      </c>
      <c r="GP4" t="s">
        <v>1859</v>
      </c>
      <c r="GQ4" t="s">
        <v>1859</v>
      </c>
      <c r="GR4" t="s">
        <v>1859</v>
      </c>
      <c r="GS4" t="s">
        <v>1859</v>
      </c>
      <c r="GT4" t="s">
        <v>1859</v>
      </c>
      <c r="GU4" t="s">
        <v>1859</v>
      </c>
      <c r="GV4" t="s">
        <v>1859</v>
      </c>
      <c r="GW4" t="s">
        <v>1859</v>
      </c>
      <c r="GX4" t="s">
        <v>1859</v>
      </c>
      <c r="GY4" t="s">
        <v>1859</v>
      </c>
      <c r="GZ4" t="s">
        <v>1859</v>
      </c>
      <c r="HA4" t="s">
        <v>1859</v>
      </c>
      <c r="HB4" t="s">
        <v>1859</v>
      </c>
      <c r="HC4" t="s">
        <v>1859</v>
      </c>
      <c r="HD4" t="s">
        <v>1852</v>
      </c>
      <c r="HE4" t="s">
        <v>1859</v>
      </c>
      <c r="HF4" t="s">
        <v>1852</v>
      </c>
      <c r="HG4" t="s">
        <v>1859</v>
      </c>
      <c r="HH4" t="s">
        <v>1859</v>
      </c>
      <c r="HI4" t="s">
        <v>1859</v>
      </c>
      <c r="HJ4" t="s">
        <v>1859</v>
      </c>
      <c r="HK4" t="s">
        <v>1859</v>
      </c>
      <c r="HL4" t="s">
        <v>1859</v>
      </c>
      <c r="HM4" t="s">
        <v>1859</v>
      </c>
      <c r="HN4" t="s">
        <v>1859</v>
      </c>
      <c r="HO4" t="s">
        <v>1852</v>
      </c>
      <c r="HP4" t="s">
        <v>1859</v>
      </c>
      <c r="HQ4" t="s">
        <v>1852</v>
      </c>
      <c r="HR4" t="s">
        <v>1852</v>
      </c>
      <c r="HS4" t="s">
        <v>1852</v>
      </c>
      <c r="HT4" t="s">
        <v>1859</v>
      </c>
      <c r="HU4" t="s">
        <v>1859</v>
      </c>
      <c r="HV4" t="s">
        <v>1859</v>
      </c>
      <c r="HW4" t="s">
        <v>1859</v>
      </c>
      <c r="HX4" t="s">
        <v>1859</v>
      </c>
      <c r="HY4" t="s">
        <v>1859</v>
      </c>
      <c r="HZ4" t="s">
        <v>1859</v>
      </c>
      <c r="IA4" t="s">
        <v>1859</v>
      </c>
      <c r="IB4" t="s">
        <v>1859</v>
      </c>
      <c r="IC4" t="s">
        <v>1859</v>
      </c>
      <c r="ID4" t="s">
        <v>1859</v>
      </c>
      <c r="IE4" t="s">
        <v>1859</v>
      </c>
      <c r="IF4" t="s">
        <v>1852</v>
      </c>
      <c r="IG4" t="s">
        <v>1852</v>
      </c>
      <c r="IH4" t="s">
        <v>1852</v>
      </c>
      <c r="II4" t="s">
        <v>1852</v>
      </c>
      <c r="IJ4" t="s">
        <v>1852</v>
      </c>
      <c r="IK4" t="s">
        <v>1859</v>
      </c>
      <c r="IL4" t="s">
        <v>1859</v>
      </c>
      <c r="IM4" t="s">
        <v>1859</v>
      </c>
      <c r="IN4" t="s">
        <v>1859</v>
      </c>
      <c r="IO4" t="s">
        <v>1852</v>
      </c>
      <c r="IP4" t="s">
        <v>1859</v>
      </c>
      <c r="IQ4" t="s">
        <v>1859</v>
      </c>
      <c r="IR4" t="s">
        <v>1859</v>
      </c>
      <c r="IS4" t="s">
        <v>1859</v>
      </c>
      <c r="IT4" t="s">
        <v>1859</v>
      </c>
      <c r="IU4" t="s">
        <v>1859</v>
      </c>
      <c r="IV4" t="s">
        <v>1859</v>
      </c>
      <c r="IW4" t="s">
        <v>1859</v>
      </c>
      <c r="IX4" t="s">
        <v>1859</v>
      </c>
      <c r="IY4" t="s">
        <v>1859</v>
      </c>
      <c r="IZ4" t="s">
        <v>1859</v>
      </c>
      <c r="JA4" t="s">
        <v>1859</v>
      </c>
      <c r="JB4" t="s">
        <v>1852</v>
      </c>
      <c r="JC4" t="s">
        <v>1859</v>
      </c>
      <c r="JD4" t="s">
        <v>1859</v>
      </c>
      <c r="JE4" t="s">
        <v>1859</v>
      </c>
      <c r="JF4" t="s">
        <v>1859</v>
      </c>
      <c r="JG4" t="s">
        <v>1859</v>
      </c>
      <c r="JH4" t="s">
        <v>1859</v>
      </c>
      <c r="JI4" t="s">
        <v>1859</v>
      </c>
      <c r="JJ4" t="s">
        <v>1859</v>
      </c>
      <c r="JK4" t="s">
        <v>1859</v>
      </c>
      <c r="JL4" t="s">
        <v>1852</v>
      </c>
      <c r="JM4" t="s">
        <v>1859</v>
      </c>
      <c r="JN4" t="s">
        <v>1859</v>
      </c>
      <c r="JO4" t="s">
        <v>1859</v>
      </c>
      <c r="JP4" t="s">
        <v>1859</v>
      </c>
      <c r="JQ4" t="s">
        <v>1859</v>
      </c>
      <c r="JR4" t="s">
        <v>1859</v>
      </c>
      <c r="JS4" t="s">
        <v>1859</v>
      </c>
      <c r="JT4" t="s">
        <v>1852</v>
      </c>
      <c r="JU4" t="s">
        <v>1859</v>
      </c>
      <c r="JV4" t="s">
        <v>1852</v>
      </c>
      <c r="JW4" t="s">
        <v>1859</v>
      </c>
      <c r="JX4" t="s">
        <v>1859</v>
      </c>
      <c r="JY4" t="s">
        <v>1859</v>
      </c>
      <c r="JZ4" t="s">
        <v>1852</v>
      </c>
      <c r="KA4" t="s">
        <v>1859</v>
      </c>
      <c r="KB4" t="s">
        <v>1859</v>
      </c>
      <c r="KC4" t="s">
        <v>1859</v>
      </c>
      <c r="KD4" t="s">
        <v>1859</v>
      </c>
      <c r="KE4" t="s">
        <v>1859</v>
      </c>
      <c r="KF4" t="s">
        <v>1859</v>
      </c>
      <c r="KG4" t="s">
        <v>1859</v>
      </c>
      <c r="KH4" t="s">
        <v>1859</v>
      </c>
      <c r="KI4" t="s">
        <v>1859</v>
      </c>
      <c r="KJ4" t="s">
        <v>1859</v>
      </c>
      <c r="KK4" t="s">
        <v>1859</v>
      </c>
      <c r="KL4" t="s">
        <v>1859</v>
      </c>
      <c r="KM4" t="s">
        <v>1859</v>
      </c>
      <c r="KN4" t="s">
        <v>1852</v>
      </c>
      <c r="KO4" t="s">
        <v>1859</v>
      </c>
      <c r="KP4" t="s">
        <v>1859</v>
      </c>
      <c r="KQ4" t="s">
        <v>1859</v>
      </c>
      <c r="KR4" t="s">
        <v>1859</v>
      </c>
      <c r="KS4" t="s">
        <v>1859</v>
      </c>
      <c r="KT4" t="s">
        <v>1859</v>
      </c>
      <c r="KU4" t="s">
        <v>1859</v>
      </c>
      <c r="KV4" t="s">
        <v>1859</v>
      </c>
      <c r="KW4" t="s">
        <v>1859</v>
      </c>
      <c r="KX4" t="s">
        <v>1859</v>
      </c>
      <c r="KY4" t="s">
        <v>1859</v>
      </c>
      <c r="KZ4" t="s">
        <v>1859</v>
      </c>
      <c r="LA4" t="s">
        <v>1859</v>
      </c>
      <c r="LB4" t="s">
        <v>1859</v>
      </c>
      <c r="LC4" t="s">
        <v>1859</v>
      </c>
      <c r="LD4" t="s">
        <v>1859</v>
      </c>
      <c r="LE4" t="s">
        <v>1859</v>
      </c>
      <c r="LF4" t="s">
        <v>1859</v>
      </c>
      <c r="LG4" t="s">
        <v>1852</v>
      </c>
      <c r="LH4" t="s">
        <v>1852</v>
      </c>
      <c r="LI4" t="s">
        <v>1852</v>
      </c>
      <c r="LJ4" t="s">
        <v>1859</v>
      </c>
      <c r="LK4" t="s">
        <v>1852</v>
      </c>
      <c r="LL4" t="s">
        <v>1852</v>
      </c>
      <c r="LM4" t="s">
        <v>1859</v>
      </c>
      <c r="LN4" t="s">
        <v>1859</v>
      </c>
      <c r="LO4" t="s">
        <v>1852</v>
      </c>
      <c r="LP4" t="s">
        <v>1852</v>
      </c>
      <c r="LQ4" t="s">
        <v>1852</v>
      </c>
      <c r="LR4" t="s">
        <v>1852</v>
      </c>
      <c r="LS4" t="s">
        <v>1859</v>
      </c>
      <c r="LT4" t="s">
        <v>1859</v>
      </c>
      <c r="LU4" t="s">
        <v>1859</v>
      </c>
      <c r="LV4" t="s">
        <v>1859</v>
      </c>
      <c r="LW4" t="s">
        <v>1852</v>
      </c>
      <c r="LX4" t="s">
        <v>1859</v>
      </c>
      <c r="LY4" t="s">
        <v>1859</v>
      </c>
      <c r="LZ4" t="s">
        <v>1859</v>
      </c>
      <c r="MA4" t="s">
        <v>1859</v>
      </c>
      <c r="MB4" t="s">
        <v>1859</v>
      </c>
      <c r="MC4" t="s">
        <v>1859</v>
      </c>
      <c r="MD4" t="s">
        <v>1852</v>
      </c>
      <c r="ME4" t="s">
        <v>1859</v>
      </c>
      <c r="MF4" t="s">
        <v>1859</v>
      </c>
      <c r="MG4" t="s">
        <v>1852</v>
      </c>
      <c r="MH4" t="s">
        <v>1852</v>
      </c>
      <c r="MI4" t="s">
        <v>1852</v>
      </c>
      <c r="MJ4" t="s">
        <v>1859</v>
      </c>
      <c r="MK4" t="s">
        <v>1859</v>
      </c>
      <c r="ML4" t="s">
        <v>1859</v>
      </c>
      <c r="MM4" t="s">
        <v>1859</v>
      </c>
      <c r="MN4" t="s">
        <v>1859</v>
      </c>
      <c r="MO4" t="s">
        <v>1859</v>
      </c>
      <c r="MP4" t="s">
        <v>1859</v>
      </c>
      <c r="MQ4" t="s">
        <v>1859</v>
      </c>
      <c r="MR4" t="s">
        <v>1859</v>
      </c>
      <c r="MS4" t="s">
        <v>1859</v>
      </c>
      <c r="MT4" t="s">
        <v>1859</v>
      </c>
      <c r="MU4" t="s">
        <v>1859</v>
      </c>
      <c r="MV4" t="s">
        <v>1859</v>
      </c>
      <c r="MW4" t="s">
        <v>1859</v>
      </c>
      <c r="MX4" t="s">
        <v>1852</v>
      </c>
      <c r="MY4" t="s">
        <v>1859</v>
      </c>
      <c r="MZ4" t="s">
        <v>1852</v>
      </c>
      <c r="NA4" t="s">
        <v>1859</v>
      </c>
      <c r="NB4" t="s">
        <v>1859</v>
      </c>
      <c r="NC4" t="s">
        <v>1859</v>
      </c>
      <c r="ND4" t="s">
        <v>1859</v>
      </c>
      <c r="NG4" t="s">
        <v>1859</v>
      </c>
      <c r="NH4" t="s">
        <v>1859</v>
      </c>
      <c r="NI4" t="s">
        <v>1859</v>
      </c>
      <c r="NJ4" t="s">
        <v>1859</v>
      </c>
      <c r="NK4" t="s">
        <v>1859</v>
      </c>
      <c r="NL4" t="s">
        <v>1859</v>
      </c>
      <c r="NM4" t="s">
        <v>1859</v>
      </c>
      <c r="NN4" t="s">
        <v>1852</v>
      </c>
      <c r="NO4" t="s">
        <v>1860</v>
      </c>
      <c r="NP4" t="s">
        <v>1861</v>
      </c>
      <c r="NR4" t="s">
        <v>1460</v>
      </c>
      <c r="NS4" t="s">
        <v>1862</v>
      </c>
      <c r="NU4" t="s">
        <v>1858</v>
      </c>
      <c r="NV4" t="s">
        <v>1847</v>
      </c>
      <c r="NX4" t="s">
        <v>1863</v>
      </c>
      <c r="NY4" t="s">
        <v>1846</v>
      </c>
    </row>
    <row r="5" spans="1:389" ht="15" customHeight="1" x14ac:dyDescent="0.25">
      <c r="A5" t="s">
        <v>1864</v>
      </c>
      <c r="B5" t="s">
        <v>1865</v>
      </c>
      <c r="C5" t="s">
        <v>1841</v>
      </c>
      <c r="D5" t="s">
        <v>1461</v>
      </c>
      <c r="G5" t="s">
        <v>1864</v>
      </c>
      <c r="H5" t="s">
        <v>1866</v>
      </c>
      <c r="I5" t="s">
        <v>1866</v>
      </c>
      <c r="J5" t="s">
        <v>1866</v>
      </c>
      <c r="K5" t="s">
        <v>1864</v>
      </c>
      <c r="L5" t="s">
        <v>1864</v>
      </c>
      <c r="M5" t="s">
        <v>1864</v>
      </c>
      <c r="N5" t="s">
        <v>1864</v>
      </c>
      <c r="O5" t="s">
        <v>1866</v>
      </c>
      <c r="P5" t="s">
        <v>1864</v>
      </c>
      <c r="Q5" t="s">
        <v>1866</v>
      </c>
      <c r="R5" t="s">
        <v>1864</v>
      </c>
      <c r="S5" t="s">
        <v>1864</v>
      </c>
      <c r="T5" t="s">
        <v>1866</v>
      </c>
      <c r="U5" t="s">
        <v>1866</v>
      </c>
      <c r="V5" t="s">
        <v>1866</v>
      </c>
      <c r="W5" t="s">
        <v>1866</v>
      </c>
      <c r="X5" t="s">
        <v>1866</v>
      </c>
      <c r="Y5" t="s">
        <v>1866</v>
      </c>
      <c r="AA5" t="s">
        <v>1866</v>
      </c>
      <c r="AB5" t="s">
        <v>1866</v>
      </c>
      <c r="AC5" t="s">
        <v>1866</v>
      </c>
      <c r="AD5" t="s">
        <v>1866</v>
      </c>
      <c r="AE5" t="s">
        <v>1866</v>
      </c>
      <c r="AF5" t="s">
        <v>1866</v>
      </c>
      <c r="AG5" t="s">
        <v>1866</v>
      </c>
      <c r="AH5" t="s">
        <v>1864</v>
      </c>
      <c r="AI5" t="s">
        <v>1866</v>
      </c>
      <c r="AJ5" t="s">
        <v>1866</v>
      </c>
      <c r="AK5" t="s">
        <v>1866</v>
      </c>
      <c r="AL5" t="s">
        <v>1866</v>
      </c>
      <c r="AM5" t="s">
        <v>1864</v>
      </c>
      <c r="AN5" t="s">
        <v>1866</v>
      </c>
      <c r="AO5" t="s">
        <v>1864</v>
      </c>
      <c r="AP5" t="s">
        <v>1864</v>
      </c>
      <c r="AQ5" t="s">
        <v>1864</v>
      </c>
      <c r="AR5" t="s">
        <v>1864</v>
      </c>
      <c r="AS5" t="s">
        <v>1866</v>
      </c>
      <c r="AT5" t="s">
        <v>1866</v>
      </c>
      <c r="AU5" t="s">
        <v>1866</v>
      </c>
      <c r="AV5" t="s">
        <v>1866</v>
      </c>
      <c r="AW5" t="s">
        <v>1866</v>
      </c>
      <c r="AX5" t="s">
        <v>1866</v>
      </c>
      <c r="AY5" t="s">
        <v>1866</v>
      </c>
      <c r="AZ5" t="s">
        <v>1866</v>
      </c>
      <c r="BA5" t="s">
        <v>1866</v>
      </c>
      <c r="BB5" t="s">
        <v>1866</v>
      </c>
      <c r="BC5" t="s">
        <v>1866</v>
      </c>
      <c r="BD5" t="s">
        <v>1866</v>
      </c>
      <c r="BE5" t="s">
        <v>1866</v>
      </c>
      <c r="BF5" t="s">
        <v>1866</v>
      </c>
      <c r="BG5" t="s">
        <v>1866</v>
      </c>
      <c r="BH5" t="s">
        <v>1866</v>
      </c>
      <c r="BI5" t="s">
        <v>1866</v>
      </c>
      <c r="BJ5" t="s">
        <v>1866</v>
      </c>
      <c r="BK5" t="s">
        <v>1866</v>
      </c>
      <c r="BL5" t="s">
        <v>1866</v>
      </c>
      <c r="BM5" t="s">
        <v>1866</v>
      </c>
      <c r="BN5" t="s">
        <v>1866</v>
      </c>
      <c r="BO5" t="s">
        <v>1866</v>
      </c>
      <c r="BP5" t="s">
        <v>1866</v>
      </c>
      <c r="BQ5" t="s">
        <v>1866</v>
      </c>
      <c r="BR5" t="s">
        <v>1866</v>
      </c>
      <c r="BS5" t="s">
        <v>1866</v>
      </c>
      <c r="BT5" t="s">
        <v>1866</v>
      </c>
      <c r="BU5" t="s">
        <v>1866</v>
      </c>
      <c r="BV5" t="s">
        <v>1866</v>
      </c>
      <c r="BW5" t="s">
        <v>1866</v>
      </c>
      <c r="BX5" t="s">
        <v>1866</v>
      </c>
      <c r="BY5" t="s">
        <v>1866</v>
      </c>
      <c r="BZ5" t="s">
        <v>1864</v>
      </c>
      <c r="CA5" t="s">
        <v>1864</v>
      </c>
      <c r="CB5" t="s">
        <v>1866</v>
      </c>
      <c r="CC5" t="s">
        <v>1866</v>
      </c>
      <c r="CD5" t="s">
        <v>1866</v>
      </c>
      <c r="CE5" t="s">
        <v>1864</v>
      </c>
      <c r="CF5" t="s">
        <v>1866</v>
      </c>
      <c r="CG5" t="s">
        <v>1866</v>
      </c>
      <c r="CH5" t="s">
        <v>1866</v>
      </c>
      <c r="CI5" t="s">
        <v>1866</v>
      </c>
      <c r="CJ5" t="s">
        <v>1866</v>
      </c>
      <c r="CK5" t="s">
        <v>1864</v>
      </c>
      <c r="CL5" t="s">
        <v>1864</v>
      </c>
      <c r="CM5" t="s">
        <v>1864</v>
      </c>
      <c r="CN5" t="s">
        <v>1864</v>
      </c>
      <c r="CO5" t="s">
        <v>1864</v>
      </c>
      <c r="CP5" t="s">
        <v>1864</v>
      </c>
      <c r="CQ5" t="s">
        <v>1864</v>
      </c>
      <c r="CR5" t="s">
        <v>1864</v>
      </c>
      <c r="CS5" t="s">
        <v>1866</v>
      </c>
      <c r="CT5" t="s">
        <v>1866</v>
      </c>
      <c r="CU5" t="s">
        <v>1864</v>
      </c>
      <c r="CV5" t="s">
        <v>1866</v>
      </c>
      <c r="CW5" t="s">
        <v>1866</v>
      </c>
      <c r="CX5" t="s">
        <v>1866</v>
      </c>
      <c r="CY5" t="s">
        <v>1866</v>
      </c>
      <c r="CZ5" t="s">
        <v>1864</v>
      </c>
      <c r="DA5" t="s">
        <v>1864</v>
      </c>
      <c r="DB5" t="s">
        <v>1864</v>
      </c>
      <c r="DC5" t="s">
        <v>1864</v>
      </c>
      <c r="DD5" t="s">
        <v>1866</v>
      </c>
      <c r="DE5" t="s">
        <v>1866</v>
      </c>
      <c r="DF5" t="s">
        <v>1866</v>
      </c>
      <c r="DG5" t="s">
        <v>1866</v>
      </c>
      <c r="DH5" t="s">
        <v>1866</v>
      </c>
      <c r="DI5" t="s">
        <v>1866</v>
      </c>
      <c r="DJ5" t="s">
        <v>1864</v>
      </c>
      <c r="DK5" t="s">
        <v>1864</v>
      </c>
      <c r="DL5" t="s">
        <v>1866</v>
      </c>
      <c r="DM5" t="s">
        <v>1866</v>
      </c>
      <c r="DN5" t="s">
        <v>1866</v>
      </c>
      <c r="DO5" t="s">
        <v>1864</v>
      </c>
      <c r="DP5" t="s">
        <v>1864</v>
      </c>
      <c r="DQ5" t="s">
        <v>1864</v>
      </c>
      <c r="DR5" t="s">
        <v>1864</v>
      </c>
      <c r="DS5" t="s">
        <v>1866</v>
      </c>
      <c r="DT5" t="s">
        <v>1864</v>
      </c>
      <c r="DU5" t="s">
        <v>1864</v>
      </c>
      <c r="DV5" t="s">
        <v>1864</v>
      </c>
      <c r="DW5" t="s">
        <v>1866</v>
      </c>
      <c r="DX5" t="s">
        <v>1866</v>
      </c>
      <c r="DY5" t="s">
        <v>1866</v>
      </c>
      <c r="DZ5" t="s">
        <v>1866</v>
      </c>
      <c r="EA5" t="s">
        <v>1864</v>
      </c>
      <c r="EB5" t="s">
        <v>1864</v>
      </c>
      <c r="EC5" t="s">
        <v>1864</v>
      </c>
      <c r="ED5" t="s">
        <v>1866</v>
      </c>
      <c r="EE5" t="s">
        <v>1866</v>
      </c>
      <c r="EF5" t="s">
        <v>1866</v>
      </c>
      <c r="EG5" t="s">
        <v>1864</v>
      </c>
      <c r="EH5" t="s">
        <v>1864</v>
      </c>
      <c r="EI5" t="s">
        <v>1864</v>
      </c>
      <c r="EJ5" t="s">
        <v>1864</v>
      </c>
      <c r="EK5" t="s">
        <v>1864</v>
      </c>
      <c r="EL5" t="s">
        <v>1864</v>
      </c>
      <c r="EM5" t="s">
        <v>1866</v>
      </c>
      <c r="EN5" t="s">
        <v>1866</v>
      </c>
      <c r="EO5" t="s">
        <v>1866</v>
      </c>
      <c r="ET5" t="s">
        <v>1866</v>
      </c>
      <c r="EU5" t="s">
        <v>1866</v>
      </c>
      <c r="EV5" t="s">
        <v>1866</v>
      </c>
      <c r="EW5" t="s">
        <v>1866</v>
      </c>
      <c r="EX5" t="s">
        <v>1866</v>
      </c>
      <c r="EY5" t="s">
        <v>1864</v>
      </c>
      <c r="EZ5" t="s">
        <v>1866</v>
      </c>
      <c r="FA5" t="s">
        <v>1864</v>
      </c>
      <c r="FB5" t="s">
        <v>1864</v>
      </c>
      <c r="FC5" t="s">
        <v>1864</v>
      </c>
      <c r="FD5" t="s">
        <v>1866</v>
      </c>
      <c r="FE5" t="s">
        <v>1866</v>
      </c>
      <c r="FF5" t="s">
        <v>1864</v>
      </c>
      <c r="FG5" t="s">
        <v>1864</v>
      </c>
      <c r="FH5" t="s">
        <v>1864</v>
      </c>
      <c r="FI5" t="s">
        <v>1864</v>
      </c>
      <c r="FJ5" t="s">
        <v>1866</v>
      </c>
      <c r="FK5" t="s">
        <v>1866</v>
      </c>
      <c r="FL5" t="s">
        <v>1866</v>
      </c>
      <c r="FM5" t="s">
        <v>1866</v>
      </c>
      <c r="FN5" t="s">
        <v>1866</v>
      </c>
      <c r="FO5" t="s">
        <v>1866</v>
      </c>
      <c r="FP5" t="s">
        <v>1866</v>
      </c>
      <c r="FQ5" t="s">
        <v>1866</v>
      </c>
      <c r="FR5" t="s">
        <v>1866</v>
      </c>
      <c r="FS5" t="s">
        <v>1866</v>
      </c>
      <c r="FT5" t="s">
        <v>1866</v>
      </c>
      <c r="FU5" t="s">
        <v>1866</v>
      </c>
      <c r="FV5" t="s">
        <v>1866</v>
      </c>
      <c r="FW5" t="s">
        <v>1866</v>
      </c>
      <c r="FX5" t="s">
        <v>1866</v>
      </c>
      <c r="FY5" t="s">
        <v>1864</v>
      </c>
      <c r="FZ5" t="s">
        <v>1864</v>
      </c>
      <c r="GA5" t="s">
        <v>1864</v>
      </c>
      <c r="GB5" t="s">
        <v>1866</v>
      </c>
      <c r="GC5" t="s">
        <v>1866</v>
      </c>
      <c r="GD5" t="s">
        <v>1866</v>
      </c>
      <c r="GE5" t="s">
        <v>1866</v>
      </c>
      <c r="GF5" t="s">
        <v>1866</v>
      </c>
      <c r="GG5" t="s">
        <v>1866</v>
      </c>
      <c r="GH5" t="s">
        <v>1866</v>
      </c>
      <c r="GI5" t="s">
        <v>1866</v>
      </c>
      <c r="GJ5" t="s">
        <v>1866</v>
      </c>
      <c r="GK5" t="s">
        <v>1866</v>
      </c>
      <c r="GL5" t="s">
        <v>1866</v>
      </c>
      <c r="GM5" t="s">
        <v>1866</v>
      </c>
      <c r="GN5" t="s">
        <v>1866</v>
      </c>
      <c r="GO5" t="s">
        <v>1866</v>
      </c>
      <c r="GP5" t="s">
        <v>1866</v>
      </c>
      <c r="GQ5" t="s">
        <v>1866</v>
      </c>
      <c r="GR5" t="s">
        <v>1866</v>
      </c>
      <c r="GS5" t="s">
        <v>1866</v>
      </c>
      <c r="GT5" t="s">
        <v>1866</v>
      </c>
      <c r="GU5" t="s">
        <v>1866</v>
      </c>
      <c r="GV5" t="s">
        <v>1866</v>
      </c>
      <c r="GW5" t="s">
        <v>1866</v>
      </c>
      <c r="GX5" t="s">
        <v>1866</v>
      </c>
      <c r="GY5" t="s">
        <v>1866</v>
      </c>
      <c r="GZ5" t="s">
        <v>1866</v>
      </c>
      <c r="HA5" t="s">
        <v>1866</v>
      </c>
      <c r="HB5" t="s">
        <v>1866</v>
      </c>
      <c r="HC5" t="s">
        <v>1866</v>
      </c>
      <c r="HD5" t="s">
        <v>1864</v>
      </c>
      <c r="HE5" t="s">
        <v>1866</v>
      </c>
      <c r="HF5" t="s">
        <v>1864</v>
      </c>
      <c r="HG5" t="s">
        <v>1866</v>
      </c>
      <c r="HH5" t="s">
        <v>1866</v>
      </c>
      <c r="HI5" t="s">
        <v>1866</v>
      </c>
      <c r="HJ5" t="s">
        <v>1866</v>
      </c>
      <c r="HK5" t="s">
        <v>1866</v>
      </c>
      <c r="HL5" t="s">
        <v>1866</v>
      </c>
      <c r="HM5" t="s">
        <v>1866</v>
      </c>
      <c r="HN5" t="s">
        <v>1866</v>
      </c>
      <c r="HO5" t="s">
        <v>1864</v>
      </c>
      <c r="HP5" t="s">
        <v>1866</v>
      </c>
      <c r="HQ5" t="s">
        <v>1864</v>
      </c>
      <c r="HR5" t="s">
        <v>1864</v>
      </c>
      <c r="HS5" t="s">
        <v>1864</v>
      </c>
      <c r="HT5" t="s">
        <v>1866</v>
      </c>
      <c r="HU5" t="s">
        <v>1866</v>
      </c>
      <c r="HV5" t="s">
        <v>1866</v>
      </c>
      <c r="HW5" t="s">
        <v>1866</v>
      </c>
      <c r="HX5" t="s">
        <v>1866</v>
      </c>
      <c r="HY5" t="s">
        <v>1866</v>
      </c>
      <c r="HZ5" t="s">
        <v>1866</v>
      </c>
      <c r="IA5" t="s">
        <v>1866</v>
      </c>
      <c r="IB5" t="s">
        <v>1866</v>
      </c>
      <c r="IC5" t="s">
        <v>1866</v>
      </c>
      <c r="ID5" t="s">
        <v>1866</v>
      </c>
      <c r="IE5" t="s">
        <v>1866</v>
      </c>
      <c r="IF5" t="s">
        <v>1864</v>
      </c>
      <c r="IG5" t="s">
        <v>1864</v>
      </c>
      <c r="IH5" t="s">
        <v>1864</v>
      </c>
      <c r="II5" t="s">
        <v>1864</v>
      </c>
      <c r="IJ5" t="s">
        <v>1864</v>
      </c>
      <c r="IK5" t="s">
        <v>1866</v>
      </c>
      <c r="IL5" t="s">
        <v>1866</v>
      </c>
      <c r="IM5" t="s">
        <v>1866</v>
      </c>
      <c r="IN5" t="s">
        <v>1866</v>
      </c>
      <c r="IO5" t="s">
        <v>1864</v>
      </c>
      <c r="IP5" t="s">
        <v>1866</v>
      </c>
      <c r="IQ5" t="s">
        <v>1866</v>
      </c>
      <c r="IR5" t="s">
        <v>1866</v>
      </c>
      <c r="IS5" t="s">
        <v>1866</v>
      </c>
      <c r="IT5" t="s">
        <v>1866</v>
      </c>
      <c r="IU5" t="s">
        <v>1866</v>
      </c>
      <c r="IV5" t="s">
        <v>1866</v>
      </c>
      <c r="IW5" t="s">
        <v>1866</v>
      </c>
      <c r="IX5" t="s">
        <v>1866</v>
      </c>
      <c r="IY5" t="s">
        <v>1866</v>
      </c>
      <c r="IZ5" t="s">
        <v>1866</v>
      </c>
      <c r="JA5" t="s">
        <v>1866</v>
      </c>
      <c r="JB5" t="s">
        <v>1864</v>
      </c>
      <c r="JC5" t="s">
        <v>1866</v>
      </c>
      <c r="JD5" t="s">
        <v>1866</v>
      </c>
      <c r="JE5" t="s">
        <v>1866</v>
      </c>
      <c r="JF5" t="s">
        <v>1866</v>
      </c>
      <c r="JG5" t="s">
        <v>1866</v>
      </c>
      <c r="JH5" t="s">
        <v>1866</v>
      </c>
      <c r="JI5" t="s">
        <v>1866</v>
      </c>
      <c r="JJ5" t="s">
        <v>1866</v>
      </c>
      <c r="JK5" t="s">
        <v>1866</v>
      </c>
      <c r="JL5" t="s">
        <v>1864</v>
      </c>
      <c r="JM5" t="s">
        <v>1866</v>
      </c>
      <c r="JN5" t="s">
        <v>1866</v>
      </c>
      <c r="JO5" t="s">
        <v>1866</v>
      </c>
      <c r="JP5" t="s">
        <v>1866</v>
      </c>
      <c r="JQ5" t="s">
        <v>1866</v>
      </c>
      <c r="JR5" t="s">
        <v>1866</v>
      </c>
      <c r="JS5" t="s">
        <v>1866</v>
      </c>
      <c r="JT5" t="s">
        <v>1864</v>
      </c>
      <c r="JU5" t="s">
        <v>1866</v>
      </c>
      <c r="JV5" t="s">
        <v>1864</v>
      </c>
      <c r="JW5" t="s">
        <v>1866</v>
      </c>
      <c r="JX5" t="s">
        <v>1866</v>
      </c>
      <c r="JY5" t="s">
        <v>1866</v>
      </c>
      <c r="JZ5" t="s">
        <v>1864</v>
      </c>
      <c r="KA5" t="s">
        <v>1866</v>
      </c>
      <c r="KB5" t="s">
        <v>1866</v>
      </c>
      <c r="KC5" t="s">
        <v>1866</v>
      </c>
      <c r="KD5" t="s">
        <v>1866</v>
      </c>
      <c r="KE5" t="s">
        <v>1866</v>
      </c>
      <c r="KF5" t="s">
        <v>1866</v>
      </c>
      <c r="KG5" t="s">
        <v>1866</v>
      </c>
      <c r="KH5" t="s">
        <v>1866</v>
      </c>
      <c r="KI5" t="s">
        <v>1866</v>
      </c>
      <c r="KJ5" t="s">
        <v>1866</v>
      </c>
      <c r="KK5" t="s">
        <v>1866</v>
      </c>
      <c r="KL5" t="s">
        <v>1866</v>
      </c>
      <c r="KM5" t="s">
        <v>1866</v>
      </c>
      <c r="KN5" t="s">
        <v>1864</v>
      </c>
      <c r="KO5" t="s">
        <v>1866</v>
      </c>
      <c r="KP5" t="s">
        <v>1866</v>
      </c>
      <c r="KQ5" t="s">
        <v>1866</v>
      </c>
      <c r="KR5" t="s">
        <v>1866</v>
      </c>
      <c r="KS5" t="s">
        <v>1866</v>
      </c>
      <c r="KT5" t="s">
        <v>1866</v>
      </c>
      <c r="KU5" t="s">
        <v>1866</v>
      </c>
      <c r="KV5" t="s">
        <v>1866</v>
      </c>
      <c r="KW5" t="s">
        <v>1866</v>
      </c>
      <c r="KX5" t="s">
        <v>1866</v>
      </c>
      <c r="KY5" t="s">
        <v>1866</v>
      </c>
      <c r="KZ5" t="s">
        <v>1866</v>
      </c>
      <c r="LA5" t="s">
        <v>1866</v>
      </c>
      <c r="LB5" t="s">
        <v>1866</v>
      </c>
      <c r="LC5" t="s">
        <v>1866</v>
      </c>
      <c r="LD5" t="s">
        <v>1866</v>
      </c>
      <c r="LE5" t="s">
        <v>1866</v>
      </c>
      <c r="LF5" t="s">
        <v>1866</v>
      </c>
      <c r="LG5" t="s">
        <v>1864</v>
      </c>
      <c r="LH5" t="s">
        <v>1864</v>
      </c>
      <c r="LI5" t="s">
        <v>1864</v>
      </c>
      <c r="LJ5" t="s">
        <v>1866</v>
      </c>
      <c r="LK5" t="s">
        <v>1864</v>
      </c>
      <c r="LL5" t="s">
        <v>1864</v>
      </c>
      <c r="LM5" t="s">
        <v>1866</v>
      </c>
      <c r="LN5" t="s">
        <v>1866</v>
      </c>
      <c r="LO5" t="s">
        <v>1864</v>
      </c>
      <c r="LP5" t="s">
        <v>1864</v>
      </c>
      <c r="LQ5" t="s">
        <v>1864</v>
      </c>
      <c r="LR5" t="s">
        <v>1864</v>
      </c>
      <c r="LS5" t="s">
        <v>1866</v>
      </c>
      <c r="LT5" t="s">
        <v>1866</v>
      </c>
      <c r="LU5" t="s">
        <v>1866</v>
      </c>
      <c r="LV5" t="s">
        <v>1866</v>
      </c>
      <c r="LW5" t="s">
        <v>1864</v>
      </c>
      <c r="LX5" t="s">
        <v>1866</v>
      </c>
      <c r="LY5" t="s">
        <v>1866</v>
      </c>
      <c r="LZ5" t="s">
        <v>1866</v>
      </c>
      <c r="MA5" t="s">
        <v>1866</v>
      </c>
      <c r="MB5" t="s">
        <v>1866</v>
      </c>
      <c r="MC5" t="s">
        <v>1866</v>
      </c>
      <c r="MD5" t="s">
        <v>1864</v>
      </c>
      <c r="ME5" t="s">
        <v>1866</v>
      </c>
      <c r="MF5" t="s">
        <v>1866</v>
      </c>
      <c r="MG5" t="s">
        <v>1864</v>
      </c>
      <c r="MH5" t="s">
        <v>1864</v>
      </c>
      <c r="MI5" t="s">
        <v>1864</v>
      </c>
      <c r="MJ5" t="s">
        <v>1866</v>
      </c>
      <c r="MK5" t="s">
        <v>1866</v>
      </c>
      <c r="ML5" t="s">
        <v>1866</v>
      </c>
      <c r="MM5" t="s">
        <v>1866</v>
      </c>
      <c r="MN5" t="s">
        <v>1866</v>
      </c>
      <c r="MO5" t="s">
        <v>1866</v>
      </c>
      <c r="MP5" t="s">
        <v>1866</v>
      </c>
      <c r="MQ5" t="s">
        <v>1866</v>
      </c>
      <c r="MR5" t="s">
        <v>1866</v>
      </c>
      <c r="MS5" t="s">
        <v>1866</v>
      </c>
      <c r="MT5" t="s">
        <v>1866</v>
      </c>
      <c r="MU5" t="s">
        <v>1866</v>
      </c>
      <c r="MV5" t="s">
        <v>1866</v>
      </c>
      <c r="MW5" t="s">
        <v>1866</v>
      </c>
      <c r="MX5" t="s">
        <v>1864</v>
      </c>
      <c r="MY5" t="s">
        <v>1866</v>
      </c>
      <c r="MZ5" t="s">
        <v>1864</v>
      </c>
      <c r="NA5" t="s">
        <v>1866</v>
      </c>
      <c r="NB5" t="s">
        <v>1866</v>
      </c>
      <c r="NC5" t="s">
        <v>1866</v>
      </c>
      <c r="ND5" t="s">
        <v>1866</v>
      </c>
      <c r="NG5" t="s">
        <v>1866</v>
      </c>
      <c r="NH5" t="s">
        <v>1866</v>
      </c>
      <c r="NI5" t="s">
        <v>1866</v>
      </c>
      <c r="NJ5" t="s">
        <v>1866</v>
      </c>
      <c r="NK5" t="s">
        <v>1866</v>
      </c>
      <c r="NL5" t="s">
        <v>1866</v>
      </c>
      <c r="NM5" t="s">
        <v>1866</v>
      </c>
      <c r="NN5" t="s">
        <v>1864</v>
      </c>
      <c r="NO5" t="s">
        <v>1867</v>
      </c>
      <c r="NP5" t="s">
        <v>1868</v>
      </c>
      <c r="NR5" t="s">
        <v>1461</v>
      </c>
      <c r="NS5" t="s">
        <v>1869</v>
      </c>
      <c r="NU5" t="s">
        <v>1870</v>
      </c>
      <c r="NV5" t="s">
        <v>1871</v>
      </c>
      <c r="NX5" t="s">
        <v>1872</v>
      </c>
      <c r="NY5" t="s">
        <v>1846</v>
      </c>
    </row>
    <row r="6" spans="1:389" ht="15" customHeight="1" x14ac:dyDescent="0.25">
      <c r="A6" t="s">
        <v>1859</v>
      </c>
      <c r="B6" t="s">
        <v>1873</v>
      </c>
      <c r="C6" t="s">
        <v>1850</v>
      </c>
      <c r="D6" t="s">
        <v>1462</v>
      </c>
      <c r="G6" t="s">
        <v>1859</v>
      </c>
      <c r="H6" t="s">
        <v>1874</v>
      </c>
      <c r="I6" t="s">
        <v>1874</v>
      </c>
      <c r="J6" t="s">
        <v>1874</v>
      </c>
      <c r="K6" t="s">
        <v>1859</v>
      </c>
      <c r="L6" t="s">
        <v>1859</v>
      </c>
      <c r="M6" t="s">
        <v>1859</v>
      </c>
      <c r="N6" t="s">
        <v>1859</v>
      </c>
      <c r="O6" t="s">
        <v>1874</v>
      </c>
      <c r="P6" t="s">
        <v>1859</v>
      </c>
      <c r="Q6" t="s">
        <v>1874</v>
      </c>
      <c r="R6" t="s">
        <v>1859</v>
      </c>
      <c r="S6" t="s">
        <v>1859</v>
      </c>
      <c r="T6" t="s">
        <v>1874</v>
      </c>
      <c r="U6" t="s">
        <v>1874</v>
      </c>
      <c r="V6" t="s">
        <v>1874</v>
      </c>
      <c r="W6" t="s">
        <v>1874</v>
      </c>
      <c r="X6" t="s">
        <v>1874</v>
      </c>
      <c r="Y6" t="s">
        <v>1874</v>
      </c>
      <c r="AA6" t="s">
        <v>1874</v>
      </c>
      <c r="AB6" t="s">
        <v>1874</v>
      </c>
      <c r="AC6" t="s">
        <v>1874</v>
      </c>
      <c r="AD6" t="s">
        <v>1874</v>
      </c>
      <c r="AE6" t="s">
        <v>1874</v>
      </c>
      <c r="AF6" t="s">
        <v>1874</v>
      </c>
      <c r="AG6" t="s">
        <v>1874</v>
      </c>
      <c r="AH6" t="s">
        <v>1859</v>
      </c>
      <c r="AI6" t="s">
        <v>1874</v>
      </c>
      <c r="AJ6" t="s">
        <v>1874</v>
      </c>
      <c r="AK6" t="s">
        <v>1874</v>
      </c>
      <c r="AL6" t="s">
        <v>1874</v>
      </c>
      <c r="AM6" t="s">
        <v>1859</v>
      </c>
      <c r="AN6" t="s">
        <v>1874</v>
      </c>
      <c r="AO6" t="s">
        <v>1859</v>
      </c>
      <c r="AP6" t="s">
        <v>1859</v>
      </c>
      <c r="AQ6" t="s">
        <v>1859</v>
      </c>
      <c r="AR6" t="s">
        <v>1859</v>
      </c>
      <c r="AS6" t="s">
        <v>1874</v>
      </c>
      <c r="AT6" t="s">
        <v>1874</v>
      </c>
      <c r="AU6" t="s">
        <v>1874</v>
      </c>
      <c r="AV6" t="s">
        <v>1874</v>
      </c>
      <c r="AW6" t="s">
        <v>1874</v>
      </c>
      <c r="AX6" t="s">
        <v>1874</v>
      </c>
      <c r="AY6" t="s">
        <v>1874</v>
      </c>
      <c r="AZ6" t="s">
        <v>1874</v>
      </c>
      <c r="BA6" t="s">
        <v>1874</v>
      </c>
      <c r="BB6" t="s">
        <v>1874</v>
      </c>
      <c r="BC6" t="s">
        <v>1874</v>
      </c>
      <c r="BD6" t="s">
        <v>1874</v>
      </c>
      <c r="BE6" t="s">
        <v>1874</v>
      </c>
      <c r="BF6" t="s">
        <v>1874</v>
      </c>
      <c r="BG6" t="s">
        <v>1874</v>
      </c>
      <c r="BH6" t="s">
        <v>1874</v>
      </c>
      <c r="BI6" t="s">
        <v>1874</v>
      </c>
      <c r="BJ6" t="s">
        <v>1874</v>
      </c>
      <c r="BK6" t="s">
        <v>1874</v>
      </c>
      <c r="BL6" t="s">
        <v>1874</v>
      </c>
      <c r="BM6" t="s">
        <v>1874</v>
      </c>
      <c r="BN6" t="s">
        <v>1874</v>
      </c>
      <c r="BO6" t="s">
        <v>1874</v>
      </c>
      <c r="BP6" t="s">
        <v>1874</v>
      </c>
      <c r="BQ6" t="s">
        <v>1874</v>
      </c>
      <c r="BR6" t="s">
        <v>1874</v>
      </c>
      <c r="BS6" t="s">
        <v>1874</v>
      </c>
      <c r="BT6" t="s">
        <v>1874</v>
      </c>
      <c r="BU6" t="s">
        <v>1874</v>
      </c>
      <c r="BV6" t="s">
        <v>1874</v>
      </c>
      <c r="BW6" t="s">
        <v>1874</v>
      </c>
      <c r="BX6" t="s">
        <v>1874</v>
      </c>
      <c r="BY6" t="s">
        <v>1874</v>
      </c>
      <c r="BZ6" t="s">
        <v>1859</v>
      </c>
      <c r="CA6" t="s">
        <v>1859</v>
      </c>
      <c r="CB6" t="s">
        <v>1874</v>
      </c>
      <c r="CC6" t="s">
        <v>1874</v>
      </c>
      <c r="CD6" t="s">
        <v>1874</v>
      </c>
      <c r="CE6" t="s">
        <v>1859</v>
      </c>
      <c r="CF6" t="s">
        <v>1874</v>
      </c>
      <c r="CG6" t="s">
        <v>1874</v>
      </c>
      <c r="CH6" t="s">
        <v>1874</v>
      </c>
      <c r="CI6" t="s">
        <v>1874</v>
      </c>
      <c r="CJ6" t="s">
        <v>1874</v>
      </c>
      <c r="CK6" t="s">
        <v>1859</v>
      </c>
      <c r="CL6" t="s">
        <v>1859</v>
      </c>
      <c r="CM6" t="s">
        <v>1859</v>
      </c>
      <c r="CN6" t="s">
        <v>1859</v>
      </c>
      <c r="CO6" t="s">
        <v>1859</v>
      </c>
      <c r="CP6" t="s">
        <v>1859</v>
      </c>
      <c r="CQ6" t="s">
        <v>1859</v>
      </c>
      <c r="CR6" t="s">
        <v>1859</v>
      </c>
      <c r="CS6" t="s">
        <v>1874</v>
      </c>
      <c r="CT6" t="s">
        <v>1874</v>
      </c>
      <c r="CU6" t="s">
        <v>1859</v>
      </c>
      <c r="CV6" t="s">
        <v>1874</v>
      </c>
      <c r="CW6" t="s">
        <v>1874</v>
      </c>
      <c r="CX6" t="s">
        <v>1874</v>
      </c>
      <c r="CY6" t="s">
        <v>1874</v>
      </c>
      <c r="CZ6" t="s">
        <v>1859</v>
      </c>
      <c r="DA6" t="s">
        <v>1859</v>
      </c>
      <c r="DB6" t="s">
        <v>1859</v>
      </c>
      <c r="DC6" t="s">
        <v>1859</v>
      </c>
      <c r="DD6" t="s">
        <v>1874</v>
      </c>
      <c r="DE6" t="s">
        <v>1874</v>
      </c>
      <c r="DF6" t="s">
        <v>1874</v>
      </c>
      <c r="DG6" t="s">
        <v>1874</v>
      </c>
      <c r="DH6" t="s">
        <v>1874</v>
      </c>
      <c r="DI6" t="s">
        <v>1874</v>
      </c>
      <c r="DJ6" t="s">
        <v>1859</v>
      </c>
      <c r="DK6" t="s">
        <v>1859</v>
      </c>
      <c r="DL6" t="s">
        <v>1874</v>
      </c>
      <c r="DM6" t="s">
        <v>1874</v>
      </c>
      <c r="DN6" t="s">
        <v>1874</v>
      </c>
      <c r="DO6" t="s">
        <v>1859</v>
      </c>
      <c r="DP6" t="s">
        <v>1859</v>
      </c>
      <c r="DQ6" t="s">
        <v>1859</v>
      </c>
      <c r="DR6" t="s">
        <v>1859</v>
      </c>
      <c r="DS6" t="s">
        <v>1874</v>
      </c>
      <c r="DT6" t="s">
        <v>1859</v>
      </c>
      <c r="DU6" t="s">
        <v>1859</v>
      </c>
      <c r="DV6" t="s">
        <v>1859</v>
      </c>
      <c r="DW6" t="s">
        <v>1874</v>
      </c>
      <c r="DX6" t="s">
        <v>1874</v>
      </c>
      <c r="DY6" t="s">
        <v>1874</v>
      </c>
      <c r="DZ6" t="s">
        <v>1874</v>
      </c>
      <c r="EA6" t="s">
        <v>1859</v>
      </c>
      <c r="EB6" t="s">
        <v>1859</v>
      </c>
      <c r="EC6" t="s">
        <v>1859</v>
      </c>
      <c r="ED6" t="s">
        <v>1874</v>
      </c>
      <c r="EE6" t="s">
        <v>1874</v>
      </c>
      <c r="EF6" t="s">
        <v>1874</v>
      </c>
      <c r="EG6" t="s">
        <v>1859</v>
      </c>
      <c r="EH6" t="s">
        <v>1859</v>
      </c>
      <c r="EI6" t="s">
        <v>1859</v>
      </c>
      <c r="EJ6" t="s">
        <v>1859</v>
      </c>
      <c r="EK6" t="s">
        <v>1859</v>
      </c>
      <c r="EL6" t="s">
        <v>1859</v>
      </c>
      <c r="EM6" t="s">
        <v>1874</v>
      </c>
      <c r="EN6" t="s">
        <v>1874</v>
      </c>
      <c r="EO6" t="s">
        <v>1874</v>
      </c>
      <c r="ET6" t="s">
        <v>1874</v>
      </c>
      <c r="EU6" t="s">
        <v>1874</v>
      </c>
      <c r="EV6" t="s">
        <v>1874</v>
      </c>
      <c r="EW6" t="s">
        <v>1874</v>
      </c>
      <c r="EX6" t="s">
        <v>1874</v>
      </c>
      <c r="EY6" t="s">
        <v>1859</v>
      </c>
      <c r="EZ6" t="s">
        <v>1874</v>
      </c>
      <c r="FA6" t="s">
        <v>1859</v>
      </c>
      <c r="FB6" t="s">
        <v>1859</v>
      </c>
      <c r="FC6" t="s">
        <v>1859</v>
      </c>
      <c r="FD6" t="s">
        <v>1874</v>
      </c>
      <c r="FE6" t="s">
        <v>1874</v>
      </c>
      <c r="FF6" t="s">
        <v>1859</v>
      </c>
      <c r="FG6" t="s">
        <v>1859</v>
      </c>
      <c r="FH6" t="s">
        <v>1859</v>
      </c>
      <c r="FI6" t="s">
        <v>1859</v>
      </c>
      <c r="FJ6" t="s">
        <v>1874</v>
      </c>
      <c r="FK6" t="s">
        <v>1874</v>
      </c>
      <c r="FL6" t="s">
        <v>1874</v>
      </c>
      <c r="FM6" t="s">
        <v>1874</v>
      </c>
      <c r="FN6" t="s">
        <v>1874</v>
      </c>
      <c r="FO6" t="s">
        <v>1874</v>
      </c>
      <c r="FP6" t="s">
        <v>1874</v>
      </c>
      <c r="FQ6" t="s">
        <v>1874</v>
      </c>
      <c r="FR6" t="s">
        <v>1874</v>
      </c>
      <c r="FS6" t="s">
        <v>1874</v>
      </c>
      <c r="FT6" t="s">
        <v>1874</v>
      </c>
      <c r="FU6" t="s">
        <v>1874</v>
      </c>
      <c r="FV6" t="s">
        <v>1874</v>
      </c>
      <c r="FW6" t="s">
        <v>1874</v>
      </c>
      <c r="FX6" t="s">
        <v>1874</v>
      </c>
      <c r="FY6" t="s">
        <v>1859</v>
      </c>
      <c r="FZ6" t="s">
        <v>1859</v>
      </c>
      <c r="GA6" t="s">
        <v>1859</v>
      </c>
      <c r="GB6" t="s">
        <v>1874</v>
      </c>
      <c r="GC6" t="s">
        <v>1874</v>
      </c>
      <c r="GD6" t="s">
        <v>1874</v>
      </c>
      <c r="GE6" t="s">
        <v>1874</v>
      </c>
      <c r="GF6" t="s">
        <v>1874</v>
      </c>
      <c r="GG6" t="s">
        <v>1874</v>
      </c>
      <c r="GH6" t="s">
        <v>1874</v>
      </c>
      <c r="GI6" t="s">
        <v>1874</v>
      </c>
      <c r="GJ6" t="s">
        <v>1874</v>
      </c>
      <c r="GK6" t="s">
        <v>1874</v>
      </c>
      <c r="GL6" t="s">
        <v>1874</v>
      </c>
      <c r="GM6" t="s">
        <v>1874</v>
      </c>
      <c r="GN6" t="s">
        <v>1874</v>
      </c>
      <c r="GO6" t="s">
        <v>1874</v>
      </c>
      <c r="GP6" t="s">
        <v>1874</v>
      </c>
      <c r="GQ6" t="s">
        <v>1874</v>
      </c>
      <c r="GR6" t="s">
        <v>1874</v>
      </c>
      <c r="GS6" t="s">
        <v>1874</v>
      </c>
      <c r="GT6" t="s">
        <v>1874</v>
      </c>
      <c r="GU6" t="s">
        <v>1874</v>
      </c>
      <c r="GV6" t="s">
        <v>1874</v>
      </c>
      <c r="GW6" t="s">
        <v>1874</v>
      </c>
      <c r="GX6" t="s">
        <v>1874</v>
      </c>
      <c r="GY6" t="s">
        <v>1874</v>
      </c>
      <c r="GZ6" t="s">
        <v>1874</v>
      </c>
      <c r="HA6" t="s">
        <v>1874</v>
      </c>
      <c r="HB6" t="s">
        <v>1874</v>
      </c>
      <c r="HC6" t="s">
        <v>1874</v>
      </c>
      <c r="HD6" t="s">
        <v>1859</v>
      </c>
      <c r="HE6" t="s">
        <v>1874</v>
      </c>
      <c r="HF6" t="s">
        <v>1859</v>
      </c>
      <c r="HG6" t="s">
        <v>1874</v>
      </c>
      <c r="HH6" t="s">
        <v>1874</v>
      </c>
      <c r="HI6" t="s">
        <v>1874</v>
      </c>
      <c r="HJ6" t="s">
        <v>1874</v>
      </c>
      <c r="HK6" t="s">
        <v>1874</v>
      </c>
      <c r="HL6" t="s">
        <v>1874</v>
      </c>
      <c r="HM6" t="s">
        <v>1874</v>
      </c>
      <c r="HN6" t="s">
        <v>1874</v>
      </c>
      <c r="HO6" t="s">
        <v>1859</v>
      </c>
      <c r="HP6" t="s">
        <v>1874</v>
      </c>
      <c r="HQ6" t="s">
        <v>1859</v>
      </c>
      <c r="HR6" t="s">
        <v>1859</v>
      </c>
      <c r="HS6" t="s">
        <v>1859</v>
      </c>
      <c r="HT6" t="s">
        <v>1874</v>
      </c>
      <c r="HU6" t="s">
        <v>1874</v>
      </c>
      <c r="HV6" t="s">
        <v>1874</v>
      </c>
      <c r="HW6" t="s">
        <v>1874</v>
      </c>
      <c r="HX6" t="s">
        <v>1874</v>
      </c>
      <c r="HY6" t="s">
        <v>1874</v>
      </c>
      <c r="HZ6" t="s">
        <v>1874</v>
      </c>
      <c r="IA6" t="s">
        <v>1874</v>
      </c>
      <c r="IB6" t="s">
        <v>1874</v>
      </c>
      <c r="IC6" t="s">
        <v>1874</v>
      </c>
      <c r="ID6" t="s">
        <v>1874</v>
      </c>
      <c r="IE6" t="s">
        <v>1874</v>
      </c>
      <c r="IF6" t="s">
        <v>1859</v>
      </c>
      <c r="IG6" t="s">
        <v>1859</v>
      </c>
      <c r="IH6" t="s">
        <v>1859</v>
      </c>
      <c r="II6" t="s">
        <v>1859</v>
      </c>
      <c r="IJ6" t="s">
        <v>1859</v>
      </c>
      <c r="IK6" t="s">
        <v>1874</v>
      </c>
      <c r="IL6" t="s">
        <v>1874</v>
      </c>
      <c r="IM6" t="s">
        <v>1874</v>
      </c>
      <c r="IN6" t="s">
        <v>1874</v>
      </c>
      <c r="IO6" t="s">
        <v>1859</v>
      </c>
      <c r="IP6" t="s">
        <v>1874</v>
      </c>
      <c r="IQ6" t="s">
        <v>1874</v>
      </c>
      <c r="IR6" t="s">
        <v>1874</v>
      </c>
      <c r="IS6" t="s">
        <v>1874</v>
      </c>
      <c r="IT6" t="s">
        <v>1874</v>
      </c>
      <c r="IU6" t="s">
        <v>1874</v>
      </c>
      <c r="IV6" t="s">
        <v>1874</v>
      </c>
      <c r="IW6" t="s">
        <v>1874</v>
      </c>
      <c r="IX6" t="s">
        <v>1874</v>
      </c>
      <c r="IY6" t="s">
        <v>1874</v>
      </c>
      <c r="IZ6" t="s">
        <v>1874</v>
      </c>
      <c r="JA6" t="s">
        <v>1874</v>
      </c>
      <c r="JB6" t="s">
        <v>1859</v>
      </c>
      <c r="JC6" t="s">
        <v>1874</v>
      </c>
      <c r="JD6" t="s">
        <v>1874</v>
      </c>
      <c r="JE6" t="s">
        <v>1874</v>
      </c>
      <c r="JF6" t="s">
        <v>1874</v>
      </c>
      <c r="JG6" t="s">
        <v>1874</v>
      </c>
      <c r="JH6" t="s">
        <v>1874</v>
      </c>
      <c r="JI6" t="s">
        <v>1874</v>
      </c>
      <c r="JJ6" t="s">
        <v>1874</v>
      </c>
      <c r="JK6" t="s">
        <v>1874</v>
      </c>
      <c r="JL6" t="s">
        <v>1859</v>
      </c>
      <c r="JM6" t="s">
        <v>1874</v>
      </c>
      <c r="JN6" t="s">
        <v>1874</v>
      </c>
      <c r="JO6" t="s">
        <v>1874</v>
      </c>
      <c r="JP6" t="s">
        <v>1874</v>
      </c>
      <c r="JQ6" t="s">
        <v>1874</v>
      </c>
      <c r="JR6" t="s">
        <v>1874</v>
      </c>
      <c r="JS6" t="s">
        <v>1874</v>
      </c>
      <c r="JT6" t="s">
        <v>1859</v>
      </c>
      <c r="JU6" t="s">
        <v>1874</v>
      </c>
      <c r="JV6" t="s">
        <v>1859</v>
      </c>
      <c r="JW6" t="s">
        <v>1874</v>
      </c>
      <c r="JX6" t="s">
        <v>1874</v>
      </c>
      <c r="JY6" t="s">
        <v>1874</v>
      </c>
      <c r="JZ6" t="s">
        <v>1859</v>
      </c>
      <c r="KA6" t="s">
        <v>1874</v>
      </c>
      <c r="KB6" t="s">
        <v>1874</v>
      </c>
      <c r="KC6" t="s">
        <v>1874</v>
      </c>
      <c r="KD6" t="s">
        <v>1874</v>
      </c>
      <c r="KE6" t="s">
        <v>1874</v>
      </c>
      <c r="KF6" t="s">
        <v>1874</v>
      </c>
      <c r="KG6" t="s">
        <v>1874</v>
      </c>
      <c r="KH6" t="s">
        <v>1874</v>
      </c>
      <c r="KI6" t="s">
        <v>1874</v>
      </c>
      <c r="KJ6" t="s">
        <v>1874</v>
      </c>
      <c r="KK6" t="s">
        <v>1874</v>
      </c>
      <c r="KL6" t="s">
        <v>1874</v>
      </c>
      <c r="KM6" t="s">
        <v>1874</v>
      </c>
      <c r="KN6" t="s">
        <v>1859</v>
      </c>
      <c r="KO6" t="s">
        <v>1874</v>
      </c>
      <c r="KP6" t="s">
        <v>1874</v>
      </c>
      <c r="KQ6" t="s">
        <v>1874</v>
      </c>
      <c r="KR6" t="s">
        <v>1874</v>
      </c>
      <c r="KS6" t="s">
        <v>1874</v>
      </c>
      <c r="KT6" t="s">
        <v>1874</v>
      </c>
      <c r="KU6" t="s">
        <v>1874</v>
      </c>
      <c r="KV6" t="s">
        <v>1874</v>
      </c>
      <c r="KW6" t="s">
        <v>1874</v>
      </c>
      <c r="KX6" t="s">
        <v>1874</v>
      </c>
      <c r="KY6" t="s">
        <v>1874</v>
      </c>
      <c r="KZ6" t="s">
        <v>1874</v>
      </c>
      <c r="LA6" t="s">
        <v>1874</v>
      </c>
      <c r="LB6" t="s">
        <v>1874</v>
      </c>
      <c r="LC6" t="s">
        <v>1874</v>
      </c>
      <c r="LD6" t="s">
        <v>1874</v>
      </c>
      <c r="LE6" t="s">
        <v>1874</v>
      </c>
      <c r="LF6" t="s">
        <v>1874</v>
      </c>
      <c r="LG6" t="s">
        <v>1859</v>
      </c>
      <c r="LH6" t="s">
        <v>1859</v>
      </c>
      <c r="LI6" t="s">
        <v>1859</v>
      </c>
      <c r="LJ6" t="s">
        <v>1874</v>
      </c>
      <c r="LK6" t="s">
        <v>1859</v>
      </c>
      <c r="LL6" t="s">
        <v>1859</v>
      </c>
      <c r="LM6" t="s">
        <v>1874</v>
      </c>
      <c r="LN6" t="s">
        <v>1874</v>
      </c>
      <c r="LO6" t="s">
        <v>1859</v>
      </c>
      <c r="LP6" t="s">
        <v>1859</v>
      </c>
      <c r="LQ6" t="s">
        <v>1859</v>
      </c>
      <c r="LR6" t="s">
        <v>1859</v>
      </c>
      <c r="LS6" t="s">
        <v>1874</v>
      </c>
      <c r="LT6" t="s">
        <v>1874</v>
      </c>
      <c r="LU6" t="s">
        <v>1874</v>
      </c>
      <c r="LV6" t="s">
        <v>1874</v>
      </c>
      <c r="LW6" t="s">
        <v>1859</v>
      </c>
      <c r="LX6" t="s">
        <v>1874</v>
      </c>
      <c r="LY6" t="s">
        <v>1874</v>
      </c>
      <c r="LZ6" t="s">
        <v>1874</v>
      </c>
      <c r="MA6" t="s">
        <v>1874</v>
      </c>
      <c r="MB6" t="s">
        <v>1874</v>
      </c>
      <c r="MC6" t="s">
        <v>1874</v>
      </c>
      <c r="MD6" t="s">
        <v>1859</v>
      </c>
      <c r="ME6" t="s">
        <v>1874</v>
      </c>
      <c r="MF6" t="s">
        <v>1874</v>
      </c>
      <c r="MG6" t="s">
        <v>1859</v>
      </c>
      <c r="MH6" t="s">
        <v>1859</v>
      </c>
      <c r="MI6" t="s">
        <v>1859</v>
      </c>
      <c r="MJ6" t="s">
        <v>1874</v>
      </c>
      <c r="MK6" t="s">
        <v>1874</v>
      </c>
      <c r="ML6" t="s">
        <v>1874</v>
      </c>
      <c r="MM6" t="s">
        <v>1874</v>
      </c>
      <c r="MN6" t="s">
        <v>1874</v>
      </c>
      <c r="MO6" t="s">
        <v>1874</v>
      </c>
      <c r="MP6" t="s">
        <v>1874</v>
      </c>
      <c r="MQ6" t="s">
        <v>1874</v>
      </c>
      <c r="MR6" t="s">
        <v>1874</v>
      </c>
      <c r="MS6" t="s">
        <v>1874</v>
      </c>
      <c r="MT6" t="s">
        <v>1874</v>
      </c>
      <c r="MU6" t="s">
        <v>1874</v>
      </c>
      <c r="MV6" t="s">
        <v>1874</v>
      </c>
      <c r="MW6" t="s">
        <v>1874</v>
      </c>
      <c r="MX6" t="s">
        <v>1859</v>
      </c>
      <c r="MY6" t="s">
        <v>1874</v>
      </c>
      <c r="MZ6" t="s">
        <v>1859</v>
      </c>
      <c r="NA6" t="s">
        <v>1874</v>
      </c>
      <c r="NB6" t="s">
        <v>1874</v>
      </c>
      <c r="NC6" t="s">
        <v>1874</v>
      </c>
      <c r="ND6" t="s">
        <v>1874</v>
      </c>
      <c r="NG6" t="s">
        <v>1874</v>
      </c>
      <c r="NH6" t="s">
        <v>1874</v>
      </c>
      <c r="NI6" t="s">
        <v>1874</v>
      </c>
      <c r="NJ6" t="s">
        <v>1874</v>
      </c>
      <c r="NK6" t="s">
        <v>1874</v>
      </c>
      <c r="NL6" t="s">
        <v>1874</v>
      </c>
      <c r="NM6" t="s">
        <v>1874</v>
      </c>
      <c r="NN6" t="s">
        <v>1859</v>
      </c>
      <c r="NO6" t="s">
        <v>1875</v>
      </c>
      <c r="NP6" t="s">
        <v>1876</v>
      </c>
      <c r="NR6" t="s">
        <v>1462</v>
      </c>
      <c r="NS6" t="s">
        <v>1877</v>
      </c>
      <c r="NU6" t="s">
        <v>1878</v>
      </c>
      <c r="NV6" t="s">
        <v>1847</v>
      </c>
      <c r="NX6" t="s">
        <v>1879</v>
      </c>
      <c r="NY6" t="s">
        <v>1846</v>
      </c>
    </row>
    <row r="7" spans="1:389" ht="15" customHeight="1" x14ac:dyDescent="0.25">
      <c r="A7" t="s">
        <v>1880</v>
      </c>
      <c r="B7" t="s">
        <v>1870</v>
      </c>
      <c r="C7" t="s">
        <v>1841</v>
      </c>
      <c r="D7" t="s">
        <v>1463</v>
      </c>
      <c r="G7" t="s">
        <v>1880</v>
      </c>
      <c r="H7" t="s">
        <v>1881</v>
      </c>
      <c r="I7" t="s">
        <v>1881</v>
      </c>
      <c r="J7" t="s">
        <v>1881</v>
      </c>
      <c r="K7" t="s">
        <v>1880</v>
      </c>
      <c r="L7" t="s">
        <v>1880</v>
      </c>
      <c r="M7" t="s">
        <v>1880</v>
      </c>
      <c r="N7" t="s">
        <v>1880</v>
      </c>
      <c r="O7" t="s">
        <v>1881</v>
      </c>
      <c r="P7" t="s">
        <v>1880</v>
      </c>
      <c r="Q7" t="s">
        <v>1881</v>
      </c>
      <c r="R7" t="s">
        <v>1880</v>
      </c>
      <c r="S7" t="s">
        <v>1880</v>
      </c>
      <c r="T7" t="s">
        <v>1881</v>
      </c>
      <c r="U7" t="s">
        <v>1881</v>
      </c>
      <c r="V7" t="s">
        <v>1881</v>
      </c>
      <c r="W7" t="s">
        <v>1881</v>
      </c>
      <c r="X7" t="s">
        <v>1881</v>
      </c>
      <c r="Y7" t="s">
        <v>1881</v>
      </c>
      <c r="AA7" t="s">
        <v>1881</v>
      </c>
      <c r="AB7" t="s">
        <v>1881</v>
      </c>
      <c r="AC7" t="s">
        <v>1881</v>
      </c>
      <c r="AD7" t="s">
        <v>1881</v>
      </c>
      <c r="AE7" t="s">
        <v>1881</v>
      </c>
      <c r="AF7" t="s">
        <v>1881</v>
      </c>
      <c r="AG7" t="s">
        <v>1881</v>
      </c>
      <c r="AH7" t="s">
        <v>1880</v>
      </c>
      <c r="AI7" t="s">
        <v>1881</v>
      </c>
      <c r="AJ7" t="s">
        <v>1881</v>
      </c>
      <c r="AK7" t="s">
        <v>1881</v>
      </c>
      <c r="AL7" t="s">
        <v>1881</v>
      </c>
      <c r="AM7" t="s">
        <v>1880</v>
      </c>
      <c r="AN7" t="s">
        <v>1881</v>
      </c>
      <c r="AO7" t="s">
        <v>1880</v>
      </c>
      <c r="AP7" t="s">
        <v>1880</v>
      </c>
      <c r="AQ7" t="s">
        <v>1880</v>
      </c>
      <c r="AR7" t="s">
        <v>1880</v>
      </c>
      <c r="AS7" t="s">
        <v>1881</v>
      </c>
      <c r="AT7" t="s">
        <v>1881</v>
      </c>
      <c r="AU7" t="s">
        <v>1881</v>
      </c>
      <c r="AV7" t="s">
        <v>1881</v>
      </c>
      <c r="AW7" t="s">
        <v>1881</v>
      </c>
      <c r="AX7" t="s">
        <v>1881</v>
      </c>
      <c r="AY7" t="s">
        <v>1881</v>
      </c>
      <c r="AZ7" t="s">
        <v>1881</v>
      </c>
      <c r="BA7" t="s">
        <v>1881</v>
      </c>
      <c r="BB7" t="s">
        <v>1881</v>
      </c>
      <c r="BC7" t="s">
        <v>1881</v>
      </c>
      <c r="BD7" t="s">
        <v>1881</v>
      </c>
      <c r="BE7" t="s">
        <v>1881</v>
      </c>
      <c r="BF7" t="s">
        <v>1881</v>
      </c>
      <c r="BG7" t="s">
        <v>1881</v>
      </c>
      <c r="BH7" t="s">
        <v>1881</v>
      </c>
      <c r="BI7" t="s">
        <v>1881</v>
      </c>
      <c r="BJ7" t="s">
        <v>1881</v>
      </c>
      <c r="BK7" t="s">
        <v>1881</v>
      </c>
      <c r="BL7" t="s">
        <v>1881</v>
      </c>
      <c r="BM7" t="s">
        <v>1881</v>
      </c>
      <c r="BN7" t="s">
        <v>1881</v>
      </c>
      <c r="BO7" t="s">
        <v>1881</v>
      </c>
      <c r="BP7" t="s">
        <v>1881</v>
      </c>
      <c r="BQ7" t="s">
        <v>1881</v>
      </c>
      <c r="BR7" t="s">
        <v>1881</v>
      </c>
      <c r="BS7" t="s">
        <v>1881</v>
      </c>
      <c r="BT7" t="s">
        <v>1881</v>
      </c>
      <c r="BU7" t="s">
        <v>1881</v>
      </c>
      <c r="BV7" t="s">
        <v>1881</v>
      </c>
      <c r="BW7" t="s">
        <v>1881</v>
      </c>
      <c r="BX7" t="s">
        <v>1881</v>
      </c>
      <c r="BY7" t="s">
        <v>1881</v>
      </c>
      <c r="BZ7" t="s">
        <v>1880</v>
      </c>
      <c r="CA7" t="s">
        <v>1880</v>
      </c>
      <c r="CB7" t="s">
        <v>1881</v>
      </c>
      <c r="CC7" t="s">
        <v>1881</v>
      </c>
      <c r="CD7" t="s">
        <v>1881</v>
      </c>
      <c r="CE7" t="s">
        <v>1880</v>
      </c>
      <c r="CF7" t="s">
        <v>1881</v>
      </c>
      <c r="CG7" t="s">
        <v>1881</v>
      </c>
      <c r="CH7" t="s">
        <v>1881</v>
      </c>
      <c r="CI7" t="s">
        <v>1881</v>
      </c>
      <c r="CJ7" t="s">
        <v>1881</v>
      </c>
      <c r="CK7" t="s">
        <v>1880</v>
      </c>
      <c r="CL7" t="s">
        <v>1880</v>
      </c>
      <c r="CM7" t="s">
        <v>1880</v>
      </c>
      <c r="CN7" t="s">
        <v>1880</v>
      </c>
      <c r="CO7" t="s">
        <v>1880</v>
      </c>
      <c r="CP7" t="s">
        <v>1880</v>
      </c>
      <c r="CQ7" t="s">
        <v>1880</v>
      </c>
      <c r="CR7" t="s">
        <v>1880</v>
      </c>
      <c r="CS7" t="s">
        <v>1881</v>
      </c>
      <c r="CT7" t="s">
        <v>1881</v>
      </c>
      <c r="CU7" t="s">
        <v>1880</v>
      </c>
      <c r="CV7" t="s">
        <v>1881</v>
      </c>
      <c r="CW7" t="s">
        <v>1881</v>
      </c>
      <c r="CX7" t="s">
        <v>1881</v>
      </c>
      <c r="CY7" t="s">
        <v>1881</v>
      </c>
      <c r="CZ7" t="s">
        <v>1880</v>
      </c>
      <c r="DA7" t="s">
        <v>1880</v>
      </c>
      <c r="DB7" t="s">
        <v>1880</v>
      </c>
      <c r="DC7" t="s">
        <v>1880</v>
      </c>
      <c r="DD7" t="s">
        <v>1881</v>
      </c>
      <c r="DE7" t="s">
        <v>1881</v>
      </c>
      <c r="DF7" t="s">
        <v>1881</v>
      </c>
      <c r="DG7" t="s">
        <v>1881</v>
      </c>
      <c r="DH7" t="s">
        <v>1881</v>
      </c>
      <c r="DI7" t="s">
        <v>1881</v>
      </c>
      <c r="DJ7" t="s">
        <v>1880</v>
      </c>
      <c r="DK7" t="s">
        <v>1880</v>
      </c>
      <c r="DL7" t="s">
        <v>1881</v>
      </c>
      <c r="DM7" t="s">
        <v>1881</v>
      </c>
      <c r="DN7" t="s">
        <v>1881</v>
      </c>
      <c r="DO7" t="s">
        <v>1880</v>
      </c>
      <c r="DP7" t="s">
        <v>1880</v>
      </c>
      <c r="DQ7" t="s">
        <v>1880</v>
      </c>
      <c r="DR7" t="s">
        <v>1880</v>
      </c>
      <c r="DS7" t="s">
        <v>1881</v>
      </c>
      <c r="DT7" t="s">
        <v>1880</v>
      </c>
      <c r="DU7" t="s">
        <v>1880</v>
      </c>
      <c r="DV7" t="s">
        <v>1880</v>
      </c>
      <c r="DW7" t="s">
        <v>1881</v>
      </c>
      <c r="DX7" t="s">
        <v>1881</v>
      </c>
      <c r="DY7" t="s">
        <v>1881</v>
      </c>
      <c r="DZ7" t="s">
        <v>1881</v>
      </c>
      <c r="EA7" t="s">
        <v>1880</v>
      </c>
      <c r="EB7" t="s">
        <v>1880</v>
      </c>
      <c r="EC7" t="s">
        <v>1880</v>
      </c>
      <c r="ED7" t="s">
        <v>1881</v>
      </c>
      <c r="EE7" t="s">
        <v>1881</v>
      </c>
      <c r="EF7" t="s">
        <v>1881</v>
      </c>
      <c r="EG7" t="s">
        <v>1880</v>
      </c>
      <c r="EH7" t="s">
        <v>1880</v>
      </c>
      <c r="EI7" t="s">
        <v>1880</v>
      </c>
      <c r="EJ7" t="s">
        <v>1880</v>
      </c>
      <c r="EK7" t="s">
        <v>1880</v>
      </c>
      <c r="EL7" t="s">
        <v>1880</v>
      </c>
      <c r="EM7" t="s">
        <v>1881</v>
      </c>
      <c r="EN7" t="s">
        <v>1881</v>
      </c>
      <c r="EO7" t="s">
        <v>1881</v>
      </c>
      <c r="ET7" t="s">
        <v>1881</v>
      </c>
      <c r="EU7" t="s">
        <v>1881</v>
      </c>
      <c r="EV7" t="s">
        <v>1881</v>
      </c>
      <c r="EW7" t="s">
        <v>1881</v>
      </c>
      <c r="EX7" t="s">
        <v>1881</v>
      </c>
      <c r="EY7" t="s">
        <v>1880</v>
      </c>
      <c r="EZ7" t="s">
        <v>1881</v>
      </c>
      <c r="FA7" t="s">
        <v>1880</v>
      </c>
      <c r="FB7" t="s">
        <v>1880</v>
      </c>
      <c r="FC7" t="s">
        <v>1880</v>
      </c>
      <c r="FD7" t="s">
        <v>1881</v>
      </c>
      <c r="FE7" t="s">
        <v>1881</v>
      </c>
      <c r="FF7" t="s">
        <v>1880</v>
      </c>
      <c r="FG7" t="s">
        <v>1880</v>
      </c>
      <c r="FH7" t="s">
        <v>1880</v>
      </c>
      <c r="FI7" t="s">
        <v>1880</v>
      </c>
      <c r="FJ7" t="s">
        <v>1881</v>
      </c>
      <c r="FK7" t="s">
        <v>1881</v>
      </c>
      <c r="FL7" t="s">
        <v>1881</v>
      </c>
      <c r="FM7" t="s">
        <v>1881</v>
      </c>
      <c r="FN7" t="s">
        <v>1881</v>
      </c>
      <c r="FO7" t="s">
        <v>1881</v>
      </c>
      <c r="FP7" t="s">
        <v>1881</v>
      </c>
      <c r="FQ7" t="s">
        <v>1881</v>
      </c>
      <c r="FR7" t="s">
        <v>1881</v>
      </c>
      <c r="FS7" t="s">
        <v>1881</v>
      </c>
      <c r="FT7" t="s">
        <v>1881</v>
      </c>
      <c r="FU7" t="s">
        <v>1881</v>
      </c>
      <c r="FV7" t="s">
        <v>1881</v>
      </c>
      <c r="FW7" t="s">
        <v>1881</v>
      </c>
      <c r="FX7" t="s">
        <v>1881</v>
      </c>
      <c r="FY7" t="s">
        <v>1880</v>
      </c>
      <c r="FZ7" t="s">
        <v>1880</v>
      </c>
      <c r="GA7" t="s">
        <v>1880</v>
      </c>
      <c r="GB7" t="s">
        <v>1881</v>
      </c>
      <c r="GC7" t="s">
        <v>1881</v>
      </c>
      <c r="GD7" t="s">
        <v>1881</v>
      </c>
      <c r="GE7" t="s">
        <v>1881</v>
      </c>
      <c r="GF7" t="s">
        <v>1881</v>
      </c>
      <c r="GG7" t="s">
        <v>1881</v>
      </c>
      <c r="GH7" t="s">
        <v>1881</v>
      </c>
      <c r="GI7" t="s">
        <v>1881</v>
      </c>
      <c r="GJ7" t="s">
        <v>1881</v>
      </c>
      <c r="GK7" t="s">
        <v>1881</v>
      </c>
      <c r="GL7" t="s">
        <v>1881</v>
      </c>
      <c r="GM7" t="s">
        <v>1881</v>
      </c>
      <c r="GN7" t="s">
        <v>1881</v>
      </c>
      <c r="GO7" t="s">
        <v>1881</v>
      </c>
      <c r="GP7" t="s">
        <v>1881</v>
      </c>
      <c r="GQ7" t="s">
        <v>1881</v>
      </c>
      <c r="GR7" t="s">
        <v>1881</v>
      </c>
      <c r="GS7" t="s">
        <v>1881</v>
      </c>
      <c r="GT7" t="s">
        <v>1881</v>
      </c>
      <c r="GU7" t="s">
        <v>1881</v>
      </c>
      <c r="GV7" t="s">
        <v>1881</v>
      </c>
      <c r="GW7" t="s">
        <v>1881</v>
      </c>
      <c r="GX7" t="s">
        <v>1881</v>
      </c>
      <c r="GY7" t="s">
        <v>1881</v>
      </c>
      <c r="GZ7" t="s">
        <v>1881</v>
      </c>
      <c r="HA7" t="s">
        <v>1881</v>
      </c>
      <c r="HB7" t="s">
        <v>1881</v>
      </c>
      <c r="HC7" t="s">
        <v>1881</v>
      </c>
      <c r="HD7" t="s">
        <v>1880</v>
      </c>
      <c r="HE7" t="s">
        <v>1881</v>
      </c>
      <c r="HF7" t="s">
        <v>1880</v>
      </c>
      <c r="HG7" t="s">
        <v>1881</v>
      </c>
      <c r="HH7" t="s">
        <v>1881</v>
      </c>
      <c r="HI7" t="s">
        <v>1881</v>
      </c>
      <c r="HJ7" t="s">
        <v>1881</v>
      </c>
      <c r="HK7" t="s">
        <v>1881</v>
      </c>
      <c r="HL7" t="s">
        <v>1881</v>
      </c>
      <c r="HM7" t="s">
        <v>1881</v>
      </c>
      <c r="HN7" t="s">
        <v>1881</v>
      </c>
      <c r="HO7" t="s">
        <v>1880</v>
      </c>
      <c r="HP7" t="s">
        <v>1881</v>
      </c>
      <c r="HQ7" t="s">
        <v>1880</v>
      </c>
      <c r="HR7" t="s">
        <v>1880</v>
      </c>
      <c r="HS7" t="s">
        <v>1880</v>
      </c>
      <c r="HT7" t="s">
        <v>1881</v>
      </c>
      <c r="HU7" t="s">
        <v>1881</v>
      </c>
      <c r="HV7" t="s">
        <v>1881</v>
      </c>
      <c r="HW7" t="s">
        <v>1881</v>
      </c>
      <c r="HX7" t="s">
        <v>1881</v>
      </c>
      <c r="HY7" t="s">
        <v>1881</v>
      </c>
      <c r="HZ7" t="s">
        <v>1881</v>
      </c>
      <c r="IA7" t="s">
        <v>1881</v>
      </c>
      <c r="IB7" t="s">
        <v>1881</v>
      </c>
      <c r="IC7" t="s">
        <v>1881</v>
      </c>
      <c r="ID7" t="s">
        <v>1881</v>
      </c>
      <c r="IE7" t="s">
        <v>1881</v>
      </c>
      <c r="IF7" t="s">
        <v>1880</v>
      </c>
      <c r="IG7" t="s">
        <v>1880</v>
      </c>
      <c r="IH7" t="s">
        <v>1880</v>
      </c>
      <c r="II7" t="s">
        <v>1880</v>
      </c>
      <c r="IJ7" t="s">
        <v>1880</v>
      </c>
      <c r="IK7" t="s">
        <v>1881</v>
      </c>
      <c r="IL7" t="s">
        <v>1881</v>
      </c>
      <c r="IM7" t="s">
        <v>1881</v>
      </c>
      <c r="IN7" t="s">
        <v>1881</v>
      </c>
      <c r="IO7" t="s">
        <v>1880</v>
      </c>
      <c r="IP7" t="s">
        <v>1881</v>
      </c>
      <c r="IQ7" t="s">
        <v>1881</v>
      </c>
      <c r="IR7" t="s">
        <v>1881</v>
      </c>
      <c r="IS7" t="s">
        <v>1881</v>
      </c>
      <c r="IT7" t="s">
        <v>1881</v>
      </c>
      <c r="IU7" t="s">
        <v>1881</v>
      </c>
      <c r="IV7" t="s">
        <v>1881</v>
      </c>
      <c r="IW7" t="s">
        <v>1881</v>
      </c>
      <c r="IX7" t="s">
        <v>1881</v>
      </c>
      <c r="IY7" t="s">
        <v>1881</v>
      </c>
      <c r="IZ7" t="s">
        <v>1881</v>
      </c>
      <c r="JA7" t="s">
        <v>1881</v>
      </c>
      <c r="JB7" t="s">
        <v>1880</v>
      </c>
      <c r="JC7" t="s">
        <v>1881</v>
      </c>
      <c r="JD7" t="s">
        <v>1881</v>
      </c>
      <c r="JE7" t="s">
        <v>1881</v>
      </c>
      <c r="JF7" t="s">
        <v>1881</v>
      </c>
      <c r="JG7" t="s">
        <v>1881</v>
      </c>
      <c r="JH7" t="s">
        <v>1881</v>
      </c>
      <c r="JI7" t="s">
        <v>1881</v>
      </c>
      <c r="JJ7" t="s">
        <v>1881</v>
      </c>
      <c r="JK7" t="s">
        <v>1881</v>
      </c>
      <c r="JL7" t="s">
        <v>1880</v>
      </c>
      <c r="JM7" t="s">
        <v>1881</v>
      </c>
      <c r="JN7" t="s">
        <v>1881</v>
      </c>
      <c r="JO7" t="s">
        <v>1881</v>
      </c>
      <c r="JP7" t="s">
        <v>1881</v>
      </c>
      <c r="JQ7" t="s">
        <v>1881</v>
      </c>
      <c r="JR7" t="s">
        <v>1881</v>
      </c>
      <c r="JS7" t="s">
        <v>1881</v>
      </c>
      <c r="JT7" t="s">
        <v>1880</v>
      </c>
      <c r="JU7" t="s">
        <v>1881</v>
      </c>
      <c r="JV7" t="s">
        <v>1880</v>
      </c>
      <c r="JW7" t="s">
        <v>1881</v>
      </c>
      <c r="JX7" t="s">
        <v>1881</v>
      </c>
      <c r="JY7" t="s">
        <v>1881</v>
      </c>
      <c r="JZ7" t="s">
        <v>1880</v>
      </c>
      <c r="KA7" t="s">
        <v>1881</v>
      </c>
      <c r="KB7" t="s">
        <v>1881</v>
      </c>
      <c r="KC7" t="s">
        <v>1881</v>
      </c>
      <c r="KD7" t="s">
        <v>1881</v>
      </c>
      <c r="KE7" t="s">
        <v>1881</v>
      </c>
      <c r="KF7" t="s">
        <v>1881</v>
      </c>
      <c r="KG7" t="s">
        <v>1881</v>
      </c>
      <c r="KH7" t="s">
        <v>1881</v>
      </c>
      <c r="KI7" t="s">
        <v>1881</v>
      </c>
      <c r="KJ7" t="s">
        <v>1881</v>
      </c>
      <c r="KK7" t="s">
        <v>1881</v>
      </c>
      <c r="KL7" t="s">
        <v>1881</v>
      </c>
      <c r="KM7" t="s">
        <v>1881</v>
      </c>
      <c r="KN7" t="s">
        <v>1880</v>
      </c>
      <c r="KO7" t="s">
        <v>1881</v>
      </c>
      <c r="KP7" t="s">
        <v>1881</v>
      </c>
      <c r="KQ7" t="s">
        <v>1881</v>
      </c>
      <c r="KR7" t="s">
        <v>1881</v>
      </c>
      <c r="KS7" t="s">
        <v>1881</v>
      </c>
      <c r="KT7" t="s">
        <v>1881</v>
      </c>
      <c r="KU7" t="s">
        <v>1881</v>
      </c>
      <c r="KV7" t="s">
        <v>1881</v>
      </c>
      <c r="KW7" t="s">
        <v>1881</v>
      </c>
      <c r="KX7" t="s">
        <v>1881</v>
      </c>
      <c r="KY7" t="s">
        <v>1881</v>
      </c>
      <c r="KZ7" t="s">
        <v>1881</v>
      </c>
      <c r="LA7" t="s">
        <v>1881</v>
      </c>
      <c r="LB7" t="s">
        <v>1881</v>
      </c>
      <c r="LC7" t="s">
        <v>1881</v>
      </c>
      <c r="LD7" t="s">
        <v>1881</v>
      </c>
      <c r="LE7" t="s">
        <v>1881</v>
      </c>
      <c r="LF7" t="s">
        <v>1881</v>
      </c>
      <c r="LG7" t="s">
        <v>1880</v>
      </c>
      <c r="LH7" t="s">
        <v>1880</v>
      </c>
      <c r="LI7" t="s">
        <v>1880</v>
      </c>
      <c r="LJ7" t="s">
        <v>1881</v>
      </c>
      <c r="LK7" t="s">
        <v>1880</v>
      </c>
      <c r="LL7" t="s">
        <v>1880</v>
      </c>
      <c r="LM7" t="s">
        <v>1881</v>
      </c>
      <c r="LN7" t="s">
        <v>1881</v>
      </c>
      <c r="LO7" t="s">
        <v>1880</v>
      </c>
      <c r="LP7" t="s">
        <v>1880</v>
      </c>
      <c r="LQ7" t="s">
        <v>1880</v>
      </c>
      <c r="LR7" t="s">
        <v>1880</v>
      </c>
      <c r="LS7" t="s">
        <v>1881</v>
      </c>
      <c r="LT7" t="s">
        <v>1881</v>
      </c>
      <c r="LU7" t="s">
        <v>1881</v>
      </c>
      <c r="LV7" t="s">
        <v>1881</v>
      </c>
      <c r="LW7" t="s">
        <v>1880</v>
      </c>
      <c r="LX7" t="s">
        <v>1881</v>
      </c>
      <c r="LY7" t="s">
        <v>1881</v>
      </c>
      <c r="LZ7" t="s">
        <v>1881</v>
      </c>
      <c r="MA7" t="s">
        <v>1881</v>
      </c>
      <c r="MB7" t="s">
        <v>1881</v>
      </c>
      <c r="MC7" t="s">
        <v>1881</v>
      </c>
      <c r="MD7" t="s">
        <v>1880</v>
      </c>
      <c r="ME7" t="s">
        <v>1881</v>
      </c>
      <c r="MF7" t="s">
        <v>1881</v>
      </c>
      <c r="MG7" t="s">
        <v>1880</v>
      </c>
      <c r="MH7" t="s">
        <v>1880</v>
      </c>
      <c r="MI7" t="s">
        <v>1880</v>
      </c>
      <c r="MJ7" t="s">
        <v>1881</v>
      </c>
      <c r="MK7" t="s">
        <v>1881</v>
      </c>
      <c r="ML7" t="s">
        <v>1881</v>
      </c>
      <c r="MM7" t="s">
        <v>1881</v>
      </c>
      <c r="MN7" t="s">
        <v>1881</v>
      </c>
      <c r="MO7" t="s">
        <v>1881</v>
      </c>
      <c r="MP7" t="s">
        <v>1881</v>
      </c>
      <c r="MQ7" t="s">
        <v>1881</v>
      </c>
      <c r="MR7" t="s">
        <v>1881</v>
      </c>
      <c r="MS7" t="s">
        <v>1881</v>
      </c>
      <c r="MT7" t="s">
        <v>1881</v>
      </c>
      <c r="MU7" t="s">
        <v>1881</v>
      </c>
      <c r="MV7" t="s">
        <v>1881</v>
      </c>
      <c r="MW7" t="s">
        <v>1881</v>
      </c>
      <c r="MX7" t="s">
        <v>1880</v>
      </c>
      <c r="MY7" t="s">
        <v>1881</v>
      </c>
      <c r="MZ7" t="s">
        <v>1880</v>
      </c>
      <c r="NA7" t="s">
        <v>1881</v>
      </c>
      <c r="NB7" t="s">
        <v>1881</v>
      </c>
      <c r="NC7" t="s">
        <v>1881</v>
      </c>
      <c r="ND7" t="s">
        <v>1881</v>
      </c>
      <c r="NG7" t="s">
        <v>1881</v>
      </c>
      <c r="NH7" t="s">
        <v>1881</v>
      </c>
      <c r="NI7" t="s">
        <v>1881</v>
      </c>
      <c r="NJ7" t="s">
        <v>1881</v>
      </c>
      <c r="NK7" t="s">
        <v>1881</v>
      </c>
      <c r="NL7" t="s">
        <v>1881</v>
      </c>
      <c r="NM7" t="s">
        <v>1881</v>
      </c>
      <c r="NN7" t="s">
        <v>1880</v>
      </c>
      <c r="NO7" t="s">
        <v>1882</v>
      </c>
      <c r="NP7" t="s">
        <v>1883</v>
      </c>
      <c r="NR7" t="s">
        <v>1463</v>
      </c>
      <c r="NS7" t="s">
        <v>1884</v>
      </c>
      <c r="NU7" t="s">
        <v>1885</v>
      </c>
      <c r="NV7" t="s">
        <v>1886</v>
      </c>
      <c r="NX7" t="s">
        <v>1887</v>
      </c>
      <c r="NY7" t="s">
        <v>1846</v>
      </c>
    </row>
    <row r="8" spans="1:389" ht="15" customHeight="1" x14ac:dyDescent="0.25">
      <c r="A8" t="s">
        <v>1866</v>
      </c>
      <c r="B8" t="s">
        <v>1888</v>
      </c>
      <c r="C8" t="s">
        <v>1850</v>
      </c>
      <c r="D8" t="s">
        <v>1464</v>
      </c>
      <c r="G8" t="s">
        <v>1866</v>
      </c>
      <c r="H8" t="s">
        <v>1889</v>
      </c>
      <c r="I8" t="s">
        <v>1889</v>
      </c>
      <c r="J8" t="s">
        <v>1889</v>
      </c>
      <c r="K8" t="s">
        <v>1866</v>
      </c>
      <c r="L8" t="s">
        <v>1866</v>
      </c>
      <c r="M8" t="s">
        <v>1866</v>
      </c>
      <c r="N8" t="s">
        <v>1866</v>
      </c>
      <c r="O8" t="s">
        <v>1889</v>
      </c>
      <c r="P8" t="s">
        <v>1866</v>
      </c>
      <c r="Q8" t="s">
        <v>1889</v>
      </c>
      <c r="R8" t="s">
        <v>1866</v>
      </c>
      <c r="S8" t="s">
        <v>1866</v>
      </c>
      <c r="T8" t="s">
        <v>1889</v>
      </c>
      <c r="U8" t="s">
        <v>1889</v>
      </c>
      <c r="V8" t="s">
        <v>1889</v>
      </c>
      <c r="W8" t="s">
        <v>1889</v>
      </c>
      <c r="X8" t="s">
        <v>1889</v>
      </c>
      <c r="Y8" t="s">
        <v>1889</v>
      </c>
      <c r="AA8" t="s">
        <v>1889</v>
      </c>
      <c r="AB8" t="s">
        <v>1889</v>
      </c>
      <c r="AC8" t="s">
        <v>1889</v>
      </c>
      <c r="AD8" t="s">
        <v>1889</v>
      </c>
      <c r="AE8" t="s">
        <v>1889</v>
      </c>
      <c r="AF8" t="s">
        <v>1889</v>
      </c>
      <c r="AG8" t="s">
        <v>1889</v>
      </c>
      <c r="AH8" t="s">
        <v>1866</v>
      </c>
      <c r="AI8" t="s">
        <v>1889</v>
      </c>
      <c r="AJ8" t="s">
        <v>1889</v>
      </c>
      <c r="AK8" t="s">
        <v>1889</v>
      </c>
      <c r="AL8" t="s">
        <v>1889</v>
      </c>
      <c r="AM8" t="s">
        <v>1866</v>
      </c>
      <c r="AN8" t="s">
        <v>1889</v>
      </c>
      <c r="AO8" t="s">
        <v>1866</v>
      </c>
      <c r="AP8" t="s">
        <v>1866</v>
      </c>
      <c r="AQ8" t="s">
        <v>1866</v>
      </c>
      <c r="AR8" t="s">
        <v>1866</v>
      </c>
      <c r="AS8" t="s">
        <v>1889</v>
      </c>
      <c r="AT8" t="s">
        <v>1889</v>
      </c>
      <c r="AU8" t="s">
        <v>1889</v>
      </c>
      <c r="AV8" t="s">
        <v>1889</v>
      </c>
      <c r="AW8" t="s">
        <v>1889</v>
      </c>
      <c r="AX8" t="s">
        <v>1889</v>
      </c>
      <c r="AY8" t="s">
        <v>1889</v>
      </c>
      <c r="AZ8" t="s">
        <v>1889</v>
      </c>
      <c r="BA8" t="s">
        <v>1889</v>
      </c>
      <c r="BB8" t="s">
        <v>1889</v>
      </c>
      <c r="BC8" t="s">
        <v>1889</v>
      </c>
      <c r="BD8" t="s">
        <v>1889</v>
      </c>
      <c r="BE8" t="s">
        <v>1889</v>
      </c>
      <c r="BF8" t="s">
        <v>1889</v>
      </c>
      <c r="BG8" t="s">
        <v>1889</v>
      </c>
      <c r="BH8" t="s">
        <v>1889</v>
      </c>
      <c r="BI8" t="s">
        <v>1889</v>
      </c>
      <c r="BJ8" t="s">
        <v>1889</v>
      </c>
      <c r="BK8" t="s">
        <v>1889</v>
      </c>
      <c r="BL8" t="s">
        <v>1889</v>
      </c>
      <c r="BM8" t="s">
        <v>1889</v>
      </c>
      <c r="BN8" t="s">
        <v>1889</v>
      </c>
      <c r="BO8" t="s">
        <v>1889</v>
      </c>
      <c r="BP8" t="s">
        <v>1889</v>
      </c>
      <c r="BQ8" t="s">
        <v>1889</v>
      </c>
      <c r="BR8" t="s">
        <v>1889</v>
      </c>
      <c r="BS8" t="s">
        <v>1889</v>
      </c>
      <c r="BT8" t="s">
        <v>1889</v>
      </c>
      <c r="BU8" t="s">
        <v>1889</v>
      </c>
      <c r="BV8" t="s">
        <v>1889</v>
      </c>
      <c r="BW8" t="s">
        <v>1889</v>
      </c>
      <c r="BX8" t="s">
        <v>1889</v>
      </c>
      <c r="BY8" t="s">
        <v>1889</v>
      </c>
      <c r="BZ8" t="s">
        <v>1866</v>
      </c>
      <c r="CA8" t="s">
        <v>1866</v>
      </c>
      <c r="CB8" t="s">
        <v>1889</v>
      </c>
      <c r="CC8" t="s">
        <v>1889</v>
      </c>
      <c r="CD8" t="s">
        <v>1889</v>
      </c>
      <c r="CE8" t="s">
        <v>1866</v>
      </c>
      <c r="CF8" t="s">
        <v>1889</v>
      </c>
      <c r="CG8" t="s">
        <v>1889</v>
      </c>
      <c r="CH8" t="s">
        <v>1889</v>
      </c>
      <c r="CI8" t="s">
        <v>1889</v>
      </c>
      <c r="CJ8" t="s">
        <v>1889</v>
      </c>
      <c r="CK8" t="s">
        <v>1866</v>
      </c>
      <c r="CL8" t="s">
        <v>1866</v>
      </c>
      <c r="CM8" t="s">
        <v>1866</v>
      </c>
      <c r="CN8" t="s">
        <v>1866</v>
      </c>
      <c r="CO8" t="s">
        <v>1866</v>
      </c>
      <c r="CP8" t="s">
        <v>1866</v>
      </c>
      <c r="CQ8" t="s">
        <v>1866</v>
      </c>
      <c r="CR8" t="s">
        <v>1866</v>
      </c>
      <c r="CS8" t="s">
        <v>1889</v>
      </c>
      <c r="CT8" t="s">
        <v>1889</v>
      </c>
      <c r="CU8" t="s">
        <v>1866</v>
      </c>
      <c r="CV8" t="s">
        <v>1889</v>
      </c>
      <c r="CW8" t="s">
        <v>1889</v>
      </c>
      <c r="CX8" t="s">
        <v>1889</v>
      </c>
      <c r="CY8" t="s">
        <v>1889</v>
      </c>
      <c r="CZ8" t="s">
        <v>1866</v>
      </c>
      <c r="DA8" t="s">
        <v>1866</v>
      </c>
      <c r="DB8" t="s">
        <v>1866</v>
      </c>
      <c r="DC8" t="s">
        <v>1866</v>
      </c>
      <c r="DD8" t="s">
        <v>1889</v>
      </c>
      <c r="DE8" t="s">
        <v>1889</v>
      </c>
      <c r="DF8" t="s">
        <v>1889</v>
      </c>
      <c r="DG8" t="s">
        <v>1889</v>
      </c>
      <c r="DH8" t="s">
        <v>1889</v>
      </c>
      <c r="DI8" t="s">
        <v>1889</v>
      </c>
      <c r="DJ8" t="s">
        <v>1866</v>
      </c>
      <c r="DK8" t="s">
        <v>1866</v>
      </c>
      <c r="DL8" t="s">
        <v>1889</v>
      </c>
      <c r="DM8" t="s">
        <v>1889</v>
      </c>
      <c r="DN8" t="s">
        <v>1889</v>
      </c>
      <c r="DO8" t="s">
        <v>1866</v>
      </c>
      <c r="DP8" t="s">
        <v>1866</v>
      </c>
      <c r="DQ8" t="s">
        <v>1866</v>
      </c>
      <c r="DR8" t="s">
        <v>1866</v>
      </c>
      <c r="DS8" t="s">
        <v>1889</v>
      </c>
      <c r="DT8" t="s">
        <v>1866</v>
      </c>
      <c r="DU8" t="s">
        <v>1866</v>
      </c>
      <c r="DV8" t="s">
        <v>1866</v>
      </c>
      <c r="DW8" t="s">
        <v>1889</v>
      </c>
      <c r="DX8" t="s">
        <v>1889</v>
      </c>
      <c r="DY8" t="s">
        <v>1889</v>
      </c>
      <c r="DZ8" t="s">
        <v>1889</v>
      </c>
      <c r="EA8" t="s">
        <v>1866</v>
      </c>
      <c r="EB8" t="s">
        <v>1866</v>
      </c>
      <c r="EC8" t="s">
        <v>1866</v>
      </c>
      <c r="ED8" t="s">
        <v>1889</v>
      </c>
      <c r="EE8" t="s">
        <v>1889</v>
      </c>
      <c r="EF8" t="s">
        <v>1889</v>
      </c>
      <c r="EG8" t="s">
        <v>1866</v>
      </c>
      <c r="EH8" t="s">
        <v>1866</v>
      </c>
      <c r="EI8" t="s">
        <v>1866</v>
      </c>
      <c r="EJ8" t="s">
        <v>1866</v>
      </c>
      <c r="EK8" t="s">
        <v>1866</v>
      </c>
      <c r="EL8" t="s">
        <v>1866</v>
      </c>
      <c r="EM8" t="s">
        <v>1889</v>
      </c>
      <c r="EN8" t="s">
        <v>1889</v>
      </c>
      <c r="EO8" t="s">
        <v>1889</v>
      </c>
      <c r="ET8" t="s">
        <v>1889</v>
      </c>
      <c r="EU8" t="s">
        <v>1889</v>
      </c>
      <c r="EV8" t="s">
        <v>1889</v>
      </c>
      <c r="EW8" t="s">
        <v>1889</v>
      </c>
      <c r="EX8" t="s">
        <v>1889</v>
      </c>
      <c r="EY8" t="s">
        <v>1866</v>
      </c>
      <c r="EZ8" t="s">
        <v>1889</v>
      </c>
      <c r="FA8" t="s">
        <v>1866</v>
      </c>
      <c r="FB8" t="s">
        <v>1866</v>
      </c>
      <c r="FC8" t="s">
        <v>1866</v>
      </c>
      <c r="FD8" t="s">
        <v>1889</v>
      </c>
      <c r="FE8" t="s">
        <v>1889</v>
      </c>
      <c r="FF8" t="s">
        <v>1866</v>
      </c>
      <c r="FG8" t="s">
        <v>1866</v>
      </c>
      <c r="FH8" t="s">
        <v>1866</v>
      </c>
      <c r="FI8" t="s">
        <v>1866</v>
      </c>
      <c r="FJ8" t="s">
        <v>1889</v>
      </c>
      <c r="FK8" t="s">
        <v>1889</v>
      </c>
      <c r="FL8" t="s">
        <v>1889</v>
      </c>
      <c r="FM8" t="s">
        <v>1889</v>
      </c>
      <c r="FN8" t="s">
        <v>1889</v>
      </c>
      <c r="FO8" t="s">
        <v>1889</v>
      </c>
      <c r="FP8" t="s">
        <v>1889</v>
      </c>
      <c r="FQ8" t="s">
        <v>1889</v>
      </c>
      <c r="FR8" t="s">
        <v>1889</v>
      </c>
      <c r="FS8" t="s">
        <v>1889</v>
      </c>
      <c r="FT8" t="s">
        <v>1889</v>
      </c>
      <c r="FU8" t="s">
        <v>1889</v>
      </c>
      <c r="FV8" t="s">
        <v>1889</v>
      </c>
      <c r="FW8" t="s">
        <v>1889</v>
      </c>
      <c r="FX8" t="s">
        <v>1889</v>
      </c>
      <c r="FY8" t="s">
        <v>1866</v>
      </c>
      <c r="FZ8" t="s">
        <v>1866</v>
      </c>
      <c r="GA8" t="s">
        <v>1866</v>
      </c>
      <c r="GB8" t="s">
        <v>1889</v>
      </c>
      <c r="GC8" t="s">
        <v>1889</v>
      </c>
      <c r="GD8" t="s">
        <v>1889</v>
      </c>
      <c r="GE8" t="s">
        <v>1889</v>
      </c>
      <c r="GF8" t="s">
        <v>1889</v>
      </c>
      <c r="GG8" t="s">
        <v>1889</v>
      </c>
      <c r="GH8" t="s">
        <v>1889</v>
      </c>
      <c r="GI8" t="s">
        <v>1889</v>
      </c>
      <c r="GJ8" t="s">
        <v>1889</v>
      </c>
      <c r="GK8" t="s">
        <v>1889</v>
      </c>
      <c r="GL8" t="s">
        <v>1889</v>
      </c>
      <c r="GM8" t="s">
        <v>1889</v>
      </c>
      <c r="GN8" t="s">
        <v>1889</v>
      </c>
      <c r="GO8" t="s">
        <v>1889</v>
      </c>
      <c r="GP8" t="s">
        <v>1889</v>
      </c>
      <c r="GQ8" t="s">
        <v>1889</v>
      </c>
      <c r="GR8" t="s">
        <v>1889</v>
      </c>
      <c r="GS8" t="s">
        <v>1889</v>
      </c>
      <c r="GT8" t="s">
        <v>1889</v>
      </c>
      <c r="GU8" t="s">
        <v>1889</v>
      </c>
      <c r="GV8" t="s">
        <v>1889</v>
      </c>
      <c r="GW8" t="s">
        <v>1889</v>
      </c>
      <c r="GX8" t="s">
        <v>1889</v>
      </c>
      <c r="GY8" t="s">
        <v>1889</v>
      </c>
      <c r="GZ8" t="s">
        <v>1889</v>
      </c>
      <c r="HA8" t="s">
        <v>1889</v>
      </c>
      <c r="HB8" t="s">
        <v>1889</v>
      </c>
      <c r="HC8" t="s">
        <v>1889</v>
      </c>
      <c r="HD8" t="s">
        <v>1866</v>
      </c>
      <c r="HE8" t="s">
        <v>1889</v>
      </c>
      <c r="HF8" t="s">
        <v>1866</v>
      </c>
      <c r="HG8" t="s">
        <v>1889</v>
      </c>
      <c r="HH8" t="s">
        <v>1889</v>
      </c>
      <c r="HI8" t="s">
        <v>1889</v>
      </c>
      <c r="HJ8" t="s">
        <v>1889</v>
      </c>
      <c r="HK8" t="s">
        <v>1889</v>
      </c>
      <c r="HL8" t="s">
        <v>1889</v>
      </c>
      <c r="HM8" t="s">
        <v>1889</v>
      </c>
      <c r="HN8" t="s">
        <v>1889</v>
      </c>
      <c r="HO8" t="s">
        <v>1866</v>
      </c>
      <c r="HP8" t="s">
        <v>1889</v>
      </c>
      <c r="HQ8" t="s">
        <v>1866</v>
      </c>
      <c r="HR8" t="s">
        <v>1866</v>
      </c>
      <c r="HS8" t="s">
        <v>1866</v>
      </c>
      <c r="HT8" t="s">
        <v>1889</v>
      </c>
      <c r="HU8" t="s">
        <v>1889</v>
      </c>
      <c r="HV8" t="s">
        <v>1889</v>
      </c>
      <c r="HW8" t="s">
        <v>1889</v>
      </c>
      <c r="HX8" t="s">
        <v>1889</v>
      </c>
      <c r="HY8" t="s">
        <v>1889</v>
      </c>
      <c r="HZ8" t="s">
        <v>1889</v>
      </c>
      <c r="IA8" t="s">
        <v>1889</v>
      </c>
      <c r="IB8" t="s">
        <v>1889</v>
      </c>
      <c r="IC8" t="s">
        <v>1889</v>
      </c>
      <c r="ID8" t="s">
        <v>1889</v>
      </c>
      <c r="IE8" t="s">
        <v>1889</v>
      </c>
      <c r="IF8" t="s">
        <v>1866</v>
      </c>
      <c r="IG8" t="s">
        <v>1866</v>
      </c>
      <c r="IH8" t="s">
        <v>1866</v>
      </c>
      <c r="II8" t="s">
        <v>1866</v>
      </c>
      <c r="IJ8" t="s">
        <v>1866</v>
      </c>
      <c r="IK8" t="s">
        <v>1889</v>
      </c>
      <c r="IL8" t="s">
        <v>1889</v>
      </c>
      <c r="IM8" t="s">
        <v>1889</v>
      </c>
      <c r="IN8" t="s">
        <v>1889</v>
      </c>
      <c r="IO8" t="s">
        <v>1866</v>
      </c>
      <c r="IP8" t="s">
        <v>1889</v>
      </c>
      <c r="IQ8" t="s">
        <v>1889</v>
      </c>
      <c r="IR8" t="s">
        <v>1889</v>
      </c>
      <c r="IS8" t="s">
        <v>1889</v>
      </c>
      <c r="IT8" t="s">
        <v>1889</v>
      </c>
      <c r="IU8" t="s">
        <v>1889</v>
      </c>
      <c r="IV8" t="s">
        <v>1889</v>
      </c>
      <c r="IW8" t="s">
        <v>1889</v>
      </c>
      <c r="IX8" t="s">
        <v>1889</v>
      </c>
      <c r="IY8" t="s">
        <v>1889</v>
      </c>
      <c r="IZ8" t="s">
        <v>1889</v>
      </c>
      <c r="JA8" t="s">
        <v>1889</v>
      </c>
      <c r="JB8" t="s">
        <v>1866</v>
      </c>
      <c r="JC8" t="s">
        <v>1889</v>
      </c>
      <c r="JD8" t="s">
        <v>1889</v>
      </c>
      <c r="JE8" t="s">
        <v>1889</v>
      </c>
      <c r="JF8" t="s">
        <v>1889</v>
      </c>
      <c r="JG8" t="s">
        <v>1889</v>
      </c>
      <c r="JH8" t="s">
        <v>1889</v>
      </c>
      <c r="JI8" t="s">
        <v>1889</v>
      </c>
      <c r="JJ8" t="s">
        <v>1889</v>
      </c>
      <c r="JK8" t="s">
        <v>1889</v>
      </c>
      <c r="JL8" t="s">
        <v>1866</v>
      </c>
      <c r="JM8" t="s">
        <v>1889</v>
      </c>
      <c r="JN8" t="s">
        <v>1889</v>
      </c>
      <c r="JO8" t="s">
        <v>1889</v>
      </c>
      <c r="JP8" t="s">
        <v>1889</v>
      </c>
      <c r="JQ8" t="s">
        <v>1889</v>
      </c>
      <c r="JR8" t="s">
        <v>1889</v>
      </c>
      <c r="JS8" t="s">
        <v>1889</v>
      </c>
      <c r="JT8" t="s">
        <v>1866</v>
      </c>
      <c r="JU8" t="s">
        <v>1889</v>
      </c>
      <c r="JV8" t="s">
        <v>1866</v>
      </c>
      <c r="JW8" t="s">
        <v>1889</v>
      </c>
      <c r="JX8" t="s">
        <v>1889</v>
      </c>
      <c r="JY8" t="s">
        <v>1889</v>
      </c>
      <c r="JZ8" t="s">
        <v>1866</v>
      </c>
      <c r="KA8" t="s">
        <v>1889</v>
      </c>
      <c r="KB8" t="s">
        <v>1889</v>
      </c>
      <c r="KC8" t="s">
        <v>1889</v>
      </c>
      <c r="KD8" t="s">
        <v>1889</v>
      </c>
      <c r="KE8" t="s">
        <v>1889</v>
      </c>
      <c r="KF8" t="s">
        <v>1889</v>
      </c>
      <c r="KG8" t="s">
        <v>1889</v>
      </c>
      <c r="KH8" t="s">
        <v>1889</v>
      </c>
      <c r="KI8" t="s">
        <v>1889</v>
      </c>
      <c r="KJ8" t="s">
        <v>1889</v>
      </c>
      <c r="KK8" t="s">
        <v>1889</v>
      </c>
      <c r="KL8" t="s">
        <v>1889</v>
      </c>
      <c r="KM8" t="s">
        <v>1889</v>
      </c>
      <c r="KN8" t="s">
        <v>1866</v>
      </c>
      <c r="KO8" t="s">
        <v>1889</v>
      </c>
      <c r="KP8" t="s">
        <v>1889</v>
      </c>
      <c r="KQ8" t="s">
        <v>1889</v>
      </c>
      <c r="KR8" t="s">
        <v>1889</v>
      </c>
      <c r="KS8" t="s">
        <v>1889</v>
      </c>
      <c r="KT8" t="s">
        <v>1889</v>
      </c>
      <c r="KU8" t="s">
        <v>1889</v>
      </c>
      <c r="KV8" t="s">
        <v>1889</v>
      </c>
      <c r="KW8" t="s">
        <v>1889</v>
      </c>
      <c r="KX8" t="s">
        <v>1889</v>
      </c>
      <c r="KY8" t="s">
        <v>1889</v>
      </c>
      <c r="KZ8" t="s">
        <v>1889</v>
      </c>
      <c r="LA8" t="s">
        <v>1889</v>
      </c>
      <c r="LB8" t="s">
        <v>1889</v>
      </c>
      <c r="LC8" t="s">
        <v>1889</v>
      </c>
      <c r="LD8" t="s">
        <v>1889</v>
      </c>
      <c r="LE8" t="s">
        <v>1889</v>
      </c>
      <c r="LF8" t="s">
        <v>1889</v>
      </c>
      <c r="LG8" t="s">
        <v>1866</v>
      </c>
      <c r="LH8" t="s">
        <v>1866</v>
      </c>
      <c r="LI8" t="s">
        <v>1866</v>
      </c>
      <c r="LJ8" t="s">
        <v>1889</v>
      </c>
      <c r="LK8" t="s">
        <v>1866</v>
      </c>
      <c r="LL8" t="s">
        <v>1866</v>
      </c>
      <c r="LM8" t="s">
        <v>1889</v>
      </c>
      <c r="LN8" t="s">
        <v>1889</v>
      </c>
      <c r="LO8" t="s">
        <v>1866</v>
      </c>
      <c r="LP8" t="s">
        <v>1866</v>
      </c>
      <c r="LQ8" t="s">
        <v>1866</v>
      </c>
      <c r="LR8" t="s">
        <v>1866</v>
      </c>
      <c r="LS8" t="s">
        <v>1889</v>
      </c>
      <c r="LT8" t="s">
        <v>1889</v>
      </c>
      <c r="LU8" t="s">
        <v>1889</v>
      </c>
      <c r="LV8" t="s">
        <v>1889</v>
      </c>
      <c r="LW8" t="s">
        <v>1866</v>
      </c>
      <c r="LX8" t="s">
        <v>1889</v>
      </c>
      <c r="LY8" t="s">
        <v>1889</v>
      </c>
      <c r="LZ8" t="s">
        <v>1889</v>
      </c>
      <c r="MA8" t="s">
        <v>1889</v>
      </c>
      <c r="MB8" t="s">
        <v>1889</v>
      </c>
      <c r="MC8" t="s">
        <v>1889</v>
      </c>
      <c r="MD8" t="s">
        <v>1866</v>
      </c>
      <c r="ME8" t="s">
        <v>1889</v>
      </c>
      <c r="MF8" t="s">
        <v>1889</v>
      </c>
      <c r="MG8" t="s">
        <v>1866</v>
      </c>
      <c r="MH8" t="s">
        <v>1866</v>
      </c>
      <c r="MI8" t="s">
        <v>1866</v>
      </c>
      <c r="MJ8" t="s">
        <v>1889</v>
      </c>
      <c r="MK8" t="s">
        <v>1889</v>
      </c>
      <c r="ML8" t="s">
        <v>1889</v>
      </c>
      <c r="MM8" t="s">
        <v>1889</v>
      </c>
      <c r="MN8" t="s">
        <v>1889</v>
      </c>
      <c r="MO8" t="s">
        <v>1889</v>
      </c>
      <c r="MP8" t="s">
        <v>1889</v>
      </c>
      <c r="MQ8" t="s">
        <v>1889</v>
      </c>
      <c r="MR8" t="s">
        <v>1889</v>
      </c>
      <c r="MS8" t="s">
        <v>1889</v>
      </c>
      <c r="MT8" t="s">
        <v>1889</v>
      </c>
      <c r="MU8" t="s">
        <v>1889</v>
      </c>
      <c r="MV8" t="s">
        <v>1889</v>
      </c>
      <c r="MW8" t="s">
        <v>1889</v>
      </c>
      <c r="MX8" t="s">
        <v>1866</v>
      </c>
      <c r="MY8" t="s">
        <v>1889</v>
      </c>
      <c r="MZ8" t="s">
        <v>1866</v>
      </c>
      <c r="NA8" t="s">
        <v>1889</v>
      </c>
      <c r="NB8" t="s">
        <v>1889</v>
      </c>
      <c r="NC8" t="s">
        <v>1889</v>
      </c>
      <c r="ND8" t="s">
        <v>1889</v>
      </c>
      <c r="NG8" t="s">
        <v>1889</v>
      </c>
      <c r="NH8" t="s">
        <v>1889</v>
      </c>
      <c r="NI8" t="s">
        <v>1889</v>
      </c>
      <c r="NJ8" t="s">
        <v>1889</v>
      </c>
      <c r="NK8" t="s">
        <v>1889</v>
      </c>
      <c r="NL8" t="s">
        <v>1889</v>
      </c>
      <c r="NM8" t="s">
        <v>1889</v>
      </c>
      <c r="NN8" t="s">
        <v>1866</v>
      </c>
      <c r="NO8" t="s">
        <v>1890</v>
      </c>
      <c r="NP8" t="s">
        <v>1891</v>
      </c>
      <c r="NR8" t="s">
        <v>1464</v>
      </c>
      <c r="NS8" t="s">
        <v>1892</v>
      </c>
      <c r="NU8" t="s">
        <v>1893</v>
      </c>
      <c r="NV8" t="s">
        <v>1847</v>
      </c>
      <c r="NX8" t="s">
        <v>1894</v>
      </c>
      <c r="NY8" t="s">
        <v>1840</v>
      </c>
    </row>
    <row r="9" spans="1:389" ht="15" customHeight="1" x14ac:dyDescent="0.25">
      <c r="A9" t="s">
        <v>1895</v>
      </c>
      <c r="B9" t="s">
        <v>1896</v>
      </c>
      <c r="C9" t="s">
        <v>1841</v>
      </c>
      <c r="D9" t="s">
        <v>1465</v>
      </c>
      <c r="G9" t="s">
        <v>1895</v>
      </c>
      <c r="H9" t="s">
        <v>1897</v>
      </c>
      <c r="I9" t="s">
        <v>1897</v>
      </c>
      <c r="J9" t="s">
        <v>1897</v>
      </c>
      <c r="K9" t="s">
        <v>1895</v>
      </c>
      <c r="L9" t="s">
        <v>1895</v>
      </c>
      <c r="M9" t="s">
        <v>1895</v>
      </c>
      <c r="N9" t="s">
        <v>1895</v>
      </c>
      <c r="O9" t="s">
        <v>1897</v>
      </c>
      <c r="P9" t="s">
        <v>1895</v>
      </c>
      <c r="Q9" t="s">
        <v>1897</v>
      </c>
      <c r="R9" t="s">
        <v>1895</v>
      </c>
      <c r="S9" t="s">
        <v>1895</v>
      </c>
      <c r="T9" t="s">
        <v>1897</v>
      </c>
      <c r="U9" t="s">
        <v>1897</v>
      </c>
      <c r="V9" t="s">
        <v>1897</v>
      </c>
      <c r="W9" t="s">
        <v>1897</v>
      </c>
      <c r="X9" t="s">
        <v>1897</v>
      </c>
      <c r="Y9" t="s">
        <v>1897</v>
      </c>
      <c r="AA9" t="s">
        <v>1897</v>
      </c>
      <c r="AB9" t="s">
        <v>1897</v>
      </c>
      <c r="AC9" t="s">
        <v>1897</v>
      </c>
      <c r="AD9" t="s">
        <v>1897</v>
      </c>
      <c r="AE9" t="s">
        <v>1897</v>
      </c>
      <c r="AF9" t="s">
        <v>1897</v>
      </c>
      <c r="AG9" t="s">
        <v>1897</v>
      </c>
      <c r="AH9" t="s">
        <v>1895</v>
      </c>
      <c r="AI9" t="s">
        <v>1897</v>
      </c>
      <c r="AJ9" t="s">
        <v>1897</v>
      </c>
      <c r="AK9" t="s">
        <v>1897</v>
      </c>
      <c r="AL9" t="s">
        <v>1897</v>
      </c>
      <c r="AM9" t="s">
        <v>1895</v>
      </c>
      <c r="AN9" t="s">
        <v>1897</v>
      </c>
      <c r="AO9" t="s">
        <v>1895</v>
      </c>
      <c r="AP9" t="s">
        <v>1895</v>
      </c>
      <c r="AQ9" t="s">
        <v>1895</v>
      </c>
      <c r="AR9" t="s">
        <v>1895</v>
      </c>
      <c r="AS9" t="s">
        <v>1897</v>
      </c>
      <c r="AT9" t="s">
        <v>1897</v>
      </c>
      <c r="AU9" t="s">
        <v>1897</v>
      </c>
      <c r="AV9" t="s">
        <v>1897</v>
      </c>
      <c r="AW9" t="s">
        <v>1897</v>
      </c>
      <c r="AX9" t="s">
        <v>1897</v>
      </c>
      <c r="AY9" t="s">
        <v>1897</v>
      </c>
      <c r="AZ9" t="s">
        <v>1897</v>
      </c>
      <c r="BA9" t="s">
        <v>1897</v>
      </c>
      <c r="BB9" t="s">
        <v>1897</v>
      </c>
      <c r="BC9" t="s">
        <v>1897</v>
      </c>
      <c r="BD9" t="s">
        <v>1897</v>
      </c>
      <c r="BE9" t="s">
        <v>1897</v>
      </c>
      <c r="BF9" t="s">
        <v>1897</v>
      </c>
      <c r="BG9" t="s">
        <v>1897</v>
      </c>
      <c r="BH9" t="s">
        <v>1897</v>
      </c>
      <c r="BI9" t="s">
        <v>1897</v>
      </c>
      <c r="BJ9" t="s">
        <v>1897</v>
      </c>
      <c r="BK9" t="s">
        <v>1897</v>
      </c>
      <c r="BL9" t="s">
        <v>1897</v>
      </c>
      <c r="BM9" t="s">
        <v>1897</v>
      </c>
      <c r="BN9" t="s">
        <v>1897</v>
      </c>
      <c r="BO9" t="s">
        <v>1897</v>
      </c>
      <c r="BP9" t="s">
        <v>1897</v>
      </c>
      <c r="BQ9" t="s">
        <v>1897</v>
      </c>
      <c r="BR9" t="s">
        <v>1897</v>
      </c>
      <c r="BS9" t="s">
        <v>1897</v>
      </c>
      <c r="BT9" t="s">
        <v>1897</v>
      </c>
      <c r="BU9" t="s">
        <v>1897</v>
      </c>
      <c r="BV9" t="s">
        <v>1897</v>
      </c>
      <c r="BW9" t="s">
        <v>1897</v>
      </c>
      <c r="BX9" t="s">
        <v>1897</v>
      </c>
      <c r="BY9" t="s">
        <v>1897</v>
      </c>
      <c r="BZ9" t="s">
        <v>1895</v>
      </c>
      <c r="CA9" t="s">
        <v>1895</v>
      </c>
      <c r="CB9" t="s">
        <v>1897</v>
      </c>
      <c r="CC9" t="s">
        <v>1897</v>
      </c>
      <c r="CD9" t="s">
        <v>1897</v>
      </c>
      <c r="CE9" t="s">
        <v>1895</v>
      </c>
      <c r="CF9" t="s">
        <v>1897</v>
      </c>
      <c r="CG9" t="s">
        <v>1897</v>
      </c>
      <c r="CH9" t="s">
        <v>1897</v>
      </c>
      <c r="CI9" t="s">
        <v>1897</v>
      </c>
      <c r="CJ9" t="s">
        <v>1897</v>
      </c>
      <c r="CK9" t="s">
        <v>1895</v>
      </c>
      <c r="CL9" t="s">
        <v>1895</v>
      </c>
      <c r="CM9" t="s">
        <v>1895</v>
      </c>
      <c r="CN9" t="s">
        <v>1895</v>
      </c>
      <c r="CO9" t="s">
        <v>1895</v>
      </c>
      <c r="CP9" t="s">
        <v>1895</v>
      </c>
      <c r="CQ9" t="s">
        <v>1895</v>
      </c>
      <c r="CR9" t="s">
        <v>1895</v>
      </c>
      <c r="CS9" t="s">
        <v>1897</v>
      </c>
      <c r="CT9" t="s">
        <v>1897</v>
      </c>
      <c r="CU9" t="s">
        <v>1895</v>
      </c>
      <c r="CV9" t="s">
        <v>1897</v>
      </c>
      <c r="CW9" t="s">
        <v>1897</v>
      </c>
      <c r="CX9" t="s">
        <v>1897</v>
      </c>
      <c r="CY9" t="s">
        <v>1897</v>
      </c>
      <c r="CZ9" t="s">
        <v>1895</v>
      </c>
      <c r="DA9" t="s">
        <v>1895</v>
      </c>
      <c r="DB9" t="s">
        <v>1895</v>
      </c>
      <c r="DC9" t="s">
        <v>1895</v>
      </c>
      <c r="DD9" t="s">
        <v>1897</v>
      </c>
      <c r="DE9" t="s">
        <v>1897</v>
      </c>
      <c r="DF9" t="s">
        <v>1897</v>
      </c>
      <c r="DG9" t="s">
        <v>1897</v>
      </c>
      <c r="DH9" t="s">
        <v>1897</v>
      </c>
      <c r="DI9" t="s">
        <v>1897</v>
      </c>
      <c r="DJ9" t="s">
        <v>1895</v>
      </c>
      <c r="DK9" t="s">
        <v>1895</v>
      </c>
      <c r="DL9" t="s">
        <v>1897</v>
      </c>
      <c r="DM9" t="s">
        <v>1897</v>
      </c>
      <c r="DN9" t="s">
        <v>1897</v>
      </c>
      <c r="DO9" t="s">
        <v>1895</v>
      </c>
      <c r="DP9" t="s">
        <v>1895</v>
      </c>
      <c r="DQ9" t="s">
        <v>1895</v>
      </c>
      <c r="DR9" t="s">
        <v>1895</v>
      </c>
      <c r="DS9" t="s">
        <v>1897</v>
      </c>
      <c r="DT9" t="s">
        <v>1895</v>
      </c>
      <c r="DU9" t="s">
        <v>1895</v>
      </c>
      <c r="DV9" t="s">
        <v>1895</v>
      </c>
      <c r="DW9" t="s">
        <v>1897</v>
      </c>
      <c r="DX9" t="s">
        <v>1897</v>
      </c>
      <c r="DY9" t="s">
        <v>1897</v>
      </c>
      <c r="DZ9" t="s">
        <v>1897</v>
      </c>
      <c r="EA9" t="s">
        <v>1895</v>
      </c>
      <c r="EB9" t="s">
        <v>1895</v>
      </c>
      <c r="EC9" t="s">
        <v>1895</v>
      </c>
      <c r="ED9" t="s">
        <v>1897</v>
      </c>
      <c r="EE9" t="s">
        <v>1897</v>
      </c>
      <c r="EF9" t="s">
        <v>1897</v>
      </c>
      <c r="EG9" t="s">
        <v>1895</v>
      </c>
      <c r="EH9" t="s">
        <v>1895</v>
      </c>
      <c r="EI9" t="s">
        <v>1895</v>
      </c>
      <c r="EJ9" t="s">
        <v>1895</v>
      </c>
      <c r="EK9" t="s">
        <v>1895</v>
      </c>
      <c r="EL9" t="s">
        <v>1895</v>
      </c>
      <c r="EM9" t="s">
        <v>1897</v>
      </c>
      <c r="EN9" t="s">
        <v>1897</v>
      </c>
      <c r="EO9" t="s">
        <v>1897</v>
      </c>
      <c r="ET9" t="s">
        <v>1897</v>
      </c>
      <c r="EU9" t="s">
        <v>1897</v>
      </c>
      <c r="EV9" t="s">
        <v>1897</v>
      </c>
      <c r="EW9" t="s">
        <v>1897</v>
      </c>
      <c r="EX9" t="s">
        <v>1897</v>
      </c>
      <c r="EY9" t="s">
        <v>1895</v>
      </c>
      <c r="EZ9" t="s">
        <v>1897</v>
      </c>
      <c r="FA9" t="s">
        <v>1895</v>
      </c>
      <c r="FB9" t="s">
        <v>1895</v>
      </c>
      <c r="FC9" t="s">
        <v>1895</v>
      </c>
      <c r="FD9" t="s">
        <v>1897</v>
      </c>
      <c r="FE9" t="s">
        <v>1897</v>
      </c>
      <c r="FF9" t="s">
        <v>1895</v>
      </c>
      <c r="FG9" t="s">
        <v>1895</v>
      </c>
      <c r="FH9" t="s">
        <v>1895</v>
      </c>
      <c r="FI9" t="s">
        <v>1895</v>
      </c>
      <c r="FJ9" t="s">
        <v>1897</v>
      </c>
      <c r="FK9" t="s">
        <v>1897</v>
      </c>
      <c r="FL9" t="s">
        <v>1897</v>
      </c>
      <c r="FM9" t="s">
        <v>1897</v>
      </c>
      <c r="FN9" t="s">
        <v>1897</v>
      </c>
      <c r="FO9" t="s">
        <v>1897</v>
      </c>
      <c r="FP9" t="s">
        <v>1897</v>
      </c>
      <c r="FQ9" t="s">
        <v>1897</v>
      </c>
      <c r="FR9" t="s">
        <v>1897</v>
      </c>
      <c r="FS9" t="s">
        <v>1897</v>
      </c>
      <c r="FT9" t="s">
        <v>1897</v>
      </c>
      <c r="FU9" t="s">
        <v>1897</v>
      </c>
      <c r="FV9" t="s">
        <v>1897</v>
      </c>
      <c r="FW9" t="s">
        <v>1897</v>
      </c>
      <c r="FX9" t="s">
        <v>1897</v>
      </c>
      <c r="FY9" t="s">
        <v>1895</v>
      </c>
      <c r="FZ9" t="s">
        <v>1895</v>
      </c>
      <c r="GA9" t="s">
        <v>1895</v>
      </c>
      <c r="GB9" t="s">
        <v>1897</v>
      </c>
      <c r="GC9" t="s">
        <v>1897</v>
      </c>
      <c r="GD9" t="s">
        <v>1897</v>
      </c>
      <c r="GE9" t="s">
        <v>1897</v>
      </c>
      <c r="GF9" t="s">
        <v>1897</v>
      </c>
      <c r="GG9" t="s">
        <v>1897</v>
      </c>
      <c r="GH9" t="s">
        <v>1897</v>
      </c>
      <c r="GI9" t="s">
        <v>1897</v>
      </c>
      <c r="GJ9" t="s">
        <v>1897</v>
      </c>
      <c r="GK9" t="s">
        <v>1897</v>
      </c>
      <c r="GL9" t="s">
        <v>1897</v>
      </c>
      <c r="GM9" t="s">
        <v>1897</v>
      </c>
      <c r="GN9" t="s">
        <v>1897</v>
      </c>
      <c r="GO9" t="s">
        <v>1897</v>
      </c>
      <c r="GP9" t="s">
        <v>1897</v>
      </c>
      <c r="GQ9" t="s">
        <v>1897</v>
      </c>
      <c r="GR9" t="s">
        <v>1897</v>
      </c>
      <c r="GS9" t="s">
        <v>1897</v>
      </c>
      <c r="GT9" t="s">
        <v>1897</v>
      </c>
      <c r="GU9" t="s">
        <v>1897</v>
      </c>
      <c r="GV9" t="s">
        <v>1897</v>
      </c>
      <c r="GW9" t="s">
        <v>1897</v>
      </c>
      <c r="GX9" t="s">
        <v>1897</v>
      </c>
      <c r="GY9" t="s">
        <v>1897</v>
      </c>
      <c r="GZ9" t="s">
        <v>1897</v>
      </c>
      <c r="HA9" t="s">
        <v>1897</v>
      </c>
      <c r="HB9" t="s">
        <v>1897</v>
      </c>
      <c r="HC9" t="s">
        <v>1897</v>
      </c>
      <c r="HD9" t="s">
        <v>1895</v>
      </c>
      <c r="HE9" t="s">
        <v>1897</v>
      </c>
      <c r="HF9" t="s">
        <v>1895</v>
      </c>
      <c r="HG9" t="s">
        <v>1897</v>
      </c>
      <c r="HH9" t="s">
        <v>1897</v>
      </c>
      <c r="HI9" t="s">
        <v>1897</v>
      </c>
      <c r="HJ9" t="s">
        <v>1897</v>
      </c>
      <c r="HK9" t="s">
        <v>1897</v>
      </c>
      <c r="HL9" t="s">
        <v>1897</v>
      </c>
      <c r="HM9" t="s">
        <v>1897</v>
      </c>
      <c r="HN9" t="s">
        <v>1897</v>
      </c>
      <c r="HO9" t="s">
        <v>1895</v>
      </c>
      <c r="HP9" t="s">
        <v>1897</v>
      </c>
      <c r="HQ9" t="s">
        <v>1895</v>
      </c>
      <c r="HR9" t="s">
        <v>1895</v>
      </c>
      <c r="HS9" t="s">
        <v>1895</v>
      </c>
      <c r="HT9" t="s">
        <v>1897</v>
      </c>
      <c r="HU9" t="s">
        <v>1897</v>
      </c>
      <c r="HV9" t="s">
        <v>1897</v>
      </c>
      <c r="HW9" t="s">
        <v>1897</v>
      </c>
      <c r="HX9" t="s">
        <v>1897</v>
      </c>
      <c r="HY9" t="s">
        <v>1897</v>
      </c>
      <c r="HZ9" t="s">
        <v>1897</v>
      </c>
      <c r="IA9" t="s">
        <v>1897</v>
      </c>
      <c r="IB9" t="s">
        <v>1897</v>
      </c>
      <c r="IC9" t="s">
        <v>1897</v>
      </c>
      <c r="ID9" t="s">
        <v>1897</v>
      </c>
      <c r="IE9" t="s">
        <v>1897</v>
      </c>
      <c r="IF9" t="s">
        <v>1895</v>
      </c>
      <c r="IG9" t="s">
        <v>1895</v>
      </c>
      <c r="IH9" t="s">
        <v>1895</v>
      </c>
      <c r="II9" t="s">
        <v>1895</v>
      </c>
      <c r="IJ9" t="s">
        <v>1895</v>
      </c>
      <c r="IK9" t="s">
        <v>1897</v>
      </c>
      <c r="IL9" t="s">
        <v>1897</v>
      </c>
      <c r="IM9" t="s">
        <v>1897</v>
      </c>
      <c r="IN9" t="s">
        <v>1897</v>
      </c>
      <c r="IO9" t="s">
        <v>1895</v>
      </c>
      <c r="IP9" t="s">
        <v>1897</v>
      </c>
      <c r="IQ9" t="s">
        <v>1897</v>
      </c>
      <c r="IR9" t="s">
        <v>1897</v>
      </c>
      <c r="IS9" t="s">
        <v>1897</v>
      </c>
      <c r="IT9" t="s">
        <v>1897</v>
      </c>
      <c r="IU9" t="s">
        <v>1897</v>
      </c>
      <c r="IV9" t="s">
        <v>1897</v>
      </c>
      <c r="IW9" t="s">
        <v>1897</v>
      </c>
      <c r="IX9" t="s">
        <v>1897</v>
      </c>
      <c r="IY9" t="s">
        <v>1897</v>
      </c>
      <c r="IZ9" t="s">
        <v>1897</v>
      </c>
      <c r="JA9" t="s">
        <v>1897</v>
      </c>
      <c r="JB9" t="s">
        <v>1895</v>
      </c>
      <c r="JC9" t="s">
        <v>1897</v>
      </c>
      <c r="JD9" t="s">
        <v>1897</v>
      </c>
      <c r="JE9" t="s">
        <v>1897</v>
      </c>
      <c r="JF9" t="s">
        <v>1897</v>
      </c>
      <c r="JG9" t="s">
        <v>1897</v>
      </c>
      <c r="JH9" t="s">
        <v>1897</v>
      </c>
      <c r="JI9" t="s">
        <v>1897</v>
      </c>
      <c r="JJ9" t="s">
        <v>1897</v>
      </c>
      <c r="JK9" t="s">
        <v>1897</v>
      </c>
      <c r="JL9" t="s">
        <v>1895</v>
      </c>
      <c r="JM9" t="s">
        <v>1897</v>
      </c>
      <c r="JN9" t="s">
        <v>1897</v>
      </c>
      <c r="JO9" t="s">
        <v>1897</v>
      </c>
      <c r="JP9" t="s">
        <v>1897</v>
      </c>
      <c r="JQ9" t="s">
        <v>1897</v>
      </c>
      <c r="JR9" t="s">
        <v>1897</v>
      </c>
      <c r="JS9" t="s">
        <v>1897</v>
      </c>
      <c r="JT9" t="s">
        <v>1895</v>
      </c>
      <c r="JU9" t="s">
        <v>1897</v>
      </c>
      <c r="JV9" t="s">
        <v>1895</v>
      </c>
      <c r="JW9" t="s">
        <v>1897</v>
      </c>
      <c r="JX9" t="s">
        <v>1897</v>
      </c>
      <c r="JY9" t="s">
        <v>1897</v>
      </c>
      <c r="JZ9" t="s">
        <v>1895</v>
      </c>
      <c r="KA9" t="s">
        <v>1897</v>
      </c>
      <c r="KB9" t="s">
        <v>1897</v>
      </c>
      <c r="KC9" t="s">
        <v>1897</v>
      </c>
      <c r="KD9" t="s">
        <v>1897</v>
      </c>
      <c r="KE9" t="s">
        <v>1897</v>
      </c>
      <c r="KF9" t="s">
        <v>1897</v>
      </c>
      <c r="KG9" t="s">
        <v>1897</v>
      </c>
      <c r="KH9" t="s">
        <v>1897</v>
      </c>
      <c r="KI9" t="s">
        <v>1897</v>
      </c>
      <c r="KJ9" t="s">
        <v>1897</v>
      </c>
      <c r="KK9" t="s">
        <v>1897</v>
      </c>
      <c r="KL9" t="s">
        <v>1897</v>
      </c>
      <c r="KM9" t="s">
        <v>1897</v>
      </c>
      <c r="KN9" t="s">
        <v>1895</v>
      </c>
      <c r="KO9" t="s">
        <v>1897</v>
      </c>
      <c r="KP9" t="s">
        <v>1897</v>
      </c>
      <c r="KQ9" t="s">
        <v>1897</v>
      </c>
      <c r="KR9" t="s">
        <v>1897</v>
      </c>
      <c r="KS9" t="s">
        <v>1897</v>
      </c>
      <c r="KT9" t="s">
        <v>1897</v>
      </c>
      <c r="KU9" t="s">
        <v>1897</v>
      </c>
      <c r="KV9" t="s">
        <v>1897</v>
      </c>
      <c r="KW9" t="s">
        <v>1897</v>
      </c>
      <c r="KX9" t="s">
        <v>1897</v>
      </c>
      <c r="KY9" t="s">
        <v>1897</v>
      </c>
      <c r="KZ9" t="s">
        <v>1897</v>
      </c>
      <c r="LA9" t="s">
        <v>1897</v>
      </c>
      <c r="LB9" t="s">
        <v>1897</v>
      </c>
      <c r="LC9" t="s">
        <v>1897</v>
      </c>
      <c r="LD9" t="s">
        <v>1897</v>
      </c>
      <c r="LE9" t="s">
        <v>1897</v>
      </c>
      <c r="LF9" t="s">
        <v>1897</v>
      </c>
      <c r="LG9" t="s">
        <v>1895</v>
      </c>
      <c r="LH9" t="s">
        <v>1895</v>
      </c>
      <c r="LI9" t="s">
        <v>1895</v>
      </c>
      <c r="LJ9" t="s">
        <v>1897</v>
      </c>
      <c r="LK9" t="s">
        <v>1895</v>
      </c>
      <c r="LL9" t="s">
        <v>1895</v>
      </c>
      <c r="LM9" t="s">
        <v>1897</v>
      </c>
      <c r="LN9" t="s">
        <v>1897</v>
      </c>
      <c r="LO9" t="s">
        <v>1895</v>
      </c>
      <c r="LP9" t="s">
        <v>1895</v>
      </c>
      <c r="LQ9" t="s">
        <v>1895</v>
      </c>
      <c r="LR9" t="s">
        <v>1895</v>
      </c>
      <c r="LS9" t="s">
        <v>1897</v>
      </c>
      <c r="LT9" t="s">
        <v>1897</v>
      </c>
      <c r="LU9" t="s">
        <v>1897</v>
      </c>
      <c r="LV9" t="s">
        <v>1897</v>
      </c>
      <c r="LW9" t="s">
        <v>1895</v>
      </c>
      <c r="LX9" t="s">
        <v>1897</v>
      </c>
      <c r="LY9" t="s">
        <v>1897</v>
      </c>
      <c r="LZ9" t="s">
        <v>1897</v>
      </c>
      <c r="MA9" t="s">
        <v>1897</v>
      </c>
      <c r="MB9" t="s">
        <v>1897</v>
      </c>
      <c r="MC9" t="s">
        <v>1897</v>
      </c>
      <c r="MD9" t="s">
        <v>1895</v>
      </c>
      <c r="ME9" t="s">
        <v>1897</v>
      </c>
      <c r="MF9" t="s">
        <v>1897</v>
      </c>
      <c r="MG9" t="s">
        <v>1895</v>
      </c>
      <c r="MH9" t="s">
        <v>1895</v>
      </c>
      <c r="MI9" t="s">
        <v>1895</v>
      </c>
      <c r="MJ9" t="s">
        <v>1897</v>
      </c>
      <c r="MK9" t="s">
        <v>1897</v>
      </c>
      <c r="ML9" t="s">
        <v>1897</v>
      </c>
      <c r="MM9" t="s">
        <v>1897</v>
      </c>
      <c r="MN9" t="s">
        <v>1897</v>
      </c>
      <c r="MO9" t="s">
        <v>1897</v>
      </c>
      <c r="MP9" t="s">
        <v>1897</v>
      </c>
      <c r="MQ9" t="s">
        <v>1897</v>
      </c>
      <c r="MR9" t="s">
        <v>1897</v>
      </c>
      <c r="MS9" t="s">
        <v>1897</v>
      </c>
      <c r="MT9" t="s">
        <v>1897</v>
      </c>
      <c r="MU9" t="s">
        <v>1897</v>
      </c>
      <c r="MV9" t="s">
        <v>1897</v>
      </c>
      <c r="MW9" t="s">
        <v>1897</v>
      </c>
      <c r="MX9" t="s">
        <v>1895</v>
      </c>
      <c r="MY9" t="s">
        <v>1897</v>
      </c>
      <c r="MZ9" t="s">
        <v>1895</v>
      </c>
      <c r="NA9" t="s">
        <v>1897</v>
      </c>
      <c r="NB9" t="s">
        <v>1897</v>
      </c>
      <c r="NC9" t="s">
        <v>1897</v>
      </c>
      <c r="ND9" t="s">
        <v>1897</v>
      </c>
      <c r="NG9" t="s">
        <v>1897</v>
      </c>
      <c r="NH9" t="s">
        <v>1897</v>
      </c>
      <c r="NI9" t="s">
        <v>1897</v>
      </c>
      <c r="NJ9" t="s">
        <v>1897</v>
      </c>
      <c r="NK9" t="s">
        <v>1897</v>
      </c>
      <c r="NL9" t="s">
        <v>1897</v>
      </c>
      <c r="NM9" t="s">
        <v>1897</v>
      </c>
      <c r="NN9" t="s">
        <v>1895</v>
      </c>
      <c r="NO9" t="s">
        <v>1898</v>
      </c>
      <c r="NP9" t="s">
        <v>1899</v>
      </c>
      <c r="NR9" t="s">
        <v>1465</v>
      </c>
      <c r="NS9" t="s">
        <v>1900</v>
      </c>
      <c r="NU9" t="s">
        <v>1901</v>
      </c>
      <c r="NV9" t="s">
        <v>1886</v>
      </c>
      <c r="NX9" t="s">
        <v>1902</v>
      </c>
      <c r="NY9" t="s">
        <v>1840</v>
      </c>
    </row>
    <row r="10" spans="1:389" ht="15" customHeight="1" x14ac:dyDescent="0.25">
      <c r="A10" t="s">
        <v>1903</v>
      </c>
      <c r="B10" t="s">
        <v>1904</v>
      </c>
      <c r="C10" t="s">
        <v>1841</v>
      </c>
      <c r="D10" t="s">
        <v>1466</v>
      </c>
      <c r="G10" t="s">
        <v>1903</v>
      </c>
      <c r="H10" t="s">
        <v>1905</v>
      </c>
      <c r="I10" t="s">
        <v>1905</v>
      </c>
      <c r="J10" t="s">
        <v>1905</v>
      </c>
      <c r="K10" t="s">
        <v>1903</v>
      </c>
      <c r="L10" t="s">
        <v>1903</v>
      </c>
      <c r="M10" t="s">
        <v>1903</v>
      </c>
      <c r="N10" t="s">
        <v>1903</v>
      </c>
      <c r="O10" t="s">
        <v>1905</v>
      </c>
      <c r="P10" t="s">
        <v>1903</v>
      </c>
      <c r="Q10" t="s">
        <v>1905</v>
      </c>
      <c r="R10" t="s">
        <v>1903</v>
      </c>
      <c r="S10" t="s">
        <v>1903</v>
      </c>
      <c r="T10" t="s">
        <v>1905</v>
      </c>
      <c r="U10" t="s">
        <v>1905</v>
      </c>
      <c r="V10" t="s">
        <v>1905</v>
      </c>
      <c r="W10" t="s">
        <v>1905</v>
      </c>
      <c r="X10" t="s">
        <v>1905</v>
      </c>
      <c r="Y10" t="s">
        <v>1905</v>
      </c>
      <c r="AA10" t="s">
        <v>1905</v>
      </c>
      <c r="AB10" t="s">
        <v>1905</v>
      </c>
      <c r="AC10" t="s">
        <v>1905</v>
      </c>
      <c r="AD10" t="s">
        <v>1905</v>
      </c>
      <c r="AE10" t="s">
        <v>1905</v>
      </c>
      <c r="AF10" t="s">
        <v>1905</v>
      </c>
      <c r="AG10" t="s">
        <v>1905</v>
      </c>
      <c r="AH10" t="s">
        <v>1903</v>
      </c>
      <c r="AI10" t="s">
        <v>1905</v>
      </c>
      <c r="AJ10" t="s">
        <v>1905</v>
      </c>
      <c r="AK10" t="s">
        <v>1905</v>
      </c>
      <c r="AL10" t="s">
        <v>1905</v>
      </c>
      <c r="AM10" t="s">
        <v>1903</v>
      </c>
      <c r="AN10" t="s">
        <v>1905</v>
      </c>
      <c r="AO10" t="s">
        <v>1903</v>
      </c>
      <c r="AP10" t="s">
        <v>1903</v>
      </c>
      <c r="AQ10" t="s">
        <v>1903</v>
      </c>
      <c r="AR10" t="s">
        <v>1903</v>
      </c>
      <c r="AS10" t="s">
        <v>1905</v>
      </c>
      <c r="AT10" t="s">
        <v>1905</v>
      </c>
      <c r="AU10" t="s">
        <v>1905</v>
      </c>
      <c r="AV10" t="s">
        <v>1905</v>
      </c>
      <c r="AW10" t="s">
        <v>1905</v>
      </c>
      <c r="AX10" t="s">
        <v>1905</v>
      </c>
      <c r="AY10" t="s">
        <v>1905</v>
      </c>
      <c r="AZ10" t="s">
        <v>1905</v>
      </c>
      <c r="BA10" t="s">
        <v>1905</v>
      </c>
      <c r="BB10" t="s">
        <v>1905</v>
      </c>
      <c r="BC10" t="s">
        <v>1905</v>
      </c>
      <c r="BD10" t="s">
        <v>1905</v>
      </c>
      <c r="BE10" t="s">
        <v>1905</v>
      </c>
      <c r="BF10" t="s">
        <v>1905</v>
      </c>
      <c r="BG10" t="s">
        <v>1905</v>
      </c>
      <c r="BH10" t="s">
        <v>1905</v>
      </c>
      <c r="BI10" t="s">
        <v>1905</v>
      </c>
      <c r="BJ10" t="s">
        <v>1905</v>
      </c>
      <c r="BK10" t="s">
        <v>1905</v>
      </c>
      <c r="BL10" t="s">
        <v>1905</v>
      </c>
      <c r="BM10" t="s">
        <v>1905</v>
      </c>
      <c r="BN10" t="s">
        <v>1905</v>
      </c>
      <c r="BO10" t="s">
        <v>1905</v>
      </c>
      <c r="BP10" t="s">
        <v>1905</v>
      </c>
      <c r="BQ10" t="s">
        <v>1905</v>
      </c>
      <c r="BR10" t="s">
        <v>1905</v>
      </c>
      <c r="BS10" t="s">
        <v>1905</v>
      </c>
      <c r="BT10" t="s">
        <v>1905</v>
      </c>
      <c r="BU10" t="s">
        <v>1905</v>
      </c>
      <c r="BV10" t="s">
        <v>1905</v>
      </c>
      <c r="BW10" t="s">
        <v>1905</v>
      </c>
      <c r="BX10" t="s">
        <v>1905</v>
      </c>
      <c r="BY10" t="s">
        <v>1905</v>
      </c>
      <c r="BZ10" t="s">
        <v>1903</v>
      </c>
      <c r="CA10" t="s">
        <v>1903</v>
      </c>
      <c r="CB10" t="s">
        <v>1905</v>
      </c>
      <c r="CC10" t="s">
        <v>1905</v>
      </c>
      <c r="CD10" t="s">
        <v>1905</v>
      </c>
      <c r="CE10" t="s">
        <v>1903</v>
      </c>
      <c r="CF10" t="s">
        <v>1905</v>
      </c>
      <c r="CG10" t="s">
        <v>1905</v>
      </c>
      <c r="CH10" t="s">
        <v>1905</v>
      </c>
      <c r="CI10" t="s">
        <v>1905</v>
      </c>
      <c r="CJ10" t="s">
        <v>1905</v>
      </c>
      <c r="CK10" t="s">
        <v>1903</v>
      </c>
      <c r="CL10" t="s">
        <v>1903</v>
      </c>
      <c r="CM10" t="s">
        <v>1903</v>
      </c>
      <c r="CN10" t="s">
        <v>1903</v>
      </c>
      <c r="CO10" t="s">
        <v>1903</v>
      </c>
      <c r="CP10" t="s">
        <v>1903</v>
      </c>
      <c r="CQ10" t="s">
        <v>1903</v>
      </c>
      <c r="CR10" t="s">
        <v>1903</v>
      </c>
      <c r="CS10" t="s">
        <v>1905</v>
      </c>
      <c r="CT10" t="s">
        <v>1905</v>
      </c>
      <c r="CU10" t="s">
        <v>1903</v>
      </c>
      <c r="CV10" t="s">
        <v>1905</v>
      </c>
      <c r="CW10" t="s">
        <v>1905</v>
      </c>
      <c r="CX10" t="s">
        <v>1905</v>
      </c>
      <c r="CY10" t="s">
        <v>1905</v>
      </c>
      <c r="CZ10" t="s">
        <v>1903</v>
      </c>
      <c r="DA10" t="s">
        <v>1903</v>
      </c>
      <c r="DB10" t="s">
        <v>1903</v>
      </c>
      <c r="DC10" t="s">
        <v>1903</v>
      </c>
      <c r="DD10" t="s">
        <v>1905</v>
      </c>
      <c r="DE10" t="s">
        <v>1905</v>
      </c>
      <c r="DF10" t="s">
        <v>1905</v>
      </c>
      <c r="DG10" t="s">
        <v>1905</v>
      </c>
      <c r="DH10" t="s">
        <v>1905</v>
      </c>
      <c r="DI10" t="s">
        <v>1905</v>
      </c>
      <c r="DJ10" t="s">
        <v>1903</v>
      </c>
      <c r="DK10" t="s">
        <v>1903</v>
      </c>
      <c r="DL10" t="s">
        <v>1905</v>
      </c>
      <c r="DM10" t="s">
        <v>1905</v>
      </c>
      <c r="DN10" t="s">
        <v>1905</v>
      </c>
      <c r="DO10" t="s">
        <v>1903</v>
      </c>
      <c r="DP10" t="s">
        <v>1903</v>
      </c>
      <c r="DQ10" t="s">
        <v>1903</v>
      </c>
      <c r="DR10" t="s">
        <v>1903</v>
      </c>
      <c r="DS10" t="s">
        <v>1905</v>
      </c>
      <c r="DT10" t="s">
        <v>1903</v>
      </c>
      <c r="DU10" t="s">
        <v>1903</v>
      </c>
      <c r="DV10" t="s">
        <v>1903</v>
      </c>
      <c r="DW10" t="s">
        <v>1905</v>
      </c>
      <c r="DX10" t="s">
        <v>1905</v>
      </c>
      <c r="DY10" t="s">
        <v>1905</v>
      </c>
      <c r="DZ10" t="s">
        <v>1905</v>
      </c>
      <c r="EA10" t="s">
        <v>1903</v>
      </c>
      <c r="EB10" t="s">
        <v>1903</v>
      </c>
      <c r="EC10" t="s">
        <v>1903</v>
      </c>
      <c r="ED10" t="s">
        <v>1905</v>
      </c>
      <c r="EE10" t="s">
        <v>1905</v>
      </c>
      <c r="EF10" t="s">
        <v>1905</v>
      </c>
      <c r="EG10" t="s">
        <v>1903</v>
      </c>
      <c r="EH10" t="s">
        <v>1903</v>
      </c>
      <c r="EI10" t="s">
        <v>1903</v>
      </c>
      <c r="EJ10" t="s">
        <v>1903</v>
      </c>
      <c r="EK10" t="s">
        <v>1903</v>
      </c>
      <c r="EL10" t="s">
        <v>1903</v>
      </c>
      <c r="EM10" t="s">
        <v>1905</v>
      </c>
      <c r="EN10" t="s">
        <v>1905</v>
      </c>
      <c r="EO10" t="s">
        <v>1905</v>
      </c>
      <c r="ET10" t="s">
        <v>1905</v>
      </c>
      <c r="EU10" t="s">
        <v>1905</v>
      </c>
      <c r="EV10" t="s">
        <v>1905</v>
      </c>
      <c r="EW10" t="s">
        <v>1905</v>
      </c>
      <c r="EX10" t="s">
        <v>1905</v>
      </c>
      <c r="EY10" t="s">
        <v>1903</v>
      </c>
      <c r="EZ10" t="s">
        <v>1905</v>
      </c>
      <c r="FA10" t="s">
        <v>1903</v>
      </c>
      <c r="FB10" t="s">
        <v>1903</v>
      </c>
      <c r="FC10" t="s">
        <v>1903</v>
      </c>
      <c r="FD10" t="s">
        <v>1905</v>
      </c>
      <c r="FE10" t="s">
        <v>1905</v>
      </c>
      <c r="FF10" t="s">
        <v>1903</v>
      </c>
      <c r="FG10" t="s">
        <v>1903</v>
      </c>
      <c r="FH10" t="s">
        <v>1903</v>
      </c>
      <c r="FI10" t="s">
        <v>1903</v>
      </c>
      <c r="FJ10" t="s">
        <v>1905</v>
      </c>
      <c r="FK10" t="s">
        <v>1905</v>
      </c>
      <c r="FL10" t="s">
        <v>1905</v>
      </c>
      <c r="FM10" t="s">
        <v>1905</v>
      </c>
      <c r="FN10" t="s">
        <v>1905</v>
      </c>
      <c r="FO10" t="s">
        <v>1905</v>
      </c>
      <c r="FP10" t="s">
        <v>1905</v>
      </c>
      <c r="FQ10" t="s">
        <v>1905</v>
      </c>
      <c r="FR10" t="s">
        <v>1905</v>
      </c>
      <c r="FS10" t="s">
        <v>1905</v>
      </c>
      <c r="FT10" t="s">
        <v>1905</v>
      </c>
      <c r="FU10" t="s">
        <v>1905</v>
      </c>
      <c r="FV10" t="s">
        <v>1905</v>
      </c>
      <c r="FW10" t="s">
        <v>1905</v>
      </c>
      <c r="FX10" t="s">
        <v>1905</v>
      </c>
      <c r="FY10" t="s">
        <v>1903</v>
      </c>
      <c r="FZ10" t="s">
        <v>1903</v>
      </c>
      <c r="GA10" t="s">
        <v>1903</v>
      </c>
      <c r="GB10" t="s">
        <v>1905</v>
      </c>
      <c r="GC10" t="s">
        <v>1905</v>
      </c>
      <c r="GD10" t="s">
        <v>1905</v>
      </c>
      <c r="GE10" t="s">
        <v>1905</v>
      </c>
      <c r="GF10" t="s">
        <v>1905</v>
      </c>
      <c r="GG10" t="s">
        <v>1905</v>
      </c>
      <c r="GH10" t="s">
        <v>1905</v>
      </c>
      <c r="GI10" t="s">
        <v>1905</v>
      </c>
      <c r="GJ10" t="s">
        <v>1905</v>
      </c>
      <c r="GK10" t="s">
        <v>1905</v>
      </c>
      <c r="GL10" t="s">
        <v>1905</v>
      </c>
      <c r="GM10" t="s">
        <v>1905</v>
      </c>
      <c r="GN10" t="s">
        <v>1905</v>
      </c>
      <c r="GO10" t="s">
        <v>1905</v>
      </c>
      <c r="GP10" t="s">
        <v>1905</v>
      </c>
      <c r="GQ10" t="s">
        <v>1905</v>
      </c>
      <c r="GR10" t="s">
        <v>1905</v>
      </c>
      <c r="GS10" t="s">
        <v>1905</v>
      </c>
      <c r="GT10" t="s">
        <v>1905</v>
      </c>
      <c r="GU10" t="s">
        <v>1905</v>
      </c>
      <c r="GV10" t="s">
        <v>1905</v>
      </c>
      <c r="GW10" t="s">
        <v>1905</v>
      </c>
      <c r="GX10" t="s">
        <v>1905</v>
      </c>
      <c r="GY10" t="s">
        <v>1905</v>
      </c>
      <c r="GZ10" t="s">
        <v>1905</v>
      </c>
      <c r="HA10" t="s">
        <v>1905</v>
      </c>
      <c r="HB10" t="s">
        <v>1905</v>
      </c>
      <c r="HC10" t="s">
        <v>1905</v>
      </c>
      <c r="HD10" t="s">
        <v>1903</v>
      </c>
      <c r="HE10" t="s">
        <v>1905</v>
      </c>
      <c r="HF10" t="s">
        <v>1903</v>
      </c>
      <c r="HG10" t="s">
        <v>1905</v>
      </c>
      <c r="HH10" t="s">
        <v>1905</v>
      </c>
      <c r="HI10" t="s">
        <v>1905</v>
      </c>
      <c r="HJ10" t="s">
        <v>1905</v>
      </c>
      <c r="HK10" t="s">
        <v>1905</v>
      </c>
      <c r="HL10" t="s">
        <v>1905</v>
      </c>
      <c r="HM10" t="s">
        <v>1905</v>
      </c>
      <c r="HN10" t="s">
        <v>1905</v>
      </c>
      <c r="HO10" t="s">
        <v>1903</v>
      </c>
      <c r="HP10" t="s">
        <v>1905</v>
      </c>
      <c r="HQ10" t="s">
        <v>1903</v>
      </c>
      <c r="HR10" t="s">
        <v>1903</v>
      </c>
      <c r="HS10" t="s">
        <v>1903</v>
      </c>
      <c r="HT10" t="s">
        <v>1905</v>
      </c>
      <c r="HU10" t="s">
        <v>1905</v>
      </c>
      <c r="HV10" t="s">
        <v>1905</v>
      </c>
      <c r="HW10" t="s">
        <v>1905</v>
      </c>
      <c r="HX10" t="s">
        <v>1905</v>
      </c>
      <c r="HY10" t="s">
        <v>1905</v>
      </c>
      <c r="HZ10" t="s">
        <v>1905</v>
      </c>
      <c r="IA10" t="s">
        <v>1905</v>
      </c>
      <c r="IB10" t="s">
        <v>1905</v>
      </c>
      <c r="IC10" t="s">
        <v>1905</v>
      </c>
      <c r="ID10" t="s">
        <v>1905</v>
      </c>
      <c r="IE10" t="s">
        <v>1905</v>
      </c>
      <c r="IF10" t="s">
        <v>1903</v>
      </c>
      <c r="IG10" t="s">
        <v>1903</v>
      </c>
      <c r="IH10" t="s">
        <v>1903</v>
      </c>
      <c r="II10" t="s">
        <v>1903</v>
      </c>
      <c r="IJ10" t="s">
        <v>1903</v>
      </c>
      <c r="IK10" t="s">
        <v>1905</v>
      </c>
      <c r="IL10" t="s">
        <v>1905</v>
      </c>
      <c r="IM10" t="s">
        <v>1905</v>
      </c>
      <c r="IN10" t="s">
        <v>1905</v>
      </c>
      <c r="IO10" t="s">
        <v>1903</v>
      </c>
      <c r="IP10" t="s">
        <v>1905</v>
      </c>
      <c r="IQ10" t="s">
        <v>1905</v>
      </c>
      <c r="IR10" t="s">
        <v>1905</v>
      </c>
      <c r="IS10" t="s">
        <v>1905</v>
      </c>
      <c r="IT10" t="s">
        <v>1905</v>
      </c>
      <c r="IU10" t="s">
        <v>1905</v>
      </c>
      <c r="IV10" t="s">
        <v>1905</v>
      </c>
      <c r="IW10" t="s">
        <v>1905</v>
      </c>
      <c r="IX10" t="s">
        <v>1905</v>
      </c>
      <c r="IY10" t="s">
        <v>1905</v>
      </c>
      <c r="IZ10" t="s">
        <v>1905</v>
      </c>
      <c r="JA10" t="s">
        <v>1905</v>
      </c>
      <c r="JB10" t="s">
        <v>1903</v>
      </c>
      <c r="JC10" t="s">
        <v>1905</v>
      </c>
      <c r="JD10" t="s">
        <v>1905</v>
      </c>
      <c r="JE10" t="s">
        <v>1905</v>
      </c>
      <c r="JF10" t="s">
        <v>1905</v>
      </c>
      <c r="JG10" t="s">
        <v>1905</v>
      </c>
      <c r="JH10" t="s">
        <v>1905</v>
      </c>
      <c r="JI10" t="s">
        <v>1905</v>
      </c>
      <c r="JJ10" t="s">
        <v>1905</v>
      </c>
      <c r="JK10" t="s">
        <v>1905</v>
      </c>
      <c r="JL10" t="s">
        <v>1903</v>
      </c>
      <c r="JM10" t="s">
        <v>1905</v>
      </c>
      <c r="JN10" t="s">
        <v>1905</v>
      </c>
      <c r="JO10" t="s">
        <v>1905</v>
      </c>
      <c r="JP10" t="s">
        <v>1905</v>
      </c>
      <c r="JQ10" t="s">
        <v>1905</v>
      </c>
      <c r="JR10" t="s">
        <v>1905</v>
      </c>
      <c r="JS10" t="s">
        <v>1905</v>
      </c>
      <c r="JT10" t="s">
        <v>1903</v>
      </c>
      <c r="JU10" t="s">
        <v>1905</v>
      </c>
      <c r="JV10" t="s">
        <v>1903</v>
      </c>
      <c r="JW10" t="s">
        <v>1905</v>
      </c>
      <c r="JX10" t="s">
        <v>1905</v>
      </c>
      <c r="JY10" t="s">
        <v>1905</v>
      </c>
      <c r="JZ10" t="s">
        <v>1903</v>
      </c>
      <c r="KA10" t="s">
        <v>1905</v>
      </c>
      <c r="KB10" t="s">
        <v>1905</v>
      </c>
      <c r="KC10" t="s">
        <v>1905</v>
      </c>
      <c r="KD10" t="s">
        <v>1905</v>
      </c>
      <c r="KE10" t="s">
        <v>1905</v>
      </c>
      <c r="KF10" t="s">
        <v>1905</v>
      </c>
      <c r="KG10" t="s">
        <v>1905</v>
      </c>
      <c r="KH10" t="s">
        <v>1905</v>
      </c>
      <c r="KI10" t="s">
        <v>1905</v>
      </c>
      <c r="KJ10" t="s">
        <v>1905</v>
      </c>
      <c r="KK10" t="s">
        <v>1905</v>
      </c>
      <c r="KL10" t="s">
        <v>1905</v>
      </c>
      <c r="KM10" t="s">
        <v>1905</v>
      </c>
      <c r="KN10" t="s">
        <v>1903</v>
      </c>
      <c r="KO10" t="s">
        <v>1905</v>
      </c>
      <c r="KP10" t="s">
        <v>1905</v>
      </c>
      <c r="KQ10" t="s">
        <v>1905</v>
      </c>
      <c r="KR10" t="s">
        <v>1905</v>
      </c>
      <c r="KS10" t="s">
        <v>1905</v>
      </c>
      <c r="KT10" t="s">
        <v>1905</v>
      </c>
      <c r="KU10" t="s">
        <v>1905</v>
      </c>
      <c r="KV10" t="s">
        <v>1905</v>
      </c>
      <c r="KW10" t="s">
        <v>1905</v>
      </c>
      <c r="KX10" t="s">
        <v>1905</v>
      </c>
      <c r="KY10" t="s">
        <v>1905</v>
      </c>
      <c r="KZ10" t="s">
        <v>1905</v>
      </c>
      <c r="LA10" t="s">
        <v>1905</v>
      </c>
      <c r="LB10" t="s">
        <v>1905</v>
      </c>
      <c r="LC10" t="s">
        <v>1905</v>
      </c>
      <c r="LD10" t="s">
        <v>1905</v>
      </c>
      <c r="LE10" t="s">
        <v>1905</v>
      </c>
      <c r="LF10" t="s">
        <v>1905</v>
      </c>
      <c r="LG10" t="s">
        <v>1903</v>
      </c>
      <c r="LH10" t="s">
        <v>1903</v>
      </c>
      <c r="LI10" t="s">
        <v>1903</v>
      </c>
      <c r="LJ10" t="s">
        <v>1905</v>
      </c>
      <c r="LK10" t="s">
        <v>1903</v>
      </c>
      <c r="LL10" t="s">
        <v>1903</v>
      </c>
      <c r="LM10" t="s">
        <v>1905</v>
      </c>
      <c r="LN10" t="s">
        <v>1905</v>
      </c>
      <c r="LO10" t="s">
        <v>1903</v>
      </c>
      <c r="LP10" t="s">
        <v>1903</v>
      </c>
      <c r="LQ10" t="s">
        <v>1903</v>
      </c>
      <c r="LR10" t="s">
        <v>1903</v>
      </c>
      <c r="LS10" t="s">
        <v>1905</v>
      </c>
      <c r="LT10" t="s">
        <v>1905</v>
      </c>
      <c r="LU10" t="s">
        <v>1905</v>
      </c>
      <c r="LV10" t="s">
        <v>1905</v>
      </c>
      <c r="LW10" t="s">
        <v>1903</v>
      </c>
      <c r="LX10" t="s">
        <v>1905</v>
      </c>
      <c r="LY10" t="s">
        <v>1905</v>
      </c>
      <c r="LZ10" t="s">
        <v>1905</v>
      </c>
      <c r="MA10" t="s">
        <v>1905</v>
      </c>
      <c r="MB10" t="s">
        <v>1905</v>
      </c>
      <c r="MC10" t="s">
        <v>1905</v>
      </c>
      <c r="MD10" t="s">
        <v>1903</v>
      </c>
      <c r="ME10" t="s">
        <v>1905</v>
      </c>
      <c r="MF10" t="s">
        <v>1905</v>
      </c>
      <c r="MG10" t="s">
        <v>1903</v>
      </c>
      <c r="MH10" t="s">
        <v>1903</v>
      </c>
      <c r="MI10" t="s">
        <v>1903</v>
      </c>
      <c r="MJ10" t="s">
        <v>1905</v>
      </c>
      <c r="MK10" t="s">
        <v>1905</v>
      </c>
      <c r="ML10" t="s">
        <v>1905</v>
      </c>
      <c r="MM10" t="s">
        <v>1905</v>
      </c>
      <c r="MN10" t="s">
        <v>1905</v>
      </c>
      <c r="MO10" t="s">
        <v>1905</v>
      </c>
      <c r="MP10" t="s">
        <v>1905</v>
      </c>
      <c r="MQ10" t="s">
        <v>1905</v>
      </c>
      <c r="MR10" t="s">
        <v>1905</v>
      </c>
      <c r="MS10" t="s">
        <v>1905</v>
      </c>
      <c r="MT10" t="s">
        <v>1905</v>
      </c>
      <c r="MU10" t="s">
        <v>1905</v>
      </c>
      <c r="MV10" t="s">
        <v>1905</v>
      </c>
      <c r="MW10" t="s">
        <v>1905</v>
      </c>
      <c r="MX10" t="s">
        <v>1903</v>
      </c>
      <c r="MY10" t="s">
        <v>1905</v>
      </c>
      <c r="MZ10" t="s">
        <v>1903</v>
      </c>
      <c r="NA10" t="s">
        <v>1905</v>
      </c>
      <c r="NB10" t="s">
        <v>1905</v>
      </c>
      <c r="NC10" t="s">
        <v>1905</v>
      </c>
      <c r="ND10" t="s">
        <v>1905</v>
      </c>
      <c r="NG10" t="s">
        <v>1905</v>
      </c>
      <c r="NH10" t="s">
        <v>1905</v>
      </c>
      <c r="NI10" t="s">
        <v>1905</v>
      </c>
      <c r="NJ10" t="s">
        <v>1905</v>
      </c>
      <c r="NK10" t="s">
        <v>1905</v>
      </c>
      <c r="NL10" t="s">
        <v>1905</v>
      </c>
      <c r="NM10" t="s">
        <v>1905</v>
      </c>
      <c r="NN10" t="s">
        <v>1903</v>
      </c>
      <c r="NO10" t="s">
        <v>1906</v>
      </c>
      <c r="NP10" t="s">
        <v>1907</v>
      </c>
      <c r="NR10" t="s">
        <v>1466</v>
      </c>
      <c r="NS10" t="s">
        <v>1908</v>
      </c>
      <c r="NU10" t="s">
        <v>1909</v>
      </c>
      <c r="NV10" t="s">
        <v>1886</v>
      </c>
      <c r="NX10" t="s">
        <v>1910</v>
      </c>
      <c r="NY10" t="s">
        <v>1840</v>
      </c>
    </row>
    <row r="11" spans="1:389" ht="15" customHeight="1" x14ac:dyDescent="0.25">
      <c r="A11" t="s">
        <v>1874</v>
      </c>
      <c r="B11" t="s">
        <v>1911</v>
      </c>
      <c r="C11" t="s">
        <v>1850</v>
      </c>
      <c r="D11" t="s">
        <v>1467</v>
      </c>
      <c r="G11" t="s">
        <v>1874</v>
      </c>
      <c r="H11" t="s">
        <v>1912</v>
      </c>
      <c r="I11" t="s">
        <v>1912</v>
      </c>
      <c r="J11" t="s">
        <v>1912</v>
      </c>
      <c r="K11" t="s">
        <v>1874</v>
      </c>
      <c r="L11" t="s">
        <v>1874</v>
      </c>
      <c r="M11" t="s">
        <v>1874</v>
      </c>
      <c r="N11" t="s">
        <v>1874</v>
      </c>
      <c r="O11" t="s">
        <v>1912</v>
      </c>
      <c r="P11" t="s">
        <v>1874</v>
      </c>
      <c r="Q11" t="s">
        <v>1912</v>
      </c>
      <c r="R11" t="s">
        <v>1874</v>
      </c>
      <c r="S11" t="s">
        <v>1874</v>
      </c>
      <c r="T11" t="s">
        <v>1912</v>
      </c>
      <c r="U11" t="s">
        <v>1912</v>
      </c>
      <c r="V11" t="s">
        <v>1912</v>
      </c>
      <c r="W11" t="s">
        <v>1912</v>
      </c>
      <c r="X11" t="s">
        <v>1912</v>
      </c>
      <c r="Y11" t="s">
        <v>1912</v>
      </c>
      <c r="AA11" t="s">
        <v>1912</v>
      </c>
      <c r="AB11" t="s">
        <v>1912</v>
      </c>
      <c r="AC11" t="s">
        <v>1912</v>
      </c>
      <c r="AD11" t="s">
        <v>1912</v>
      </c>
      <c r="AE11" t="s">
        <v>1912</v>
      </c>
      <c r="AF11" t="s">
        <v>1912</v>
      </c>
      <c r="AG11" t="s">
        <v>1912</v>
      </c>
      <c r="AH11" t="s">
        <v>1874</v>
      </c>
      <c r="AI11" t="s">
        <v>1912</v>
      </c>
      <c r="AJ11" t="s">
        <v>1912</v>
      </c>
      <c r="AK11" t="s">
        <v>1912</v>
      </c>
      <c r="AL11" t="s">
        <v>1912</v>
      </c>
      <c r="AM11" t="s">
        <v>1874</v>
      </c>
      <c r="AN11" t="s">
        <v>1912</v>
      </c>
      <c r="AO11" t="s">
        <v>1874</v>
      </c>
      <c r="AP11" t="s">
        <v>1874</v>
      </c>
      <c r="AQ11" t="s">
        <v>1874</v>
      </c>
      <c r="AR11" t="s">
        <v>1874</v>
      </c>
      <c r="AS11" t="s">
        <v>1912</v>
      </c>
      <c r="AT11" t="s">
        <v>1912</v>
      </c>
      <c r="AU11" t="s">
        <v>1912</v>
      </c>
      <c r="AV11" t="s">
        <v>1912</v>
      </c>
      <c r="AW11" t="s">
        <v>1912</v>
      </c>
      <c r="AX11" t="s">
        <v>1912</v>
      </c>
      <c r="AY11" t="s">
        <v>1912</v>
      </c>
      <c r="AZ11" t="s">
        <v>1912</v>
      </c>
      <c r="BA11" t="s">
        <v>1912</v>
      </c>
      <c r="BB11" t="s">
        <v>1912</v>
      </c>
      <c r="BC11" t="s">
        <v>1912</v>
      </c>
      <c r="BD11" t="s">
        <v>1912</v>
      </c>
      <c r="BE11" t="s">
        <v>1912</v>
      </c>
      <c r="BF11" t="s">
        <v>1912</v>
      </c>
      <c r="BG11" t="s">
        <v>1912</v>
      </c>
      <c r="BH11" t="s">
        <v>1912</v>
      </c>
      <c r="BI11" t="s">
        <v>1912</v>
      </c>
      <c r="BJ11" t="s">
        <v>1912</v>
      </c>
      <c r="BK11" t="s">
        <v>1912</v>
      </c>
      <c r="BL11" t="s">
        <v>1912</v>
      </c>
      <c r="BM11" t="s">
        <v>1912</v>
      </c>
      <c r="BN11" t="s">
        <v>1912</v>
      </c>
      <c r="BO11" t="s">
        <v>1912</v>
      </c>
      <c r="BP11" t="s">
        <v>1912</v>
      </c>
      <c r="BQ11" t="s">
        <v>1912</v>
      </c>
      <c r="BR11" t="s">
        <v>1912</v>
      </c>
      <c r="BS11" t="s">
        <v>1912</v>
      </c>
      <c r="BT11" t="s">
        <v>1912</v>
      </c>
      <c r="BU11" t="s">
        <v>1912</v>
      </c>
      <c r="BV11" t="s">
        <v>1912</v>
      </c>
      <c r="BW11" t="s">
        <v>1912</v>
      </c>
      <c r="BX11" t="s">
        <v>1912</v>
      </c>
      <c r="BY11" t="s">
        <v>1912</v>
      </c>
      <c r="BZ11" t="s">
        <v>1874</v>
      </c>
      <c r="CA11" t="s">
        <v>1874</v>
      </c>
      <c r="CB11" t="s">
        <v>1912</v>
      </c>
      <c r="CC11" t="s">
        <v>1912</v>
      </c>
      <c r="CD11" t="s">
        <v>1912</v>
      </c>
      <c r="CE11" t="s">
        <v>1874</v>
      </c>
      <c r="CF11" t="s">
        <v>1912</v>
      </c>
      <c r="CG11" t="s">
        <v>1912</v>
      </c>
      <c r="CH11" t="s">
        <v>1912</v>
      </c>
      <c r="CI11" t="s">
        <v>1912</v>
      </c>
      <c r="CJ11" t="s">
        <v>1912</v>
      </c>
      <c r="CK11" t="s">
        <v>1874</v>
      </c>
      <c r="CL11" t="s">
        <v>1874</v>
      </c>
      <c r="CM11" t="s">
        <v>1874</v>
      </c>
      <c r="CN11" t="s">
        <v>1874</v>
      </c>
      <c r="CO11" t="s">
        <v>1874</v>
      </c>
      <c r="CP11" t="s">
        <v>1874</v>
      </c>
      <c r="CQ11" t="s">
        <v>1874</v>
      </c>
      <c r="CR11" t="s">
        <v>1874</v>
      </c>
      <c r="CS11" t="s">
        <v>1912</v>
      </c>
      <c r="CT11" t="s">
        <v>1912</v>
      </c>
      <c r="CU11" t="s">
        <v>1874</v>
      </c>
      <c r="CV11" t="s">
        <v>1912</v>
      </c>
      <c r="CW11" t="s">
        <v>1912</v>
      </c>
      <c r="CX11" t="s">
        <v>1912</v>
      </c>
      <c r="CY11" t="s">
        <v>1912</v>
      </c>
      <c r="CZ11" t="s">
        <v>1874</v>
      </c>
      <c r="DA11" t="s">
        <v>1874</v>
      </c>
      <c r="DB11" t="s">
        <v>1874</v>
      </c>
      <c r="DC11" t="s">
        <v>1874</v>
      </c>
      <c r="DD11" t="s">
        <v>1912</v>
      </c>
      <c r="DE11" t="s">
        <v>1912</v>
      </c>
      <c r="DF11" t="s">
        <v>1912</v>
      </c>
      <c r="DG11" t="s">
        <v>1912</v>
      </c>
      <c r="DH11" t="s">
        <v>1912</v>
      </c>
      <c r="DI11" t="s">
        <v>1912</v>
      </c>
      <c r="DJ11" t="s">
        <v>1874</v>
      </c>
      <c r="DK11" t="s">
        <v>1874</v>
      </c>
      <c r="DL11" t="s">
        <v>1912</v>
      </c>
      <c r="DM11" t="s">
        <v>1912</v>
      </c>
      <c r="DN11" t="s">
        <v>1912</v>
      </c>
      <c r="DO11" t="s">
        <v>1874</v>
      </c>
      <c r="DP11" t="s">
        <v>1874</v>
      </c>
      <c r="DQ11" t="s">
        <v>1874</v>
      </c>
      <c r="DR11" t="s">
        <v>1874</v>
      </c>
      <c r="DS11" t="s">
        <v>1912</v>
      </c>
      <c r="DT11" t="s">
        <v>1874</v>
      </c>
      <c r="DU11" t="s">
        <v>1874</v>
      </c>
      <c r="DV11" t="s">
        <v>1874</v>
      </c>
      <c r="DW11" t="s">
        <v>1912</v>
      </c>
      <c r="DX11" t="s">
        <v>1912</v>
      </c>
      <c r="DY11" t="s">
        <v>1912</v>
      </c>
      <c r="DZ11" t="s">
        <v>1912</v>
      </c>
      <c r="EA11" t="s">
        <v>1874</v>
      </c>
      <c r="EB11" t="s">
        <v>1874</v>
      </c>
      <c r="EC11" t="s">
        <v>1874</v>
      </c>
      <c r="ED11" t="s">
        <v>1912</v>
      </c>
      <c r="EE11" t="s">
        <v>1912</v>
      </c>
      <c r="EF11" t="s">
        <v>1912</v>
      </c>
      <c r="EG11" t="s">
        <v>1874</v>
      </c>
      <c r="EH11" t="s">
        <v>1874</v>
      </c>
      <c r="EI11" t="s">
        <v>1874</v>
      </c>
      <c r="EJ11" t="s">
        <v>1874</v>
      </c>
      <c r="EK11" t="s">
        <v>1874</v>
      </c>
      <c r="EL11" t="s">
        <v>1874</v>
      </c>
      <c r="EM11" t="s">
        <v>1912</v>
      </c>
      <c r="EN11" t="s">
        <v>1912</v>
      </c>
      <c r="EO11" t="s">
        <v>1912</v>
      </c>
      <c r="ET11" t="s">
        <v>1912</v>
      </c>
      <c r="EU11" t="s">
        <v>1912</v>
      </c>
      <c r="EV11" t="s">
        <v>1912</v>
      </c>
      <c r="EW11" t="s">
        <v>1912</v>
      </c>
      <c r="EX11" t="s">
        <v>1912</v>
      </c>
      <c r="EY11" t="s">
        <v>1874</v>
      </c>
      <c r="EZ11" t="s">
        <v>1912</v>
      </c>
      <c r="FA11" t="s">
        <v>1874</v>
      </c>
      <c r="FB11" t="s">
        <v>1874</v>
      </c>
      <c r="FC11" t="s">
        <v>1874</v>
      </c>
      <c r="FD11" t="s">
        <v>1912</v>
      </c>
      <c r="FE11" t="s">
        <v>1912</v>
      </c>
      <c r="FF11" t="s">
        <v>1874</v>
      </c>
      <c r="FG11" t="s">
        <v>1874</v>
      </c>
      <c r="FH11" t="s">
        <v>1874</v>
      </c>
      <c r="FI11" t="s">
        <v>1874</v>
      </c>
      <c r="FJ11" t="s">
        <v>1912</v>
      </c>
      <c r="FK11" t="s">
        <v>1912</v>
      </c>
      <c r="FL11" t="s">
        <v>1912</v>
      </c>
      <c r="FM11" t="s">
        <v>1912</v>
      </c>
      <c r="FN11" t="s">
        <v>1912</v>
      </c>
      <c r="FO11" t="s">
        <v>1912</v>
      </c>
      <c r="FP11" t="s">
        <v>1912</v>
      </c>
      <c r="FQ11" t="s">
        <v>1912</v>
      </c>
      <c r="FR11" t="s">
        <v>1912</v>
      </c>
      <c r="FS11" t="s">
        <v>1912</v>
      </c>
      <c r="FT11" t="s">
        <v>1912</v>
      </c>
      <c r="FU11" t="s">
        <v>1912</v>
      </c>
      <c r="FV11" t="s">
        <v>1912</v>
      </c>
      <c r="FW11" t="s">
        <v>1912</v>
      </c>
      <c r="FX11" t="s">
        <v>1912</v>
      </c>
      <c r="FY11" t="s">
        <v>1874</v>
      </c>
      <c r="FZ11" t="s">
        <v>1874</v>
      </c>
      <c r="GA11" t="s">
        <v>1874</v>
      </c>
      <c r="GB11" t="s">
        <v>1912</v>
      </c>
      <c r="GC11" t="s">
        <v>1912</v>
      </c>
      <c r="GD11" t="s">
        <v>1912</v>
      </c>
      <c r="GE11" t="s">
        <v>1912</v>
      </c>
      <c r="GF11" t="s">
        <v>1912</v>
      </c>
      <c r="GG11" t="s">
        <v>1912</v>
      </c>
      <c r="GH11" t="s">
        <v>1912</v>
      </c>
      <c r="GI11" t="s">
        <v>1912</v>
      </c>
      <c r="GJ11" t="s">
        <v>1912</v>
      </c>
      <c r="GK11" t="s">
        <v>1912</v>
      </c>
      <c r="GL11" t="s">
        <v>1912</v>
      </c>
      <c r="GM11" t="s">
        <v>1912</v>
      </c>
      <c r="GN11" t="s">
        <v>1912</v>
      </c>
      <c r="GO11" t="s">
        <v>1912</v>
      </c>
      <c r="GP11" t="s">
        <v>1912</v>
      </c>
      <c r="GQ11" t="s">
        <v>1912</v>
      </c>
      <c r="GR11" t="s">
        <v>1912</v>
      </c>
      <c r="GS11" t="s">
        <v>1912</v>
      </c>
      <c r="GT11" t="s">
        <v>1912</v>
      </c>
      <c r="GU11" t="s">
        <v>1912</v>
      </c>
      <c r="GV11" t="s">
        <v>1912</v>
      </c>
      <c r="GW11" t="s">
        <v>1912</v>
      </c>
      <c r="GX11" t="s">
        <v>1912</v>
      </c>
      <c r="GY11" t="s">
        <v>1912</v>
      </c>
      <c r="GZ11" t="s">
        <v>1912</v>
      </c>
      <c r="HA11" t="s">
        <v>1912</v>
      </c>
      <c r="HB11" t="s">
        <v>1912</v>
      </c>
      <c r="HC11" t="s">
        <v>1912</v>
      </c>
      <c r="HD11" t="s">
        <v>1874</v>
      </c>
      <c r="HE11" t="s">
        <v>1912</v>
      </c>
      <c r="HF11" t="s">
        <v>1874</v>
      </c>
      <c r="HG11" t="s">
        <v>1912</v>
      </c>
      <c r="HH11" t="s">
        <v>1912</v>
      </c>
      <c r="HI11" t="s">
        <v>1912</v>
      </c>
      <c r="HJ11" t="s">
        <v>1912</v>
      </c>
      <c r="HK11" t="s">
        <v>1912</v>
      </c>
      <c r="HL11" t="s">
        <v>1912</v>
      </c>
      <c r="HM11" t="s">
        <v>1912</v>
      </c>
      <c r="HN11" t="s">
        <v>1912</v>
      </c>
      <c r="HO11" t="s">
        <v>1874</v>
      </c>
      <c r="HP11" t="s">
        <v>1912</v>
      </c>
      <c r="HQ11" t="s">
        <v>1874</v>
      </c>
      <c r="HR11" t="s">
        <v>1874</v>
      </c>
      <c r="HS11" t="s">
        <v>1874</v>
      </c>
      <c r="HT11" t="s">
        <v>1912</v>
      </c>
      <c r="HU11" t="s">
        <v>1912</v>
      </c>
      <c r="HV11" t="s">
        <v>1912</v>
      </c>
      <c r="HW11" t="s">
        <v>1912</v>
      </c>
      <c r="HX11" t="s">
        <v>1912</v>
      </c>
      <c r="HY11" t="s">
        <v>1912</v>
      </c>
      <c r="HZ11" t="s">
        <v>1912</v>
      </c>
      <c r="IA11" t="s">
        <v>1912</v>
      </c>
      <c r="IB11" t="s">
        <v>1912</v>
      </c>
      <c r="IC11" t="s">
        <v>1912</v>
      </c>
      <c r="ID11" t="s">
        <v>1912</v>
      </c>
      <c r="IE11" t="s">
        <v>1912</v>
      </c>
      <c r="IF11" t="s">
        <v>1874</v>
      </c>
      <c r="IG11" t="s">
        <v>1874</v>
      </c>
      <c r="IH11" t="s">
        <v>1874</v>
      </c>
      <c r="II11" t="s">
        <v>1874</v>
      </c>
      <c r="IJ11" t="s">
        <v>1874</v>
      </c>
      <c r="IK11" t="s">
        <v>1912</v>
      </c>
      <c r="IL11" t="s">
        <v>1912</v>
      </c>
      <c r="IM11" t="s">
        <v>1912</v>
      </c>
      <c r="IN11" t="s">
        <v>1912</v>
      </c>
      <c r="IO11" t="s">
        <v>1874</v>
      </c>
      <c r="IP11" t="s">
        <v>1912</v>
      </c>
      <c r="IQ11" t="s">
        <v>1912</v>
      </c>
      <c r="IR11" t="s">
        <v>1912</v>
      </c>
      <c r="IS11" t="s">
        <v>1912</v>
      </c>
      <c r="IT11" t="s">
        <v>1912</v>
      </c>
      <c r="IU11" t="s">
        <v>1912</v>
      </c>
      <c r="IV11" t="s">
        <v>1912</v>
      </c>
      <c r="IW11" t="s">
        <v>1912</v>
      </c>
      <c r="IX11" t="s">
        <v>1912</v>
      </c>
      <c r="IY11" t="s">
        <v>1912</v>
      </c>
      <c r="IZ11" t="s">
        <v>1912</v>
      </c>
      <c r="JA11" t="s">
        <v>1912</v>
      </c>
      <c r="JB11" t="s">
        <v>1874</v>
      </c>
      <c r="JC11" t="s">
        <v>1912</v>
      </c>
      <c r="JD11" t="s">
        <v>1912</v>
      </c>
      <c r="JE11" t="s">
        <v>1912</v>
      </c>
      <c r="JF11" t="s">
        <v>1912</v>
      </c>
      <c r="JG11" t="s">
        <v>1912</v>
      </c>
      <c r="JH11" t="s">
        <v>1912</v>
      </c>
      <c r="JI11" t="s">
        <v>1912</v>
      </c>
      <c r="JJ11" t="s">
        <v>1912</v>
      </c>
      <c r="JK11" t="s">
        <v>1912</v>
      </c>
      <c r="JL11" t="s">
        <v>1874</v>
      </c>
      <c r="JM11" t="s">
        <v>1912</v>
      </c>
      <c r="JN11" t="s">
        <v>1912</v>
      </c>
      <c r="JO11" t="s">
        <v>1912</v>
      </c>
      <c r="JP11" t="s">
        <v>1912</v>
      </c>
      <c r="JQ11" t="s">
        <v>1912</v>
      </c>
      <c r="JR11" t="s">
        <v>1912</v>
      </c>
      <c r="JS11" t="s">
        <v>1912</v>
      </c>
      <c r="JT11" t="s">
        <v>1874</v>
      </c>
      <c r="JU11" t="s">
        <v>1912</v>
      </c>
      <c r="JV11" t="s">
        <v>1874</v>
      </c>
      <c r="JW11" t="s">
        <v>1912</v>
      </c>
      <c r="JX11" t="s">
        <v>1912</v>
      </c>
      <c r="JY11" t="s">
        <v>1912</v>
      </c>
      <c r="JZ11" t="s">
        <v>1874</v>
      </c>
      <c r="KA11" t="s">
        <v>1912</v>
      </c>
      <c r="KB11" t="s">
        <v>1912</v>
      </c>
      <c r="KC11" t="s">
        <v>1912</v>
      </c>
      <c r="KD11" t="s">
        <v>1912</v>
      </c>
      <c r="KE11" t="s">
        <v>1912</v>
      </c>
      <c r="KF11" t="s">
        <v>1912</v>
      </c>
      <c r="KG11" t="s">
        <v>1912</v>
      </c>
      <c r="KH11" t="s">
        <v>1912</v>
      </c>
      <c r="KI11" t="s">
        <v>1912</v>
      </c>
      <c r="KJ11" t="s">
        <v>1912</v>
      </c>
      <c r="KK11" t="s">
        <v>1912</v>
      </c>
      <c r="KL11" t="s">
        <v>1912</v>
      </c>
      <c r="KM11" t="s">
        <v>1912</v>
      </c>
      <c r="KN11" t="s">
        <v>1874</v>
      </c>
      <c r="KO11" t="s">
        <v>1912</v>
      </c>
      <c r="KP11" t="s">
        <v>1912</v>
      </c>
      <c r="KQ11" t="s">
        <v>1912</v>
      </c>
      <c r="KR11" t="s">
        <v>1912</v>
      </c>
      <c r="KS11" t="s">
        <v>1912</v>
      </c>
      <c r="KT11" t="s">
        <v>1912</v>
      </c>
      <c r="KU11" t="s">
        <v>1912</v>
      </c>
      <c r="KV11" t="s">
        <v>1912</v>
      </c>
      <c r="KW11" t="s">
        <v>1912</v>
      </c>
      <c r="KX11" t="s">
        <v>1912</v>
      </c>
      <c r="KY11" t="s">
        <v>1912</v>
      </c>
      <c r="KZ11" t="s">
        <v>1912</v>
      </c>
      <c r="LA11" t="s">
        <v>1912</v>
      </c>
      <c r="LB11" t="s">
        <v>1912</v>
      </c>
      <c r="LC11" t="s">
        <v>1912</v>
      </c>
      <c r="LD11" t="s">
        <v>1912</v>
      </c>
      <c r="LE11" t="s">
        <v>1912</v>
      </c>
      <c r="LF11" t="s">
        <v>1912</v>
      </c>
      <c r="LG11" t="s">
        <v>1874</v>
      </c>
      <c r="LH11" t="s">
        <v>1874</v>
      </c>
      <c r="LI11" t="s">
        <v>1874</v>
      </c>
      <c r="LJ11" t="s">
        <v>1912</v>
      </c>
      <c r="LK11" t="s">
        <v>1874</v>
      </c>
      <c r="LL11" t="s">
        <v>1874</v>
      </c>
      <c r="LM11" t="s">
        <v>1912</v>
      </c>
      <c r="LN11" t="s">
        <v>1912</v>
      </c>
      <c r="LO11" t="s">
        <v>1874</v>
      </c>
      <c r="LP11" t="s">
        <v>1874</v>
      </c>
      <c r="LQ11" t="s">
        <v>1874</v>
      </c>
      <c r="LR11" t="s">
        <v>1874</v>
      </c>
      <c r="LS11" t="s">
        <v>1912</v>
      </c>
      <c r="LT11" t="s">
        <v>1912</v>
      </c>
      <c r="LU11" t="s">
        <v>1912</v>
      </c>
      <c r="LV11" t="s">
        <v>1912</v>
      </c>
      <c r="LW11" t="s">
        <v>1874</v>
      </c>
      <c r="LX11" t="s">
        <v>1912</v>
      </c>
      <c r="LY11" t="s">
        <v>1912</v>
      </c>
      <c r="LZ11" t="s">
        <v>1912</v>
      </c>
      <c r="MA11" t="s">
        <v>1912</v>
      </c>
      <c r="MB11" t="s">
        <v>1912</v>
      </c>
      <c r="MC11" t="s">
        <v>1912</v>
      </c>
      <c r="MD11" t="s">
        <v>1874</v>
      </c>
      <c r="ME11" t="s">
        <v>1912</v>
      </c>
      <c r="MF11" t="s">
        <v>1912</v>
      </c>
      <c r="MG11" t="s">
        <v>1874</v>
      </c>
      <c r="MH11" t="s">
        <v>1874</v>
      </c>
      <c r="MI11" t="s">
        <v>1874</v>
      </c>
      <c r="MJ11" t="s">
        <v>1912</v>
      </c>
      <c r="MK11" t="s">
        <v>1912</v>
      </c>
      <c r="ML11" t="s">
        <v>1912</v>
      </c>
      <c r="MM11" t="s">
        <v>1912</v>
      </c>
      <c r="MN11" t="s">
        <v>1912</v>
      </c>
      <c r="MO11" t="s">
        <v>1912</v>
      </c>
      <c r="MP11" t="s">
        <v>1912</v>
      </c>
      <c r="MQ11" t="s">
        <v>1912</v>
      </c>
      <c r="MR11" t="s">
        <v>1912</v>
      </c>
      <c r="MS11" t="s">
        <v>1912</v>
      </c>
      <c r="MT11" t="s">
        <v>1912</v>
      </c>
      <c r="MU11" t="s">
        <v>1912</v>
      </c>
      <c r="MV11" t="s">
        <v>1912</v>
      </c>
      <c r="MW11" t="s">
        <v>1912</v>
      </c>
      <c r="MX11" t="s">
        <v>1874</v>
      </c>
      <c r="MY11" t="s">
        <v>1912</v>
      </c>
      <c r="MZ11" t="s">
        <v>1874</v>
      </c>
      <c r="NA11" t="s">
        <v>1912</v>
      </c>
      <c r="NB11" t="s">
        <v>1912</v>
      </c>
      <c r="NC11" t="s">
        <v>1912</v>
      </c>
      <c r="ND11" t="s">
        <v>1912</v>
      </c>
      <c r="NG11" t="s">
        <v>1912</v>
      </c>
      <c r="NH11" t="s">
        <v>1912</v>
      </c>
      <c r="NI11" t="s">
        <v>1912</v>
      </c>
      <c r="NJ11" t="s">
        <v>1912</v>
      </c>
      <c r="NK11" t="s">
        <v>1912</v>
      </c>
      <c r="NL11" t="s">
        <v>1912</v>
      </c>
      <c r="NM11" t="s">
        <v>1912</v>
      </c>
      <c r="NN11" t="s">
        <v>1874</v>
      </c>
      <c r="NO11" t="s">
        <v>1913</v>
      </c>
      <c r="NP11" t="s">
        <v>1914</v>
      </c>
      <c r="NR11" t="s">
        <v>1467</v>
      </c>
      <c r="NS11" t="s">
        <v>1915</v>
      </c>
      <c r="NU11" t="s">
        <v>1916</v>
      </c>
      <c r="NV11" t="s">
        <v>1886</v>
      </c>
      <c r="NX11" t="s">
        <v>1917</v>
      </c>
      <c r="NY11" t="s">
        <v>1840</v>
      </c>
    </row>
    <row r="12" spans="1:389" ht="15" customHeight="1" x14ac:dyDescent="0.25">
      <c r="A12" t="s">
        <v>1881</v>
      </c>
      <c r="B12" t="s">
        <v>1918</v>
      </c>
      <c r="C12" t="s">
        <v>1850</v>
      </c>
      <c r="D12" t="s">
        <v>1468</v>
      </c>
      <c r="G12" t="s">
        <v>1881</v>
      </c>
      <c r="H12" t="s">
        <v>1919</v>
      </c>
      <c r="I12" t="s">
        <v>1919</v>
      </c>
      <c r="J12" t="s">
        <v>1919</v>
      </c>
      <c r="K12" t="s">
        <v>1881</v>
      </c>
      <c r="L12" t="s">
        <v>1881</v>
      </c>
      <c r="M12" t="s">
        <v>1881</v>
      </c>
      <c r="N12" t="s">
        <v>1881</v>
      </c>
      <c r="O12" t="s">
        <v>1919</v>
      </c>
      <c r="P12" t="s">
        <v>1881</v>
      </c>
      <c r="Q12" t="s">
        <v>1919</v>
      </c>
      <c r="R12" t="s">
        <v>1881</v>
      </c>
      <c r="S12" t="s">
        <v>1881</v>
      </c>
      <c r="T12" t="s">
        <v>1919</v>
      </c>
      <c r="U12" t="s">
        <v>1919</v>
      </c>
      <c r="V12" t="s">
        <v>1919</v>
      </c>
      <c r="W12" t="s">
        <v>1919</v>
      </c>
      <c r="X12" t="s">
        <v>1919</v>
      </c>
      <c r="Y12" t="s">
        <v>1919</v>
      </c>
      <c r="AA12" t="s">
        <v>1919</v>
      </c>
      <c r="AB12" t="s">
        <v>1919</v>
      </c>
      <c r="AC12" t="s">
        <v>1919</v>
      </c>
      <c r="AD12" t="s">
        <v>1919</v>
      </c>
      <c r="AE12" t="s">
        <v>1919</v>
      </c>
      <c r="AF12" t="s">
        <v>1919</v>
      </c>
      <c r="AG12" t="s">
        <v>1919</v>
      </c>
      <c r="AH12" t="s">
        <v>1881</v>
      </c>
      <c r="AI12" t="s">
        <v>1919</v>
      </c>
      <c r="AJ12" t="s">
        <v>1919</v>
      </c>
      <c r="AK12" t="s">
        <v>1919</v>
      </c>
      <c r="AL12" t="s">
        <v>1919</v>
      </c>
      <c r="AM12" t="s">
        <v>1881</v>
      </c>
      <c r="AN12" t="s">
        <v>1919</v>
      </c>
      <c r="AO12" t="s">
        <v>1881</v>
      </c>
      <c r="AP12" t="s">
        <v>1881</v>
      </c>
      <c r="AQ12" t="s">
        <v>1881</v>
      </c>
      <c r="AR12" t="s">
        <v>1881</v>
      </c>
      <c r="AS12" t="s">
        <v>1919</v>
      </c>
      <c r="AT12" t="s">
        <v>1919</v>
      </c>
      <c r="AU12" t="s">
        <v>1919</v>
      </c>
      <c r="AV12" t="s">
        <v>1919</v>
      </c>
      <c r="AW12" t="s">
        <v>1919</v>
      </c>
      <c r="AX12" t="s">
        <v>1919</v>
      </c>
      <c r="AY12" t="s">
        <v>1919</v>
      </c>
      <c r="AZ12" t="s">
        <v>1919</v>
      </c>
      <c r="BA12" t="s">
        <v>1919</v>
      </c>
      <c r="BB12" t="s">
        <v>1919</v>
      </c>
      <c r="BC12" t="s">
        <v>1919</v>
      </c>
      <c r="BD12" t="s">
        <v>1919</v>
      </c>
      <c r="BE12" t="s">
        <v>1919</v>
      </c>
      <c r="BF12" t="s">
        <v>1919</v>
      </c>
      <c r="BG12" t="s">
        <v>1919</v>
      </c>
      <c r="BH12" t="s">
        <v>1919</v>
      </c>
      <c r="BI12" t="s">
        <v>1919</v>
      </c>
      <c r="BJ12" t="s">
        <v>1919</v>
      </c>
      <c r="BK12" t="s">
        <v>1919</v>
      </c>
      <c r="BL12" t="s">
        <v>1919</v>
      </c>
      <c r="BM12" t="s">
        <v>1919</v>
      </c>
      <c r="BN12" t="s">
        <v>1919</v>
      </c>
      <c r="BO12" t="s">
        <v>1919</v>
      </c>
      <c r="BP12" t="s">
        <v>1919</v>
      </c>
      <c r="BQ12" t="s">
        <v>1919</v>
      </c>
      <c r="BR12" t="s">
        <v>1919</v>
      </c>
      <c r="BS12" t="s">
        <v>1919</v>
      </c>
      <c r="BT12" t="s">
        <v>1919</v>
      </c>
      <c r="BU12" t="s">
        <v>1919</v>
      </c>
      <c r="BV12" t="s">
        <v>1919</v>
      </c>
      <c r="BW12" t="s">
        <v>1919</v>
      </c>
      <c r="BX12" t="s">
        <v>1919</v>
      </c>
      <c r="BY12" t="s">
        <v>1919</v>
      </c>
      <c r="BZ12" t="s">
        <v>1881</v>
      </c>
      <c r="CA12" t="s">
        <v>1881</v>
      </c>
      <c r="CB12" t="s">
        <v>1919</v>
      </c>
      <c r="CC12" t="s">
        <v>1919</v>
      </c>
      <c r="CD12" t="s">
        <v>1919</v>
      </c>
      <c r="CE12" t="s">
        <v>1881</v>
      </c>
      <c r="CF12" t="s">
        <v>1919</v>
      </c>
      <c r="CG12" t="s">
        <v>1919</v>
      </c>
      <c r="CH12" t="s">
        <v>1919</v>
      </c>
      <c r="CI12" t="s">
        <v>1919</v>
      </c>
      <c r="CJ12" t="s">
        <v>1919</v>
      </c>
      <c r="CK12" t="s">
        <v>1881</v>
      </c>
      <c r="CL12" t="s">
        <v>1881</v>
      </c>
      <c r="CM12" t="s">
        <v>1881</v>
      </c>
      <c r="CN12" t="s">
        <v>1881</v>
      </c>
      <c r="CO12" t="s">
        <v>1881</v>
      </c>
      <c r="CP12" t="s">
        <v>1881</v>
      </c>
      <c r="CQ12" t="s">
        <v>1881</v>
      </c>
      <c r="CR12" t="s">
        <v>1881</v>
      </c>
      <c r="CS12" t="s">
        <v>1919</v>
      </c>
      <c r="CT12" t="s">
        <v>1919</v>
      </c>
      <c r="CU12" t="s">
        <v>1881</v>
      </c>
      <c r="CV12" t="s">
        <v>1919</v>
      </c>
      <c r="CW12" t="s">
        <v>1919</v>
      </c>
      <c r="CX12" t="s">
        <v>1919</v>
      </c>
      <c r="CY12" t="s">
        <v>1919</v>
      </c>
      <c r="CZ12" t="s">
        <v>1881</v>
      </c>
      <c r="DA12" t="s">
        <v>1881</v>
      </c>
      <c r="DB12" t="s">
        <v>1881</v>
      </c>
      <c r="DC12" t="s">
        <v>1881</v>
      </c>
      <c r="DD12" t="s">
        <v>1919</v>
      </c>
      <c r="DE12" t="s">
        <v>1919</v>
      </c>
      <c r="DF12" t="s">
        <v>1919</v>
      </c>
      <c r="DG12" t="s">
        <v>1919</v>
      </c>
      <c r="DH12" t="s">
        <v>1919</v>
      </c>
      <c r="DI12" t="s">
        <v>1919</v>
      </c>
      <c r="DJ12" t="s">
        <v>1881</v>
      </c>
      <c r="DK12" t="s">
        <v>1881</v>
      </c>
      <c r="DL12" t="s">
        <v>1919</v>
      </c>
      <c r="DM12" t="s">
        <v>1919</v>
      </c>
      <c r="DN12" t="s">
        <v>1919</v>
      </c>
      <c r="DO12" t="s">
        <v>1881</v>
      </c>
      <c r="DP12" t="s">
        <v>1881</v>
      </c>
      <c r="DQ12" t="s">
        <v>1881</v>
      </c>
      <c r="DR12" t="s">
        <v>1881</v>
      </c>
      <c r="DS12" t="s">
        <v>1919</v>
      </c>
      <c r="DT12" t="s">
        <v>1881</v>
      </c>
      <c r="DU12" t="s">
        <v>1881</v>
      </c>
      <c r="DV12" t="s">
        <v>1881</v>
      </c>
      <c r="DW12" t="s">
        <v>1919</v>
      </c>
      <c r="DX12" t="s">
        <v>1919</v>
      </c>
      <c r="DY12" t="s">
        <v>1919</v>
      </c>
      <c r="DZ12" t="s">
        <v>1919</v>
      </c>
      <c r="EA12" t="s">
        <v>1881</v>
      </c>
      <c r="EB12" t="s">
        <v>1881</v>
      </c>
      <c r="EC12" t="s">
        <v>1881</v>
      </c>
      <c r="ED12" t="s">
        <v>1919</v>
      </c>
      <c r="EE12" t="s">
        <v>1919</v>
      </c>
      <c r="EF12" t="s">
        <v>1919</v>
      </c>
      <c r="EG12" t="s">
        <v>1881</v>
      </c>
      <c r="EH12" t="s">
        <v>1881</v>
      </c>
      <c r="EI12" t="s">
        <v>1881</v>
      </c>
      <c r="EJ12" t="s">
        <v>1881</v>
      </c>
      <c r="EK12" t="s">
        <v>1881</v>
      </c>
      <c r="EL12" t="s">
        <v>1881</v>
      </c>
      <c r="EM12" t="s">
        <v>1919</v>
      </c>
      <c r="EN12" t="s">
        <v>1919</v>
      </c>
      <c r="EO12" t="s">
        <v>1919</v>
      </c>
      <c r="ET12" t="s">
        <v>1919</v>
      </c>
      <c r="EU12" t="s">
        <v>1919</v>
      </c>
      <c r="EV12" t="s">
        <v>1919</v>
      </c>
      <c r="EW12" t="s">
        <v>1919</v>
      </c>
      <c r="EX12" t="s">
        <v>1919</v>
      </c>
      <c r="EY12" t="s">
        <v>1881</v>
      </c>
      <c r="EZ12" t="s">
        <v>1919</v>
      </c>
      <c r="FA12" t="s">
        <v>1881</v>
      </c>
      <c r="FB12" t="s">
        <v>1881</v>
      </c>
      <c r="FC12" t="s">
        <v>1881</v>
      </c>
      <c r="FD12" t="s">
        <v>1919</v>
      </c>
      <c r="FE12" t="s">
        <v>1919</v>
      </c>
      <c r="FF12" t="s">
        <v>1881</v>
      </c>
      <c r="FG12" t="s">
        <v>1881</v>
      </c>
      <c r="FH12" t="s">
        <v>1881</v>
      </c>
      <c r="FI12" t="s">
        <v>1881</v>
      </c>
      <c r="FJ12" t="s">
        <v>1919</v>
      </c>
      <c r="FK12" t="s">
        <v>1919</v>
      </c>
      <c r="FL12" t="s">
        <v>1919</v>
      </c>
      <c r="FM12" t="s">
        <v>1919</v>
      </c>
      <c r="FN12" t="s">
        <v>1919</v>
      </c>
      <c r="FO12" t="s">
        <v>1919</v>
      </c>
      <c r="FP12" t="s">
        <v>1919</v>
      </c>
      <c r="FQ12" t="s">
        <v>1919</v>
      </c>
      <c r="FR12" t="s">
        <v>1919</v>
      </c>
      <c r="FS12" t="s">
        <v>1919</v>
      </c>
      <c r="FT12" t="s">
        <v>1919</v>
      </c>
      <c r="FU12" t="s">
        <v>1919</v>
      </c>
      <c r="FV12" t="s">
        <v>1919</v>
      </c>
      <c r="FW12" t="s">
        <v>1919</v>
      </c>
      <c r="FX12" t="s">
        <v>1919</v>
      </c>
      <c r="FY12" t="s">
        <v>1881</v>
      </c>
      <c r="FZ12" t="s">
        <v>1881</v>
      </c>
      <c r="GA12" t="s">
        <v>1881</v>
      </c>
      <c r="GB12" t="s">
        <v>1919</v>
      </c>
      <c r="GC12" t="s">
        <v>1919</v>
      </c>
      <c r="GD12" t="s">
        <v>1919</v>
      </c>
      <c r="GE12" t="s">
        <v>1919</v>
      </c>
      <c r="GF12" t="s">
        <v>1919</v>
      </c>
      <c r="GG12" t="s">
        <v>1919</v>
      </c>
      <c r="GH12" t="s">
        <v>1919</v>
      </c>
      <c r="GI12" t="s">
        <v>1919</v>
      </c>
      <c r="GJ12" t="s">
        <v>1919</v>
      </c>
      <c r="GK12" t="s">
        <v>1919</v>
      </c>
      <c r="GL12" t="s">
        <v>1919</v>
      </c>
      <c r="GM12" t="s">
        <v>1919</v>
      </c>
      <c r="GN12" t="s">
        <v>1919</v>
      </c>
      <c r="GO12" t="s">
        <v>1919</v>
      </c>
      <c r="GP12" t="s">
        <v>1919</v>
      </c>
      <c r="GQ12" t="s">
        <v>1919</v>
      </c>
      <c r="GR12" t="s">
        <v>1919</v>
      </c>
      <c r="GS12" t="s">
        <v>1919</v>
      </c>
      <c r="GT12" t="s">
        <v>1919</v>
      </c>
      <c r="GU12" t="s">
        <v>1919</v>
      </c>
      <c r="GV12" t="s">
        <v>1919</v>
      </c>
      <c r="GW12" t="s">
        <v>1919</v>
      </c>
      <c r="GX12" t="s">
        <v>1919</v>
      </c>
      <c r="GY12" t="s">
        <v>1919</v>
      </c>
      <c r="GZ12" t="s">
        <v>1919</v>
      </c>
      <c r="HA12" t="s">
        <v>1919</v>
      </c>
      <c r="HB12" t="s">
        <v>1919</v>
      </c>
      <c r="HC12" t="s">
        <v>1919</v>
      </c>
      <c r="HD12" t="s">
        <v>1881</v>
      </c>
      <c r="HE12" t="s">
        <v>1919</v>
      </c>
      <c r="HF12" t="s">
        <v>1881</v>
      </c>
      <c r="HG12" t="s">
        <v>1919</v>
      </c>
      <c r="HH12" t="s">
        <v>1919</v>
      </c>
      <c r="HI12" t="s">
        <v>1919</v>
      </c>
      <c r="HJ12" t="s">
        <v>1919</v>
      </c>
      <c r="HK12" t="s">
        <v>1919</v>
      </c>
      <c r="HL12" t="s">
        <v>1919</v>
      </c>
      <c r="HM12" t="s">
        <v>1919</v>
      </c>
      <c r="HN12" t="s">
        <v>1919</v>
      </c>
      <c r="HO12" t="s">
        <v>1881</v>
      </c>
      <c r="HP12" t="s">
        <v>1919</v>
      </c>
      <c r="HQ12" t="s">
        <v>1881</v>
      </c>
      <c r="HR12" t="s">
        <v>1881</v>
      </c>
      <c r="HS12" t="s">
        <v>1881</v>
      </c>
      <c r="HT12" t="s">
        <v>1919</v>
      </c>
      <c r="HU12" t="s">
        <v>1919</v>
      </c>
      <c r="HV12" t="s">
        <v>1919</v>
      </c>
      <c r="HW12" t="s">
        <v>1919</v>
      </c>
      <c r="HX12" t="s">
        <v>1919</v>
      </c>
      <c r="HY12" t="s">
        <v>1919</v>
      </c>
      <c r="HZ12" t="s">
        <v>1919</v>
      </c>
      <c r="IA12" t="s">
        <v>1919</v>
      </c>
      <c r="IB12" t="s">
        <v>1919</v>
      </c>
      <c r="IC12" t="s">
        <v>1919</v>
      </c>
      <c r="ID12" t="s">
        <v>1919</v>
      </c>
      <c r="IE12" t="s">
        <v>1919</v>
      </c>
      <c r="IF12" t="s">
        <v>1881</v>
      </c>
      <c r="IG12" t="s">
        <v>1881</v>
      </c>
      <c r="IH12" t="s">
        <v>1881</v>
      </c>
      <c r="II12" t="s">
        <v>1881</v>
      </c>
      <c r="IJ12" t="s">
        <v>1881</v>
      </c>
      <c r="IK12" t="s">
        <v>1919</v>
      </c>
      <c r="IL12" t="s">
        <v>1919</v>
      </c>
      <c r="IM12" t="s">
        <v>1919</v>
      </c>
      <c r="IN12" t="s">
        <v>1919</v>
      </c>
      <c r="IO12" t="s">
        <v>1881</v>
      </c>
      <c r="IP12" t="s">
        <v>1919</v>
      </c>
      <c r="IQ12" t="s">
        <v>1919</v>
      </c>
      <c r="IR12" t="s">
        <v>1919</v>
      </c>
      <c r="IS12" t="s">
        <v>1919</v>
      </c>
      <c r="IT12" t="s">
        <v>1919</v>
      </c>
      <c r="IU12" t="s">
        <v>1919</v>
      </c>
      <c r="IV12" t="s">
        <v>1919</v>
      </c>
      <c r="IW12" t="s">
        <v>1919</v>
      </c>
      <c r="IX12" t="s">
        <v>1919</v>
      </c>
      <c r="IY12" t="s">
        <v>1919</v>
      </c>
      <c r="IZ12" t="s">
        <v>1919</v>
      </c>
      <c r="JA12" t="s">
        <v>1919</v>
      </c>
      <c r="JB12" t="s">
        <v>1881</v>
      </c>
      <c r="JC12" t="s">
        <v>1919</v>
      </c>
      <c r="JD12" t="s">
        <v>1919</v>
      </c>
      <c r="JE12" t="s">
        <v>1919</v>
      </c>
      <c r="JF12" t="s">
        <v>1919</v>
      </c>
      <c r="JG12" t="s">
        <v>1919</v>
      </c>
      <c r="JH12" t="s">
        <v>1919</v>
      </c>
      <c r="JI12" t="s">
        <v>1919</v>
      </c>
      <c r="JJ12" t="s">
        <v>1919</v>
      </c>
      <c r="JK12" t="s">
        <v>1919</v>
      </c>
      <c r="JL12" t="s">
        <v>1881</v>
      </c>
      <c r="JM12" t="s">
        <v>1919</v>
      </c>
      <c r="JN12" t="s">
        <v>1919</v>
      </c>
      <c r="JO12" t="s">
        <v>1919</v>
      </c>
      <c r="JP12" t="s">
        <v>1919</v>
      </c>
      <c r="JQ12" t="s">
        <v>1919</v>
      </c>
      <c r="JR12" t="s">
        <v>1919</v>
      </c>
      <c r="JS12" t="s">
        <v>1919</v>
      </c>
      <c r="JT12" t="s">
        <v>1881</v>
      </c>
      <c r="JU12" t="s">
        <v>1919</v>
      </c>
      <c r="JV12" t="s">
        <v>1881</v>
      </c>
      <c r="JW12" t="s">
        <v>1919</v>
      </c>
      <c r="JX12" t="s">
        <v>1919</v>
      </c>
      <c r="JY12" t="s">
        <v>1919</v>
      </c>
      <c r="JZ12" t="s">
        <v>1881</v>
      </c>
      <c r="KA12" t="s">
        <v>1919</v>
      </c>
      <c r="KB12" t="s">
        <v>1919</v>
      </c>
      <c r="KC12" t="s">
        <v>1919</v>
      </c>
      <c r="KD12" t="s">
        <v>1919</v>
      </c>
      <c r="KE12" t="s">
        <v>1919</v>
      </c>
      <c r="KF12" t="s">
        <v>1919</v>
      </c>
      <c r="KG12" t="s">
        <v>1919</v>
      </c>
      <c r="KH12" t="s">
        <v>1919</v>
      </c>
      <c r="KI12" t="s">
        <v>1919</v>
      </c>
      <c r="KJ12" t="s">
        <v>1919</v>
      </c>
      <c r="KK12" t="s">
        <v>1919</v>
      </c>
      <c r="KL12" t="s">
        <v>1919</v>
      </c>
      <c r="KM12" t="s">
        <v>1919</v>
      </c>
      <c r="KN12" t="s">
        <v>1881</v>
      </c>
      <c r="KO12" t="s">
        <v>1919</v>
      </c>
      <c r="KP12" t="s">
        <v>1919</v>
      </c>
      <c r="KQ12" t="s">
        <v>1919</v>
      </c>
      <c r="KR12" t="s">
        <v>1919</v>
      </c>
      <c r="KS12" t="s">
        <v>1919</v>
      </c>
      <c r="KT12" t="s">
        <v>1919</v>
      </c>
      <c r="KU12" t="s">
        <v>1919</v>
      </c>
      <c r="KV12" t="s">
        <v>1919</v>
      </c>
      <c r="KW12" t="s">
        <v>1919</v>
      </c>
      <c r="KX12" t="s">
        <v>1919</v>
      </c>
      <c r="KY12" t="s">
        <v>1919</v>
      </c>
      <c r="KZ12" t="s">
        <v>1919</v>
      </c>
      <c r="LA12" t="s">
        <v>1919</v>
      </c>
      <c r="LB12" t="s">
        <v>1919</v>
      </c>
      <c r="LC12" t="s">
        <v>1919</v>
      </c>
      <c r="LD12" t="s">
        <v>1919</v>
      </c>
      <c r="LE12" t="s">
        <v>1919</v>
      </c>
      <c r="LF12" t="s">
        <v>1919</v>
      </c>
      <c r="LG12" t="s">
        <v>1881</v>
      </c>
      <c r="LH12" t="s">
        <v>1881</v>
      </c>
      <c r="LI12" t="s">
        <v>1881</v>
      </c>
      <c r="LJ12" t="s">
        <v>1919</v>
      </c>
      <c r="LK12" t="s">
        <v>1881</v>
      </c>
      <c r="LL12" t="s">
        <v>1881</v>
      </c>
      <c r="LM12" t="s">
        <v>1919</v>
      </c>
      <c r="LN12" t="s">
        <v>1919</v>
      </c>
      <c r="LO12" t="s">
        <v>1881</v>
      </c>
      <c r="LP12" t="s">
        <v>1881</v>
      </c>
      <c r="LQ12" t="s">
        <v>1881</v>
      </c>
      <c r="LR12" t="s">
        <v>1881</v>
      </c>
      <c r="LS12" t="s">
        <v>1919</v>
      </c>
      <c r="LT12" t="s">
        <v>1919</v>
      </c>
      <c r="LU12" t="s">
        <v>1919</v>
      </c>
      <c r="LV12" t="s">
        <v>1919</v>
      </c>
      <c r="LW12" t="s">
        <v>1881</v>
      </c>
      <c r="LX12" t="s">
        <v>1919</v>
      </c>
      <c r="LY12" t="s">
        <v>1919</v>
      </c>
      <c r="LZ12" t="s">
        <v>1919</v>
      </c>
      <c r="MA12" t="s">
        <v>1919</v>
      </c>
      <c r="MB12" t="s">
        <v>1919</v>
      </c>
      <c r="MC12" t="s">
        <v>1919</v>
      </c>
      <c r="MD12" t="s">
        <v>1881</v>
      </c>
      <c r="ME12" t="s">
        <v>1919</v>
      </c>
      <c r="MF12" t="s">
        <v>1919</v>
      </c>
      <c r="MG12" t="s">
        <v>1881</v>
      </c>
      <c r="MH12" t="s">
        <v>1881</v>
      </c>
      <c r="MI12" t="s">
        <v>1881</v>
      </c>
      <c r="MJ12" t="s">
        <v>1919</v>
      </c>
      <c r="MK12" t="s">
        <v>1919</v>
      </c>
      <c r="ML12" t="s">
        <v>1919</v>
      </c>
      <c r="MM12" t="s">
        <v>1919</v>
      </c>
      <c r="MN12" t="s">
        <v>1919</v>
      </c>
      <c r="MO12" t="s">
        <v>1919</v>
      </c>
      <c r="MP12" t="s">
        <v>1919</v>
      </c>
      <c r="MQ12" t="s">
        <v>1919</v>
      </c>
      <c r="MR12" t="s">
        <v>1919</v>
      </c>
      <c r="MS12" t="s">
        <v>1919</v>
      </c>
      <c r="MT12" t="s">
        <v>1919</v>
      </c>
      <c r="MU12" t="s">
        <v>1919</v>
      </c>
      <c r="MV12" t="s">
        <v>1919</v>
      </c>
      <c r="MW12" t="s">
        <v>1919</v>
      </c>
      <c r="MX12" t="s">
        <v>1881</v>
      </c>
      <c r="MY12" t="s">
        <v>1919</v>
      </c>
      <c r="MZ12" t="s">
        <v>1881</v>
      </c>
      <c r="NA12" t="s">
        <v>1919</v>
      </c>
      <c r="NB12" t="s">
        <v>1919</v>
      </c>
      <c r="NC12" t="s">
        <v>1919</v>
      </c>
      <c r="ND12" t="s">
        <v>1919</v>
      </c>
      <c r="NG12" t="s">
        <v>1919</v>
      </c>
      <c r="NH12" t="s">
        <v>1919</v>
      </c>
      <c r="NI12" t="s">
        <v>1919</v>
      </c>
      <c r="NJ12" t="s">
        <v>1919</v>
      </c>
      <c r="NK12" t="s">
        <v>1919</v>
      </c>
      <c r="NL12" t="s">
        <v>1919</v>
      </c>
      <c r="NM12" t="s">
        <v>1919</v>
      </c>
      <c r="NN12" t="s">
        <v>1881</v>
      </c>
      <c r="NO12" t="s">
        <v>1920</v>
      </c>
      <c r="NP12" t="s">
        <v>1921</v>
      </c>
      <c r="NR12" t="s">
        <v>1468</v>
      </c>
      <c r="NS12" t="s">
        <v>1922</v>
      </c>
      <c r="NU12" t="s">
        <v>1923</v>
      </c>
      <c r="NV12" t="s">
        <v>1924</v>
      </c>
      <c r="NX12" t="s">
        <v>1925</v>
      </c>
      <c r="NY12" t="s">
        <v>1840</v>
      </c>
    </row>
    <row r="13" spans="1:389" ht="15" customHeight="1" x14ac:dyDescent="0.25">
      <c r="A13" t="s">
        <v>1889</v>
      </c>
      <c r="B13" t="s">
        <v>1926</v>
      </c>
      <c r="C13" t="s">
        <v>1850</v>
      </c>
      <c r="D13" t="s">
        <v>1469</v>
      </c>
      <c r="G13" t="s">
        <v>1889</v>
      </c>
      <c r="H13" t="s">
        <v>1927</v>
      </c>
      <c r="I13" t="s">
        <v>1927</v>
      </c>
      <c r="J13" t="s">
        <v>1927</v>
      </c>
      <c r="K13" t="s">
        <v>1889</v>
      </c>
      <c r="L13" t="s">
        <v>1889</v>
      </c>
      <c r="M13" t="s">
        <v>1889</v>
      </c>
      <c r="N13" t="s">
        <v>1889</v>
      </c>
      <c r="O13" t="s">
        <v>1927</v>
      </c>
      <c r="P13" t="s">
        <v>1889</v>
      </c>
      <c r="Q13" t="s">
        <v>1927</v>
      </c>
      <c r="R13" t="s">
        <v>1889</v>
      </c>
      <c r="S13" t="s">
        <v>1889</v>
      </c>
      <c r="T13" t="s">
        <v>1927</v>
      </c>
      <c r="U13" t="s">
        <v>1927</v>
      </c>
      <c r="V13" t="s">
        <v>1927</v>
      </c>
      <c r="W13" t="s">
        <v>1927</v>
      </c>
      <c r="X13" t="s">
        <v>1927</v>
      </c>
      <c r="Y13" t="s">
        <v>1927</v>
      </c>
      <c r="AA13" t="s">
        <v>1927</v>
      </c>
      <c r="AB13" t="s">
        <v>1927</v>
      </c>
      <c r="AC13" t="s">
        <v>1927</v>
      </c>
      <c r="AD13" t="s">
        <v>1927</v>
      </c>
      <c r="AE13" t="s">
        <v>1927</v>
      </c>
      <c r="AF13" t="s">
        <v>1927</v>
      </c>
      <c r="AG13" t="s">
        <v>1927</v>
      </c>
      <c r="AH13" t="s">
        <v>1889</v>
      </c>
      <c r="AI13" t="s">
        <v>1927</v>
      </c>
      <c r="AJ13" t="s">
        <v>1927</v>
      </c>
      <c r="AK13" t="s">
        <v>1927</v>
      </c>
      <c r="AL13" t="s">
        <v>1927</v>
      </c>
      <c r="AM13" t="s">
        <v>1889</v>
      </c>
      <c r="AN13" t="s">
        <v>1927</v>
      </c>
      <c r="AO13" t="s">
        <v>1889</v>
      </c>
      <c r="AP13" t="s">
        <v>1889</v>
      </c>
      <c r="AQ13" t="s">
        <v>1889</v>
      </c>
      <c r="AR13" t="s">
        <v>1889</v>
      </c>
      <c r="AS13" t="s">
        <v>1927</v>
      </c>
      <c r="AT13" t="s">
        <v>1927</v>
      </c>
      <c r="AU13" t="s">
        <v>1927</v>
      </c>
      <c r="AV13" t="s">
        <v>1927</v>
      </c>
      <c r="AW13" t="s">
        <v>1927</v>
      </c>
      <c r="AX13" t="s">
        <v>1927</v>
      </c>
      <c r="AY13" t="s">
        <v>1927</v>
      </c>
      <c r="AZ13" t="s">
        <v>1927</v>
      </c>
      <c r="BA13" t="s">
        <v>1927</v>
      </c>
      <c r="BB13" t="s">
        <v>1927</v>
      </c>
      <c r="BC13" t="s">
        <v>1927</v>
      </c>
      <c r="BD13" t="s">
        <v>1927</v>
      </c>
      <c r="BE13" t="s">
        <v>1927</v>
      </c>
      <c r="BF13" t="s">
        <v>1927</v>
      </c>
      <c r="BG13" t="s">
        <v>1927</v>
      </c>
      <c r="BH13" t="s">
        <v>1927</v>
      </c>
      <c r="BI13" t="s">
        <v>1927</v>
      </c>
      <c r="BJ13" t="s">
        <v>1927</v>
      </c>
      <c r="BK13" t="s">
        <v>1927</v>
      </c>
      <c r="BL13" t="s">
        <v>1927</v>
      </c>
      <c r="BM13" t="s">
        <v>1927</v>
      </c>
      <c r="BN13" t="s">
        <v>1927</v>
      </c>
      <c r="BO13" t="s">
        <v>1927</v>
      </c>
      <c r="BP13" t="s">
        <v>1927</v>
      </c>
      <c r="BQ13" t="s">
        <v>1927</v>
      </c>
      <c r="BR13" t="s">
        <v>1927</v>
      </c>
      <c r="BS13" t="s">
        <v>1927</v>
      </c>
      <c r="BT13" t="s">
        <v>1927</v>
      </c>
      <c r="BU13" t="s">
        <v>1927</v>
      </c>
      <c r="BV13" t="s">
        <v>1927</v>
      </c>
      <c r="BW13" t="s">
        <v>1927</v>
      </c>
      <c r="BX13" t="s">
        <v>1927</v>
      </c>
      <c r="BY13" t="s">
        <v>1927</v>
      </c>
      <c r="BZ13" t="s">
        <v>1889</v>
      </c>
      <c r="CA13" t="s">
        <v>1889</v>
      </c>
      <c r="CB13" t="s">
        <v>1927</v>
      </c>
      <c r="CC13" t="s">
        <v>1927</v>
      </c>
      <c r="CD13" t="s">
        <v>1927</v>
      </c>
      <c r="CE13" t="s">
        <v>1889</v>
      </c>
      <c r="CF13" t="s">
        <v>1927</v>
      </c>
      <c r="CG13" t="s">
        <v>1927</v>
      </c>
      <c r="CH13" t="s">
        <v>1927</v>
      </c>
      <c r="CI13" t="s">
        <v>1927</v>
      </c>
      <c r="CJ13" t="s">
        <v>1927</v>
      </c>
      <c r="CK13" t="s">
        <v>1889</v>
      </c>
      <c r="CL13" t="s">
        <v>1889</v>
      </c>
      <c r="CM13" t="s">
        <v>1889</v>
      </c>
      <c r="CN13" t="s">
        <v>1889</v>
      </c>
      <c r="CO13" t="s">
        <v>1889</v>
      </c>
      <c r="CP13" t="s">
        <v>1889</v>
      </c>
      <c r="CQ13" t="s">
        <v>1889</v>
      </c>
      <c r="CR13" t="s">
        <v>1889</v>
      </c>
      <c r="CS13" t="s">
        <v>1927</v>
      </c>
      <c r="CT13" t="s">
        <v>1927</v>
      </c>
      <c r="CU13" t="s">
        <v>1889</v>
      </c>
      <c r="CV13" t="s">
        <v>1927</v>
      </c>
      <c r="CW13" t="s">
        <v>1927</v>
      </c>
      <c r="CX13" t="s">
        <v>1927</v>
      </c>
      <c r="CY13" t="s">
        <v>1927</v>
      </c>
      <c r="CZ13" t="s">
        <v>1889</v>
      </c>
      <c r="DA13" t="s">
        <v>1889</v>
      </c>
      <c r="DB13" t="s">
        <v>1889</v>
      </c>
      <c r="DC13" t="s">
        <v>1889</v>
      </c>
      <c r="DD13" t="s">
        <v>1927</v>
      </c>
      <c r="DE13" t="s">
        <v>1927</v>
      </c>
      <c r="DF13" t="s">
        <v>1927</v>
      </c>
      <c r="DG13" t="s">
        <v>1927</v>
      </c>
      <c r="DH13" t="s">
        <v>1927</v>
      </c>
      <c r="DI13" t="s">
        <v>1927</v>
      </c>
      <c r="DJ13" t="s">
        <v>1889</v>
      </c>
      <c r="DK13" t="s">
        <v>1889</v>
      </c>
      <c r="DL13" t="s">
        <v>1927</v>
      </c>
      <c r="DM13" t="s">
        <v>1927</v>
      </c>
      <c r="DN13" t="s">
        <v>1927</v>
      </c>
      <c r="DO13" t="s">
        <v>1889</v>
      </c>
      <c r="DP13" t="s">
        <v>1889</v>
      </c>
      <c r="DQ13" t="s">
        <v>1889</v>
      </c>
      <c r="DR13" t="s">
        <v>1889</v>
      </c>
      <c r="DS13" t="s">
        <v>1927</v>
      </c>
      <c r="DT13" t="s">
        <v>1889</v>
      </c>
      <c r="DU13" t="s">
        <v>1889</v>
      </c>
      <c r="DV13" t="s">
        <v>1889</v>
      </c>
      <c r="DW13" t="s">
        <v>1927</v>
      </c>
      <c r="DX13" t="s">
        <v>1927</v>
      </c>
      <c r="DY13" t="s">
        <v>1927</v>
      </c>
      <c r="DZ13" t="s">
        <v>1927</v>
      </c>
      <c r="EA13" t="s">
        <v>1889</v>
      </c>
      <c r="EB13" t="s">
        <v>1889</v>
      </c>
      <c r="EC13" t="s">
        <v>1889</v>
      </c>
      <c r="ED13" t="s">
        <v>1927</v>
      </c>
      <c r="EE13" t="s">
        <v>1927</v>
      </c>
      <c r="EF13" t="s">
        <v>1927</v>
      </c>
      <c r="EG13" t="s">
        <v>1889</v>
      </c>
      <c r="EH13" t="s">
        <v>1889</v>
      </c>
      <c r="EI13" t="s">
        <v>1889</v>
      </c>
      <c r="EJ13" t="s">
        <v>1889</v>
      </c>
      <c r="EK13" t="s">
        <v>1889</v>
      </c>
      <c r="EL13" t="s">
        <v>1889</v>
      </c>
      <c r="EM13" t="s">
        <v>1927</v>
      </c>
      <c r="EN13" t="s">
        <v>1927</v>
      </c>
      <c r="EO13" t="s">
        <v>1927</v>
      </c>
      <c r="ET13" t="s">
        <v>1927</v>
      </c>
      <c r="EU13" t="s">
        <v>1927</v>
      </c>
      <c r="EV13" t="s">
        <v>1927</v>
      </c>
      <c r="EW13" t="s">
        <v>1927</v>
      </c>
      <c r="EX13" t="s">
        <v>1927</v>
      </c>
      <c r="EY13" t="s">
        <v>1889</v>
      </c>
      <c r="EZ13" t="s">
        <v>1927</v>
      </c>
      <c r="FA13" t="s">
        <v>1889</v>
      </c>
      <c r="FB13" t="s">
        <v>1889</v>
      </c>
      <c r="FC13" t="s">
        <v>1889</v>
      </c>
      <c r="FD13" t="s">
        <v>1927</v>
      </c>
      <c r="FE13" t="s">
        <v>1927</v>
      </c>
      <c r="FF13" t="s">
        <v>1889</v>
      </c>
      <c r="FG13" t="s">
        <v>1889</v>
      </c>
      <c r="FH13" t="s">
        <v>1889</v>
      </c>
      <c r="FI13" t="s">
        <v>1889</v>
      </c>
      <c r="FJ13" t="s">
        <v>1927</v>
      </c>
      <c r="FK13" t="s">
        <v>1927</v>
      </c>
      <c r="FL13" t="s">
        <v>1927</v>
      </c>
      <c r="FM13" t="s">
        <v>1927</v>
      </c>
      <c r="FN13" t="s">
        <v>1927</v>
      </c>
      <c r="FO13" t="s">
        <v>1927</v>
      </c>
      <c r="FP13" t="s">
        <v>1927</v>
      </c>
      <c r="FQ13" t="s">
        <v>1927</v>
      </c>
      <c r="FR13" t="s">
        <v>1927</v>
      </c>
      <c r="FS13" t="s">
        <v>1927</v>
      </c>
      <c r="FT13" t="s">
        <v>1927</v>
      </c>
      <c r="FU13" t="s">
        <v>1927</v>
      </c>
      <c r="FV13" t="s">
        <v>1927</v>
      </c>
      <c r="FW13" t="s">
        <v>1927</v>
      </c>
      <c r="FX13" t="s">
        <v>1927</v>
      </c>
      <c r="FY13" t="s">
        <v>1889</v>
      </c>
      <c r="FZ13" t="s">
        <v>1889</v>
      </c>
      <c r="GA13" t="s">
        <v>1889</v>
      </c>
      <c r="GB13" t="s">
        <v>1927</v>
      </c>
      <c r="GC13" t="s">
        <v>1927</v>
      </c>
      <c r="GD13" t="s">
        <v>1927</v>
      </c>
      <c r="GE13" t="s">
        <v>1927</v>
      </c>
      <c r="GF13" t="s">
        <v>1927</v>
      </c>
      <c r="GG13" t="s">
        <v>1927</v>
      </c>
      <c r="GH13" t="s">
        <v>1927</v>
      </c>
      <c r="GI13" t="s">
        <v>1927</v>
      </c>
      <c r="GJ13" t="s">
        <v>1927</v>
      </c>
      <c r="GK13" t="s">
        <v>1927</v>
      </c>
      <c r="GL13" t="s">
        <v>1927</v>
      </c>
      <c r="GM13" t="s">
        <v>1927</v>
      </c>
      <c r="GN13" t="s">
        <v>1927</v>
      </c>
      <c r="GO13" t="s">
        <v>1927</v>
      </c>
      <c r="GP13" t="s">
        <v>1927</v>
      </c>
      <c r="GQ13" t="s">
        <v>1927</v>
      </c>
      <c r="GR13" t="s">
        <v>1927</v>
      </c>
      <c r="GS13" t="s">
        <v>1927</v>
      </c>
      <c r="GT13" t="s">
        <v>1927</v>
      </c>
      <c r="GU13" t="s">
        <v>1927</v>
      </c>
      <c r="GV13" t="s">
        <v>1927</v>
      </c>
      <c r="GW13" t="s">
        <v>1927</v>
      </c>
      <c r="GX13" t="s">
        <v>1927</v>
      </c>
      <c r="GY13" t="s">
        <v>1927</v>
      </c>
      <c r="GZ13" t="s">
        <v>1927</v>
      </c>
      <c r="HA13" t="s">
        <v>1927</v>
      </c>
      <c r="HB13" t="s">
        <v>1927</v>
      </c>
      <c r="HC13" t="s">
        <v>1927</v>
      </c>
      <c r="HD13" t="s">
        <v>1889</v>
      </c>
      <c r="HE13" t="s">
        <v>1927</v>
      </c>
      <c r="HF13" t="s">
        <v>1889</v>
      </c>
      <c r="HG13" t="s">
        <v>1927</v>
      </c>
      <c r="HH13" t="s">
        <v>1927</v>
      </c>
      <c r="HI13" t="s">
        <v>1927</v>
      </c>
      <c r="HJ13" t="s">
        <v>1927</v>
      </c>
      <c r="HK13" t="s">
        <v>1927</v>
      </c>
      <c r="HL13" t="s">
        <v>1927</v>
      </c>
      <c r="HM13" t="s">
        <v>1927</v>
      </c>
      <c r="HN13" t="s">
        <v>1927</v>
      </c>
      <c r="HO13" t="s">
        <v>1889</v>
      </c>
      <c r="HP13" t="s">
        <v>1927</v>
      </c>
      <c r="HQ13" t="s">
        <v>1889</v>
      </c>
      <c r="HR13" t="s">
        <v>1889</v>
      </c>
      <c r="HS13" t="s">
        <v>1889</v>
      </c>
      <c r="HT13" t="s">
        <v>1927</v>
      </c>
      <c r="HU13" t="s">
        <v>1927</v>
      </c>
      <c r="HV13" t="s">
        <v>1927</v>
      </c>
      <c r="HW13" t="s">
        <v>1927</v>
      </c>
      <c r="HX13" t="s">
        <v>1927</v>
      </c>
      <c r="HY13" t="s">
        <v>1927</v>
      </c>
      <c r="HZ13" t="s">
        <v>1927</v>
      </c>
      <c r="IA13" t="s">
        <v>1927</v>
      </c>
      <c r="IB13" t="s">
        <v>1927</v>
      </c>
      <c r="IC13" t="s">
        <v>1927</v>
      </c>
      <c r="ID13" t="s">
        <v>1927</v>
      </c>
      <c r="IE13" t="s">
        <v>1927</v>
      </c>
      <c r="IF13" t="s">
        <v>1889</v>
      </c>
      <c r="IG13" t="s">
        <v>1889</v>
      </c>
      <c r="IH13" t="s">
        <v>1889</v>
      </c>
      <c r="II13" t="s">
        <v>1889</v>
      </c>
      <c r="IJ13" t="s">
        <v>1889</v>
      </c>
      <c r="IK13" t="s">
        <v>1927</v>
      </c>
      <c r="IL13" t="s">
        <v>1927</v>
      </c>
      <c r="IM13" t="s">
        <v>1927</v>
      </c>
      <c r="IN13" t="s">
        <v>1927</v>
      </c>
      <c r="IO13" t="s">
        <v>1889</v>
      </c>
      <c r="IP13" t="s">
        <v>1927</v>
      </c>
      <c r="IQ13" t="s">
        <v>1927</v>
      </c>
      <c r="IR13" t="s">
        <v>1927</v>
      </c>
      <c r="IS13" t="s">
        <v>1927</v>
      </c>
      <c r="IT13" t="s">
        <v>1927</v>
      </c>
      <c r="IU13" t="s">
        <v>1927</v>
      </c>
      <c r="IV13" t="s">
        <v>1927</v>
      </c>
      <c r="IW13" t="s">
        <v>1927</v>
      </c>
      <c r="IX13" t="s">
        <v>1927</v>
      </c>
      <c r="IY13" t="s">
        <v>1927</v>
      </c>
      <c r="IZ13" t="s">
        <v>1927</v>
      </c>
      <c r="JA13" t="s">
        <v>1927</v>
      </c>
      <c r="JB13" t="s">
        <v>1889</v>
      </c>
      <c r="JC13" t="s">
        <v>1927</v>
      </c>
      <c r="JD13" t="s">
        <v>1927</v>
      </c>
      <c r="JE13" t="s">
        <v>1927</v>
      </c>
      <c r="JF13" t="s">
        <v>1927</v>
      </c>
      <c r="JG13" t="s">
        <v>1927</v>
      </c>
      <c r="JH13" t="s">
        <v>1927</v>
      </c>
      <c r="JI13" t="s">
        <v>1927</v>
      </c>
      <c r="JJ13" t="s">
        <v>1927</v>
      </c>
      <c r="JK13" t="s">
        <v>1927</v>
      </c>
      <c r="JL13" t="s">
        <v>1889</v>
      </c>
      <c r="JM13" t="s">
        <v>1927</v>
      </c>
      <c r="JN13" t="s">
        <v>1927</v>
      </c>
      <c r="JO13" t="s">
        <v>1927</v>
      </c>
      <c r="JP13" t="s">
        <v>1927</v>
      </c>
      <c r="JQ13" t="s">
        <v>1927</v>
      </c>
      <c r="JR13" t="s">
        <v>1927</v>
      </c>
      <c r="JS13" t="s">
        <v>1927</v>
      </c>
      <c r="JT13" t="s">
        <v>1889</v>
      </c>
      <c r="JU13" t="s">
        <v>1927</v>
      </c>
      <c r="JV13" t="s">
        <v>1889</v>
      </c>
      <c r="JW13" t="s">
        <v>1927</v>
      </c>
      <c r="JX13" t="s">
        <v>1927</v>
      </c>
      <c r="JY13" t="s">
        <v>1927</v>
      </c>
      <c r="JZ13" t="s">
        <v>1889</v>
      </c>
      <c r="KA13" t="s">
        <v>1927</v>
      </c>
      <c r="KB13" t="s">
        <v>1927</v>
      </c>
      <c r="KC13" t="s">
        <v>1927</v>
      </c>
      <c r="KD13" t="s">
        <v>1927</v>
      </c>
      <c r="KE13" t="s">
        <v>1927</v>
      </c>
      <c r="KF13" t="s">
        <v>1927</v>
      </c>
      <c r="KG13" t="s">
        <v>1927</v>
      </c>
      <c r="KH13" t="s">
        <v>1927</v>
      </c>
      <c r="KI13" t="s">
        <v>1927</v>
      </c>
      <c r="KJ13" t="s">
        <v>1927</v>
      </c>
      <c r="KK13" t="s">
        <v>1927</v>
      </c>
      <c r="KL13" t="s">
        <v>1927</v>
      </c>
      <c r="KM13" t="s">
        <v>1927</v>
      </c>
      <c r="KN13" t="s">
        <v>1889</v>
      </c>
      <c r="KO13" t="s">
        <v>1927</v>
      </c>
      <c r="KP13" t="s">
        <v>1927</v>
      </c>
      <c r="KQ13" t="s">
        <v>1927</v>
      </c>
      <c r="KR13" t="s">
        <v>1927</v>
      </c>
      <c r="KS13" t="s">
        <v>1927</v>
      </c>
      <c r="KT13" t="s">
        <v>1927</v>
      </c>
      <c r="KU13" t="s">
        <v>1927</v>
      </c>
      <c r="KV13" t="s">
        <v>1927</v>
      </c>
      <c r="KW13" t="s">
        <v>1927</v>
      </c>
      <c r="KX13" t="s">
        <v>1927</v>
      </c>
      <c r="KY13" t="s">
        <v>1927</v>
      </c>
      <c r="KZ13" t="s">
        <v>1927</v>
      </c>
      <c r="LA13" t="s">
        <v>1927</v>
      </c>
      <c r="LB13" t="s">
        <v>1927</v>
      </c>
      <c r="LC13" t="s">
        <v>1927</v>
      </c>
      <c r="LD13" t="s">
        <v>1927</v>
      </c>
      <c r="LE13" t="s">
        <v>1927</v>
      </c>
      <c r="LF13" t="s">
        <v>1927</v>
      </c>
      <c r="LG13" t="s">
        <v>1889</v>
      </c>
      <c r="LH13" t="s">
        <v>1889</v>
      </c>
      <c r="LI13" t="s">
        <v>1889</v>
      </c>
      <c r="LJ13" t="s">
        <v>1927</v>
      </c>
      <c r="LK13" t="s">
        <v>1889</v>
      </c>
      <c r="LL13" t="s">
        <v>1889</v>
      </c>
      <c r="LM13" t="s">
        <v>1927</v>
      </c>
      <c r="LN13" t="s">
        <v>1927</v>
      </c>
      <c r="LO13" t="s">
        <v>1889</v>
      </c>
      <c r="LP13" t="s">
        <v>1889</v>
      </c>
      <c r="LQ13" t="s">
        <v>1889</v>
      </c>
      <c r="LR13" t="s">
        <v>1889</v>
      </c>
      <c r="LS13" t="s">
        <v>1927</v>
      </c>
      <c r="LT13" t="s">
        <v>1927</v>
      </c>
      <c r="LU13" t="s">
        <v>1927</v>
      </c>
      <c r="LV13" t="s">
        <v>1927</v>
      </c>
      <c r="LW13" t="s">
        <v>1889</v>
      </c>
      <c r="LX13" t="s">
        <v>1927</v>
      </c>
      <c r="LY13" t="s">
        <v>1927</v>
      </c>
      <c r="LZ13" t="s">
        <v>1927</v>
      </c>
      <c r="MA13" t="s">
        <v>1927</v>
      </c>
      <c r="MB13" t="s">
        <v>1927</v>
      </c>
      <c r="MC13" t="s">
        <v>1927</v>
      </c>
      <c r="MD13" t="s">
        <v>1889</v>
      </c>
      <c r="ME13" t="s">
        <v>1927</v>
      </c>
      <c r="MF13" t="s">
        <v>1927</v>
      </c>
      <c r="MG13" t="s">
        <v>1889</v>
      </c>
      <c r="MH13" t="s">
        <v>1889</v>
      </c>
      <c r="MI13" t="s">
        <v>1889</v>
      </c>
      <c r="MJ13" t="s">
        <v>1927</v>
      </c>
      <c r="MK13" t="s">
        <v>1927</v>
      </c>
      <c r="ML13" t="s">
        <v>1927</v>
      </c>
      <c r="MM13" t="s">
        <v>1927</v>
      </c>
      <c r="MN13" t="s">
        <v>1927</v>
      </c>
      <c r="MO13" t="s">
        <v>1927</v>
      </c>
      <c r="MP13" t="s">
        <v>1927</v>
      </c>
      <c r="MQ13" t="s">
        <v>1927</v>
      </c>
      <c r="MR13" t="s">
        <v>1927</v>
      </c>
      <c r="MS13" t="s">
        <v>1927</v>
      </c>
      <c r="MT13" t="s">
        <v>1927</v>
      </c>
      <c r="MU13" t="s">
        <v>1927</v>
      </c>
      <c r="MV13" t="s">
        <v>1927</v>
      </c>
      <c r="MW13" t="s">
        <v>1927</v>
      </c>
      <c r="MX13" t="s">
        <v>1889</v>
      </c>
      <c r="MY13" t="s">
        <v>1927</v>
      </c>
      <c r="MZ13" t="s">
        <v>1889</v>
      </c>
      <c r="NA13" t="s">
        <v>1927</v>
      </c>
      <c r="NB13" t="s">
        <v>1927</v>
      </c>
      <c r="NC13" t="s">
        <v>1927</v>
      </c>
      <c r="ND13" t="s">
        <v>1927</v>
      </c>
      <c r="NG13" t="s">
        <v>1927</v>
      </c>
      <c r="NH13" t="s">
        <v>1927</v>
      </c>
      <c r="NI13" t="s">
        <v>1927</v>
      </c>
      <c r="NJ13" t="s">
        <v>1927</v>
      </c>
      <c r="NK13" t="s">
        <v>1927</v>
      </c>
      <c r="NL13" t="s">
        <v>1927</v>
      </c>
      <c r="NM13" t="s">
        <v>1927</v>
      </c>
      <c r="NN13" t="s">
        <v>1889</v>
      </c>
      <c r="NO13" t="s">
        <v>1928</v>
      </c>
      <c r="NP13" t="s">
        <v>1929</v>
      </c>
      <c r="NR13" t="s">
        <v>1469</v>
      </c>
      <c r="NS13" t="s">
        <v>1930</v>
      </c>
      <c r="NU13" t="s">
        <v>1851</v>
      </c>
      <c r="NV13" t="s">
        <v>1931</v>
      </c>
      <c r="NX13" t="s">
        <v>1932</v>
      </c>
      <c r="NY13" t="s">
        <v>1840</v>
      </c>
    </row>
    <row r="14" spans="1:389" ht="15" customHeight="1" x14ac:dyDescent="0.25">
      <c r="A14" t="s">
        <v>1897</v>
      </c>
      <c r="B14" t="s">
        <v>1893</v>
      </c>
      <c r="C14" t="s">
        <v>1850</v>
      </c>
      <c r="D14" t="s">
        <v>1470</v>
      </c>
      <c r="G14" t="s">
        <v>1897</v>
      </c>
      <c r="H14" t="s">
        <v>1933</v>
      </c>
      <c r="I14" t="s">
        <v>1933</v>
      </c>
      <c r="J14" t="s">
        <v>1933</v>
      </c>
      <c r="K14" t="s">
        <v>1897</v>
      </c>
      <c r="L14" t="s">
        <v>1897</v>
      </c>
      <c r="M14" t="s">
        <v>1897</v>
      </c>
      <c r="N14" t="s">
        <v>1897</v>
      </c>
      <c r="O14" t="s">
        <v>1933</v>
      </c>
      <c r="P14" t="s">
        <v>1897</v>
      </c>
      <c r="Q14" t="s">
        <v>1933</v>
      </c>
      <c r="R14" t="s">
        <v>1897</v>
      </c>
      <c r="S14" t="s">
        <v>1897</v>
      </c>
      <c r="T14" t="s">
        <v>1933</v>
      </c>
      <c r="U14" t="s">
        <v>1933</v>
      </c>
      <c r="V14" t="s">
        <v>1933</v>
      </c>
      <c r="W14" t="s">
        <v>1933</v>
      </c>
      <c r="X14" t="s">
        <v>1933</v>
      </c>
      <c r="Y14" t="s">
        <v>1933</v>
      </c>
      <c r="AA14" t="s">
        <v>1933</v>
      </c>
      <c r="AB14" t="s">
        <v>1933</v>
      </c>
      <c r="AC14" t="s">
        <v>1933</v>
      </c>
      <c r="AD14" t="s">
        <v>1933</v>
      </c>
      <c r="AE14" t="s">
        <v>1933</v>
      </c>
      <c r="AF14" t="s">
        <v>1933</v>
      </c>
      <c r="AG14" t="s">
        <v>1933</v>
      </c>
      <c r="AH14" t="s">
        <v>1897</v>
      </c>
      <c r="AI14" t="s">
        <v>1933</v>
      </c>
      <c r="AJ14" t="s">
        <v>1933</v>
      </c>
      <c r="AK14" t="s">
        <v>1933</v>
      </c>
      <c r="AL14" t="s">
        <v>1933</v>
      </c>
      <c r="AM14" t="s">
        <v>1897</v>
      </c>
      <c r="AN14" t="s">
        <v>1933</v>
      </c>
      <c r="AO14" t="s">
        <v>1897</v>
      </c>
      <c r="AP14" t="s">
        <v>1897</v>
      </c>
      <c r="AQ14" t="s">
        <v>1897</v>
      </c>
      <c r="AR14" t="s">
        <v>1897</v>
      </c>
      <c r="AS14" t="s">
        <v>1933</v>
      </c>
      <c r="AT14" t="s">
        <v>1933</v>
      </c>
      <c r="AU14" t="s">
        <v>1933</v>
      </c>
      <c r="AV14" t="s">
        <v>1933</v>
      </c>
      <c r="AW14" t="s">
        <v>1933</v>
      </c>
      <c r="AX14" t="s">
        <v>1933</v>
      </c>
      <c r="AY14" t="s">
        <v>1933</v>
      </c>
      <c r="AZ14" t="s">
        <v>1933</v>
      </c>
      <c r="BA14" t="s">
        <v>1933</v>
      </c>
      <c r="BB14" t="s">
        <v>1933</v>
      </c>
      <c r="BC14" t="s">
        <v>1933</v>
      </c>
      <c r="BD14" t="s">
        <v>1933</v>
      </c>
      <c r="BE14" t="s">
        <v>1933</v>
      </c>
      <c r="BF14" t="s">
        <v>1933</v>
      </c>
      <c r="BG14" t="s">
        <v>1933</v>
      </c>
      <c r="BH14" t="s">
        <v>1933</v>
      </c>
      <c r="BI14" t="s">
        <v>1933</v>
      </c>
      <c r="BJ14" t="s">
        <v>1933</v>
      </c>
      <c r="BK14" t="s">
        <v>1933</v>
      </c>
      <c r="BL14" t="s">
        <v>1933</v>
      </c>
      <c r="BM14" t="s">
        <v>1933</v>
      </c>
      <c r="BN14" t="s">
        <v>1933</v>
      </c>
      <c r="BO14" t="s">
        <v>1933</v>
      </c>
      <c r="BP14" t="s">
        <v>1933</v>
      </c>
      <c r="BQ14" t="s">
        <v>1933</v>
      </c>
      <c r="BR14" t="s">
        <v>1933</v>
      </c>
      <c r="BS14" t="s">
        <v>1933</v>
      </c>
      <c r="BT14" t="s">
        <v>1933</v>
      </c>
      <c r="BU14" t="s">
        <v>1933</v>
      </c>
      <c r="BV14" t="s">
        <v>1933</v>
      </c>
      <c r="BW14" t="s">
        <v>1933</v>
      </c>
      <c r="BX14" t="s">
        <v>1933</v>
      </c>
      <c r="BY14" t="s">
        <v>1933</v>
      </c>
      <c r="BZ14" t="s">
        <v>1897</v>
      </c>
      <c r="CA14" t="s">
        <v>1897</v>
      </c>
      <c r="CB14" t="s">
        <v>1933</v>
      </c>
      <c r="CC14" t="s">
        <v>1933</v>
      </c>
      <c r="CD14" t="s">
        <v>1933</v>
      </c>
      <c r="CE14" t="s">
        <v>1897</v>
      </c>
      <c r="CF14" t="s">
        <v>1933</v>
      </c>
      <c r="CG14" t="s">
        <v>1933</v>
      </c>
      <c r="CH14" t="s">
        <v>1933</v>
      </c>
      <c r="CI14" t="s">
        <v>1933</v>
      </c>
      <c r="CJ14" t="s">
        <v>1933</v>
      </c>
      <c r="CK14" t="s">
        <v>1897</v>
      </c>
      <c r="CL14" t="s">
        <v>1897</v>
      </c>
      <c r="CM14" t="s">
        <v>1897</v>
      </c>
      <c r="CN14" t="s">
        <v>1897</v>
      </c>
      <c r="CO14" t="s">
        <v>1897</v>
      </c>
      <c r="CP14" t="s">
        <v>1897</v>
      </c>
      <c r="CQ14" t="s">
        <v>1897</v>
      </c>
      <c r="CR14" t="s">
        <v>1897</v>
      </c>
      <c r="CS14" t="s">
        <v>1933</v>
      </c>
      <c r="CT14" t="s">
        <v>1933</v>
      </c>
      <c r="CU14" t="s">
        <v>1897</v>
      </c>
      <c r="CV14" t="s">
        <v>1933</v>
      </c>
      <c r="CW14" t="s">
        <v>1933</v>
      </c>
      <c r="CX14" t="s">
        <v>1933</v>
      </c>
      <c r="CY14" t="s">
        <v>1933</v>
      </c>
      <c r="CZ14" t="s">
        <v>1897</v>
      </c>
      <c r="DA14" t="s">
        <v>1897</v>
      </c>
      <c r="DB14" t="s">
        <v>1897</v>
      </c>
      <c r="DC14" t="s">
        <v>1897</v>
      </c>
      <c r="DD14" t="s">
        <v>1933</v>
      </c>
      <c r="DE14" t="s">
        <v>1933</v>
      </c>
      <c r="DF14" t="s">
        <v>1933</v>
      </c>
      <c r="DG14" t="s">
        <v>1933</v>
      </c>
      <c r="DH14" t="s">
        <v>1933</v>
      </c>
      <c r="DI14" t="s">
        <v>1933</v>
      </c>
      <c r="DJ14" t="s">
        <v>1897</v>
      </c>
      <c r="DK14" t="s">
        <v>1897</v>
      </c>
      <c r="DL14" t="s">
        <v>1933</v>
      </c>
      <c r="DM14" t="s">
        <v>1933</v>
      </c>
      <c r="DN14" t="s">
        <v>1933</v>
      </c>
      <c r="DO14" t="s">
        <v>1897</v>
      </c>
      <c r="DP14" t="s">
        <v>1897</v>
      </c>
      <c r="DQ14" t="s">
        <v>1897</v>
      </c>
      <c r="DR14" t="s">
        <v>1897</v>
      </c>
      <c r="DS14" t="s">
        <v>1933</v>
      </c>
      <c r="DT14" t="s">
        <v>1897</v>
      </c>
      <c r="DU14" t="s">
        <v>1897</v>
      </c>
      <c r="DV14" t="s">
        <v>1897</v>
      </c>
      <c r="DW14" t="s">
        <v>1933</v>
      </c>
      <c r="DX14" t="s">
        <v>1933</v>
      </c>
      <c r="DY14" t="s">
        <v>1933</v>
      </c>
      <c r="DZ14" t="s">
        <v>1933</v>
      </c>
      <c r="EA14" t="s">
        <v>1897</v>
      </c>
      <c r="EB14" t="s">
        <v>1897</v>
      </c>
      <c r="EC14" t="s">
        <v>1897</v>
      </c>
      <c r="ED14" t="s">
        <v>1933</v>
      </c>
      <c r="EE14" t="s">
        <v>1933</v>
      </c>
      <c r="EF14" t="s">
        <v>1933</v>
      </c>
      <c r="EG14" t="s">
        <v>1897</v>
      </c>
      <c r="EH14" t="s">
        <v>1897</v>
      </c>
      <c r="EI14" t="s">
        <v>1897</v>
      </c>
      <c r="EJ14" t="s">
        <v>1897</v>
      </c>
      <c r="EK14" t="s">
        <v>1897</v>
      </c>
      <c r="EL14" t="s">
        <v>1897</v>
      </c>
      <c r="EM14" t="s">
        <v>1933</v>
      </c>
      <c r="EN14" t="s">
        <v>1933</v>
      </c>
      <c r="EO14" t="s">
        <v>1933</v>
      </c>
      <c r="ET14" t="s">
        <v>1933</v>
      </c>
      <c r="EU14" t="s">
        <v>1933</v>
      </c>
      <c r="EV14" t="s">
        <v>1933</v>
      </c>
      <c r="EW14" t="s">
        <v>1933</v>
      </c>
      <c r="EX14" t="s">
        <v>1933</v>
      </c>
      <c r="EY14" t="s">
        <v>1897</v>
      </c>
      <c r="EZ14" t="s">
        <v>1933</v>
      </c>
      <c r="FA14" t="s">
        <v>1897</v>
      </c>
      <c r="FB14" t="s">
        <v>1897</v>
      </c>
      <c r="FC14" t="s">
        <v>1897</v>
      </c>
      <c r="FD14" t="s">
        <v>1933</v>
      </c>
      <c r="FE14" t="s">
        <v>1933</v>
      </c>
      <c r="FF14" t="s">
        <v>1897</v>
      </c>
      <c r="FG14" t="s">
        <v>1897</v>
      </c>
      <c r="FH14" t="s">
        <v>1897</v>
      </c>
      <c r="FI14" t="s">
        <v>1897</v>
      </c>
      <c r="FJ14" t="s">
        <v>1933</v>
      </c>
      <c r="FK14" t="s">
        <v>1933</v>
      </c>
      <c r="FL14" t="s">
        <v>1933</v>
      </c>
      <c r="FM14" t="s">
        <v>1933</v>
      </c>
      <c r="FN14" t="s">
        <v>1933</v>
      </c>
      <c r="FO14" t="s">
        <v>1933</v>
      </c>
      <c r="FP14" t="s">
        <v>1933</v>
      </c>
      <c r="FQ14" t="s">
        <v>1933</v>
      </c>
      <c r="FR14" t="s">
        <v>1933</v>
      </c>
      <c r="FS14" t="s">
        <v>1933</v>
      </c>
      <c r="FT14" t="s">
        <v>1933</v>
      </c>
      <c r="FU14" t="s">
        <v>1933</v>
      </c>
      <c r="FV14" t="s">
        <v>1933</v>
      </c>
      <c r="FW14" t="s">
        <v>1933</v>
      </c>
      <c r="FX14" t="s">
        <v>1933</v>
      </c>
      <c r="FY14" t="s">
        <v>1897</v>
      </c>
      <c r="FZ14" t="s">
        <v>1897</v>
      </c>
      <c r="GA14" t="s">
        <v>1897</v>
      </c>
      <c r="GB14" t="s">
        <v>1933</v>
      </c>
      <c r="GC14" t="s">
        <v>1933</v>
      </c>
      <c r="GD14" t="s">
        <v>1933</v>
      </c>
      <c r="GE14" t="s">
        <v>1933</v>
      </c>
      <c r="GF14" t="s">
        <v>1933</v>
      </c>
      <c r="GG14" t="s">
        <v>1933</v>
      </c>
      <c r="GH14" t="s">
        <v>1933</v>
      </c>
      <c r="GI14" t="s">
        <v>1933</v>
      </c>
      <c r="GJ14" t="s">
        <v>1933</v>
      </c>
      <c r="GK14" t="s">
        <v>1933</v>
      </c>
      <c r="GL14" t="s">
        <v>1933</v>
      </c>
      <c r="GM14" t="s">
        <v>1933</v>
      </c>
      <c r="GN14" t="s">
        <v>1933</v>
      </c>
      <c r="GO14" t="s">
        <v>1933</v>
      </c>
      <c r="GP14" t="s">
        <v>1933</v>
      </c>
      <c r="GQ14" t="s">
        <v>1933</v>
      </c>
      <c r="GR14" t="s">
        <v>1933</v>
      </c>
      <c r="GS14" t="s">
        <v>1933</v>
      </c>
      <c r="GT14" t="s">
        <v>1933</v>
      </c>
      <c r="GU14" t="s">
        <v>1933</v>
      </c>
      <c r="GV14" t="s">
        <v>1933</v>
      </c>
      <c r="GW14" t="s">
        <v>1933</v>
      </c>
      <c r="GX14" t="s">
        <v>1933</v>
      </c>
      <c r="GY14" t="s">
        <v>1933</v>
      </c>
      <c r="GZ14" t="s">
        <v>1933</v>
      </c>
      <c r="HA14" t="s">
        <v>1933</v>
      </c>
      <c r="HB14" t="s">
        <v>1933</v>
      </c>
      <c r="HC14" t="s">
        <v>1933</v>
      </c>
      <c r="HD14" t="s">
        <v>1897</v>
      </c>
      <c r="HE14" t="s">
        <v>1933</v>
      </c>
      <c r="HF14" t="s">
        <v>1897</v>
      </c>
      <c r="HG14" t="s">
        <v>1933</v>
      </c>
      <c r="HH14" t="s">
        <v>1933</v>
      </c>
      <c r="HI14" t="s">
        <v>1933</v>
      </c>
      <c r="HJ14" t="s">
        <v>1933</v>
      </c>
      <c r="HK14" t="s">
        <v>1933</v>
      </c>
      <c r="HL14" t="s">
        <v>1933</v>
      </c>
      <c r="HM14" t="s">
        <v>1933</v>
      </c>
      <c r="HN14" t="s">
        <v>1933</v>
      </c>
      <c r="HO14" t="s">
        <v>1897</v>
      </c>
      <c r="HP14" t="s">
        <v>1933</v>
      </c>
      <c r="HQ14" t="s">
        <v>1897</v>
      </c>
      <c r="HR14" t="s">
        <v>1897</v>
      </c>
      <c r="HS14" t="s">
        <v>1897</v>
      </c>
      <c r="HT14" t="s">
        <v>1933</v>
      </c>
      <c r="HU14" t="s">
        <v>1933</v>
      </c>
      <c r="HV14" t="s">
        <v>1933</v>
      </c>
      <c r="HW14" t="s">
        <v>1933</v>
      </c>
      <c r="HX14" t="s">
        <v>1933</v>
      </c>
      <c r="HY14" t="s">
        <v>1933</v>
      </c>
      <c r="HZ14" t="s">
        <v>1933</v>
      </c>
      <c r="IA14" t="s">
        <v>1933</v>
      </c>
      <c r="IB14" t="s">
        <v>1933</v>
      </c>
      <c r="IC14" t="s">
        <v>1933</v>
      </c>
      <c r="ID14" t="s">
        <v>1933</v>
      </c>
      <c r="IE14" t="s">
        <v>1933</v>
      </c>
      <c r="IF14" t="s">
        <v>1897</v>
      </c>
      <c r="IG14" t="s">
        <v>1897</v>
      </c>
      <c r="IH14" t="s">
        <v>1897</v>
      </c>
      <c r="II14" t="s">
        <v>1897</v>
      </c>
      <c r="IJ14" t="s">
        <v>1897</v>
      </c>
      <c r="IK14" t="s">
        <v>1933</v>
      </c>
      <c r="IL14" t="s">
        <v>1933</v>
      </c>
      <c r="IM14" t="s">
        <v>1933</v>
      </c>
      <c r="IN14" t="s">
        <v>1933</v>
      </c>
      <c r="IO14" t="s">
        <v>1897</v>
      </c>
      <c r="IP14" t="s">
        <v>1933</v>
      </c>
      <c r="IQ14" t="s">
        <v>1933</v>
      </c>
      <c r="IR14" t="s">
        <v>1933</v>
      </c>
      <c r="IS14" t="s">
        <v>1933</v>
      </c>
      <c r="IT14" t="s">
        <v>1933</v>
      </c>
      <c r="IU14" t="s">
        <v>1933</v>
      </c>
      <c r="IV14" t="s">
        <v>1933</v>
      </c>
      <c r="IW14" t="s">
        <v>1933</v>
      </c>
      <c r="IX14" t="s">
        <v>1933</v>
      </c>
      <c r="IY14" t="s">
        <v>1933</v>
      </c>
      <c r="IZ14" t="s">
        <v>1933</v>
      </c>
      <c r="JA14" t="s">
        <v>1933</v>
      </c>
      <c r="JB14" t="s">
        <v>1897</v>
      </c>
      <c r="JC14" t="s">
        <v>1933</v>
      </c>
      <c r="JD14" t="s">
        <v>1933</v>
      </c>
      <c r="JE14" t="s">
        <v>1933</v>
      </c>
      <c r="JF14" t="s">
        <v>1933</v>
      </c>
      <c r="JG14" t="s">
        <v>1933</v>
      </c>
      <c r="JH14" t="s">
        <v>1933</v>
      </c>
      <c r="JI14" t="s">
        <v>1933</v>
      </c>
      <c r="JJ14" t="s">
        <v>1933</v>
      </c>
      <c r="JK14" t="s">
        <v>1933</v>
      </c>
      <c r="JL14" t="s">
        <v>1897</v>
      </c>
      <c r="JM14" t="s">
        <v>1933</v>
      </c>
      <c r="JN14" t="s">
        <v>1933</v>
      </c>
      <c r="JO14" t="s">
        <v>1933</v>
      </c>
      <c r="JP14" t="s">
        <v>1933</v>
      </c>
      <c r="JQ14" t="s">
        <v>1933</v>
      </c>
      <c r="JR14" t="s">
        <v>1933</v>
      </c>
      <c r="JS14" t="s">
        <v>1933</v>
      </c>
      <c r="JT14" t="s">
        <v>1897</v>
      </c>
      <c r="JU14" t="s">
        <v>1933</v>
      </c>
      <c r="JV14" t="s">
        <v>1897</v>
      </c>
      <c r="JW14" t="s">
        <v>1933</v>
      </c>
      <c r="JX14" t="s">
        <v>1933</v>
      </c>
      <c r="JY14" t="s">
        <v>1933</v>
      </c>
      <c r="JZ14" t="s">
        <v>1897</v>
      </c>
      <c r="KA14" t="s">
        <v>1933</v>
      </c>
      <c r="KB14" t="s">
        <v>1933</v>
      </c>
      <c r="KC14" t="s">
        <v>1933</v>
      </c>
      <c r="KD14" t="s">
        <v>1933</v>
      </c>
      <c r="KE14" t="s">
        <v>1933</v>
      </c>
      <c r="KF14" t="s">
        <v>1933</v>
      </c>
      <c r="KG14" t="s">
        <v>1933</v>
      </c>
      <c r="KH14" t="s">
        <v>1933</v>
      </c>
      <c r="KI14" t="s">
        <v>1933</v>
      </c>
      <c r="KJ14" t="s">
        <v>1933</v>
      </c>
      <c r="KK14" t="s">
        <v>1933</v>
      </c>
      <c r="KL14" t="s">
        <v>1933</v>
      </c>
      <c r="KM14" t="s">
        <v>1933</v>
      </c>
      <c r="KN14" t="s">
        <v>1897</v>
      </c>
      <c r="KO14" t="s">
        <v>1933</v>
      </c>
      <c r="KP14" t="s">
        <v>1933</v>
      </c>
      <c r="KQ14" t="s">
        <v>1933</v>
      </c>
      <c r="KR14" t="s">
        <v>1933</v>
      </c>
      <c r="KS14" t="s">
        <v>1933</v>
      </c>
      <c r="KT14" t="s">
        <v>1933</v>
      </c>
      <c r="KU14" t="s">
        <v>1933</v>
      </c>
      <c r="KV14" t="s">
        <v>1933</v>
      </c>
      <c r="KW14" t="s">
        <v>1933</v>
      </c>
      <c r="KX14" t="s">
        <v>1933</v>
      </c>
      <c r="KY14" t="s">
        <v>1933</v>
      </c>
      <c r="KZ14" t="s">
        <v>1933</v>
      </c>
      <c r="LA14" t="s">
        <v>1933</v>
      </c>
      <c r="LB14" t="s">
        <v>1933</v>
      </c>
      <c r="LC14" t="s">
        <v>1933</v>
      </c>
      <c r="LD14" t="s">
        <v>1933</v>
      </c>
      <c r="LE14" t="s">
        <v>1933</v>
      </c>
      <c r="LF14" t="s">
        <v>1933</v>
      </c>
      <c r="LG14" t="s">
        <v>1897</v>
      </c>
      <c r="LH14" t="s">
        <v>1897</v>
      </c>
      <c r="LI14" t="s">
        <v>1897</v>
      </c>
      <c r="LJ14" t="s">
        <v>1933</v>
      </c>
      <c r="LK14" t="s">
        <v>1897</v>
      </c>
      <c r="LL14" t="s">
        <v>1897</v>
      </c>
      <c r="LM14" t="s">
        <v>1933</v>
      </c>
      <c r="LN14" t="s">
        <v>1933</v>
      </c>
      <c r="LO14" t="s">
        <v>1897</v>
      </c>
      <c r="LP14" t="s">
        <v>1897</v>
      </c>
      <c r="LQ14" t="s">
        <v>1897</v>
      </c>
      <c r="LR14" t="s">
        <v>1897</v>
      </c>
      <c r="LS14" t="s">
        <v>1933</v>
      </c>
      <c r="LT14" t="s">
        <v>1933</v>
      </c>
      <c r="LU14" t="s">
        <v>1933</v>
      </c>
      <c r="LV14" t="s">
        <v>1933</v>
      </c>
      <c r="LW14" t="s">
        <v>1897</v>
      </c>
      <c r="LX14" t="s">
        <v>1933</v>
      </c>
      <c r="LY14" t="s">
        <v>1933</v>
      </c>
      <c r="LZ14" t="s">
        <v>1933</v>
      </c>
      <c r="MA14" t="s">
        <v>1933</v>
      </c>
      <c r="MB14" t="s">
        <v>1933</v>
      </c>
      <c r="MC14" t="s">
        <v>1933</v>
      </c>
      <c r="MD14" t="s">
        <v>1897</v>
      </c>
      <c r="ME14" t="s">
        <v>1933</v>
      </c>
      <c r="MF14" t="s">
        <v>1933</v>
      </c>
      <c r="MG14" t="s">
        <v>1897</v>
      </c>
      <c r="MH14" t="s">
        <v>1897</v>
      </c>
      <c r="MI14" t="s">
        <v>1897</v>
      </c>
      <c r="MJ14" t="s">
        <v>1933</v>
      </c>
      <c r="MK14" t="s">
        <v>1933</v>
      </c>
      <c r="ML14" t="s">
        <v>1933</v>
      </c>
      <c r="MM14" t="s">
        <v>1933</v>
      </c>
      <c r="MN14" t="s">
        <v>1933</v>
      </c>
      <c r="MO14" t="s">
        <v>1933</v>
      </c>
      <c r="MP14" t="s">
        <v>1933</v>
      </c>
      <c r="MQ14" t="s">
        <v>1933</v>
      </c>
      <c r="MR14" t="s">
        <v>1933</v>
      </c>
      <c r="MS14" t="s">
        <v>1933</v>
      </c>
      <c r="MT14" t="s">
        <v>1933</v>
      </c>
      <c r="MU14" t="s">
        <v>1933</v>
      </c>
      <c r="MV14" t="s">
        <v>1933</v>
      </c>
      <c r="MW14" t="s">
        <v>1933</v>
      </c>
      <c r="MX14" t="s">
        <v>1897</v>
      </c>
      <c r="MY14" t="s">
        <v>1933</v>
      </c>
      <c r="MZ14" t="s">
        <v>1897</v>
      </c>
      <c r="NA14" t="s">
        <v>1933</v>
      </c>
      <c r="NB14" t="s">
        <v>1933</v>
      </c>
      <c r="NC14" t="s">
        <v>1933</v>
      </c>
      <c r="ND14" t="s">
        <v>1933</v>
      </c>
      <c r="NG14" t="s">
        <v>1933</v>
      </c>
      <c r="NH14" t="s">
        <v>1933</v>
      </c>
      <c r="NI14" t="s">
        <v>1933</v>
      </c>
      <c r="NJ14" t="s">
        <v>1933</v>
      </c>
      <c r="NK14" t="s">
        <v>1933</v>
      </c>
      <c r="NL14" t="s">
        <v>1933</v>
      </c>
      <c r="NM14" t="s">
        <v>1933</v>
      </c>
      <c r="NN14" t="s">
        <v>1897</v>
      </c>
      <c r="NO14" t="s">
        <v>1934</v>
      </c>
      <c r="NP14" t="s">
        <v>1935</v>
      </c>
      <c r="NR14" t="s">
        <v>1470</v>
      </c>
      <c r="NS14" t="s">
        <v>1936</v>
      </c>
      <c r="NU14" t="s">
        <v>1937</v>
      </c>
      <c r="NV14" t="s">
        <v>1886</v>
      </c>
      <c r="NX14" t="s">
        <v>1938</v>
      </c>
      <c r="NY14" t="s">
        <v>1840</v>
      </c>
    </row>
    <row r="15" spans="1:389" ht="15" customHeight="1" x14ac:dyDescent="0.25">
      <c r="A15" t="s">
        <v>1905</v>
      </c>
      <c r="B15" t="s">
        <v>1939</v>
      </c>
      <c r="C15" t="s">
        <v>1850</v>
      </c>
      <c r="D15" t="s">
        <v>1471</v>
      </c>
      <c r="G15" t="s">
        <v>1905</v>
      </c>
      <c r="H15" t="s">
        <v>1940</v>
      </c>
      <c r="I15" t="s">
        <v>1940</v>
      </c>
      <c r="J15" t="s">
        <v>1940</v>
      </c>
      <c r="K15" t="s">
        <v>1905</v>
      </c>
      <c r="L15" t="s">
        <v>1905</v>
      </c>
      <c r="M15" t="s">
        <v>1905</v>
      </c>
      <c r="N15" t="s">
        <v>1905</v>
      </c>
      <c r="O15" t="s">
        <v>1940</v>
      </c>
      <c r="P15" t="s">
        <v>1905</v>
      </c>
      <c r="Q15" t="s">
        <v>1940</v>
      </c>
      <c r="R15" t="s">
        <v>1905</v>
      </c>
      <c r="S15" t="s">
        <v>1905</v>
      </c>
      <c r="T15" t="s">
        <v>1940</v>
      </c>
      <c r="U15" t="s">
        <v>1940</v>
      </c>
      <c r="V15" t="s">
        <v>1940</v>
      </c>
      <c r="W15" t="s">
        <v>1940</v>
      </c>
      <c r="X15" t="s">
        <v>1940</v>
      </c>
      <c r="Y15" t="s">
        <v>1940</v>
      </c>
      <c r="AA15" t="s">
        <v>1940</v>
      </c>
      <c r="AB15" t="s">
        <v>1940</v>
      </c>
      <c r="AC15" t="s">
        <v>1940</v>
      </c>
      <c r="AD15" t="s">
        <v>1940</v>
      </c>
      <c r="AE15" t="s">
        <v>1940</v>
      </c>
      <c r="AF15" t="s">
        <v>1940</v>
      </c>
      <c r="AG15" t="s">
        <v>1940</v>
      </c>
      <c r="AH15" t="s">
        <v>1905</v>
      </c>
      <c r="AI15" t="s">
        <v>1940</v>
      </c>
      <c r="AJ15" t="s">
        <v>1940</v>
      </c>
      <c r="AK15" t="s">
        <v>1940</v>
      </c>
      <c r="AL15" t="s">
        <v>1940</v>
      </c>
      <c r="AM15" t="s">
        <v>1905</v>
      </c>
      <c r="AN15" t="s">
        <v>1940</v>
      </c>
      <c r="AO15" t="s">
        <v>1905</v>
      </c>
      <c r="AP15" t="s">
        <v>1905</v>
      </c>
      <c r="AQ15" t="s">
        <v>1905</v>
      </c>
      <c r="AR15" t="s">
        <v>1905</v>
      </c>
      <c r="AS15" t="s">
        <v>1940</v>
      </c>
      <c r="AT15" t="s">
        <v>1940</v>
      </c>
      <c r="AU15" t="s">
        <v>1940</v>
      </c>
      <c r="AV15" t="s">
        <v>1940</v>
      </c>
      <c r="AW15" t="s">
        <v>1940</v>
      </c>
      <c r="AX15" t="s">
        <v>1940</v>
      </c>
      <c r="AY15" t="s">
        <v>1940</v>
      </c>
      <c r="AZ15" t="s">
        <v>1940</v>
      </c>
      <c r="BA15" t="s">
        <v>1940</v>
      </c>
      <c r="BB15" t="s">
        <v>1940</v>
      </c>
      <c r="BC15" t="s">
        <v>1940</v>
      </c>
      <c r="BD15" t="s">
        <v>1940</v>
      </c>
      <c r="BE15" t="s">
        <v>1940</v>
      </c>
      <c r="BF15" t="s">
        <v>1940</v>
      </c>
      <c r="BG15" t="s">
        <v>1940</v>
      </c>
      <c r="BH15" t="s">
        <v>1940</v>
      </c>
      <c r="BI15" t="s">
        <v>1940</v>
      </c>
      <c r="BJ15" t="s">
        <v>1940</v>
      </c>
      <c r="BK15" t="s">
        <v>1940</v>
      </c>
      <c r="BL15" t="s">
        <v>1940</v>
      </c>
      <c r="BM15" t="s">
        <v>1940</v>
      </c>
      <c r="BN15" t="s">
        <v>1940</v>
      </c>
      <c r="BO15" t="s">
        <v>1940</v>
      </c>
      <c r="BP15" t="s">
        <v>1940</v>
      </c>
      <c r="BQ15" t="s">
        <v>1940</v>
      </c>
      <c r="BR15" t="s">
        <v>1940</v>
      </c>
      <c r="BS15" t="s">
        <v>1940</v>
      </c>
      <c r="BT15" t="s">
        <v>1940</v>
      </c>
      <c r="BU15" t="s">
        <v>1940</v>
      </c>
      <c r="BV15" t="s">
        <v>1940</v>
      </c>
      <c r="BW15" t="s">
        <v>1940</v>
      </c>
      <c r="BX15" t="s">
        <v>1940</v>
      </c>
      <c r="BY15" t="s">
        <v>1940</v>
      </c>
      <c r="BZ15" t="s">
        <v>1905</v>
      </c>
      <c r="CA15" t="s">
        <v>1905</v>
      </c>
      <c r="CB15" t="s">
        <v>1940</v>
      </c>
      <c r="CC15" t="s">
        <v>1940</v>
      </c>
      <c r="CD15" t="s">
        <v>1940</v>
      </c>
      <c r="CE15" t="s">
        <v>1905</v>
      </c>
      <c r="CF15" t="s">
        <v>1940</v>
      </c>
      <c r="CG15" t="s">
        <v>1940</v>
      </c>
      <c r="CH15" t="s">
        <v>1940</v>
      </c>
      <c r="CI15" t="s">
        <v>1940</v>
      </c>
      <c r="CJ15" t="s">
        <v>1940</v>
      </c>
      <c r="CK15" t="s">
        <v>1905</v>
      </c>
      <c r="CL15" t="s">
        <v>1905</v>
      </c>
      <c r="CM15" t="s">
        <v>1905</v>
      </c>
      <c r="CN15" t="s">
        <v>1905</v>
      </c>
      <c r="CO15" t="s">
        <v>1905</v>
      </c>
      <c r="CP15" t="s">
        <v>1905</v>
      </c>
      <c r="CQ15" t="s">
        <v>1905</v>
      </c>
      <c r="CR15" t="s">
        <v>1905</v>
      </c>
      <c r="CS15" t="s">
        <v>1940</v>
      </c>
      <c r="CT15" t="s">
        <v>1940</v>
      </c>
      <c r="CU15" t="s">
        <v>1905</v>
      </c>
      <c r="CV15" t="s">
        <v>1940</v>
      </c>
      <c r="CW15" t="s">
        <v>1940</v>
      </c>
      <c r="CX15" t="s">
        <v>1940</v>
      </c>
      <c r="CY15" t="s">
        <v>1940</v>
      </c>
      <c r="CZ15" t="s">
        <v>1905</v>
      </c>
      <c r="DA15" t="s">
        <v>1905</v>
      </c>
      <c r="DB15" t="s">
        <v>1905</v>
      </c>
      <c r="DC15" t="s">
        <v>1905</v>
      </c>
      <c r="DD15" t="s">
        <v>1940</v>
      </c>
      <c r="DE15" t="s">
        <v>1940</v>
      </c>
      <c r="DF15" t="s">
        <v>1940</v>
      </c>
      <c r="DG15" t="s">
        <v>1940</v>
      </c>
      <c r="DH15" t="s">
        <v>1940</v>
      </c>
      <c r="DI15" t="s">
        <v>1940</v>
      </c>
      <c r="DJ15" t="s">
        <v>1905</v>
      </c>
      <c r="DK15" t="s">
        <v>1905</v>
      </c>
      <c r="DL15" t="s">
        <v>1940</v>
      </c>
      <c r="DM15" t="s">
        <v>1940</v>
      </c>
      <c r="DN15" t="s">
        <v>1940</v>
      </c>
      <c r="DO15" t="s">
        <v>1905</v>
      </c>
      <c r="DP15" t="s">
        <v>1905</v>
      </c>
      <c r="DQ15" t="s">
        <v>1905</v>
      </c>
      <c r="DR15" t="s">
        <v>1905</v>
      </c>
      <c r="DS15" t="s">
        <v>1940</v>
      </c>
      <c r="DT15" t="s">
        <v>1905</v>
      </c>
      <c r="DU15" t="s">
        <v>1905</v>
      </c>
      <c r="DV15" t="s">
        <v>1905</v>
      </c>
      <c r="DW15" t="s">
        <v>1940</v>
      </c>
      <c r="DX15" t="s">
        <v>1940</v>
      </c>
      <c r="DY15" t="s">
        <v>1940</v>
      </c>
      <c r="DZ15" t="s">
        <v>1940</v>
      </c>
      <c r="EA15" t="s">
        <v>1905</v>
      </c>
      <c r="EB15" t="s">
        <v>1905</v>
      </c>
      <c r="EC15" t="s">
        <v>1905</v>
      </c>
      <c r="ED15" t="s">
        <v>1940</v>
      </c>
      <c r="EE15" t="s">
        <v>1940</v>
      </c>
      <c r="EF15" t="s">
        <v>1940</v>
      </c>
      <c r="EG15" t="s">
        <v>1905</v>
      </c>
      <c r="EH15" t="s">
        <v>1905</v>
      </c>
      <c r="EI15" t="s">
        <v>1905</v>
      </c>
      <c r="EJ15" t="s">
        <v>1905</v>
      </c>
      <c r="EK15" t="s">
        <v>1905</v>
      </c>
      <c r="EL15" t="s">
        <v>1905</v>
      </c>
      <c r="EM15" t="s">
        <v>1940</v>
      </c>
      <c r="EN15" t="s">
        <v>1940</v>
      </c>
      <c r="EO15" t="s">
        <v>1940</v>
      </c>
      <c r="ET15" t="s">
        <v>1940</v>
      </c>
      <c r="EU15" t="s">
        <v>1940</v>
      </c>
      <c r="EV15" t="s">
        <v>1940</v>
      </c>
      <c r="EW15" t="s">
        <v>1940</v>
      </c>
      <c r="EX15" t="s">
        <v>1940</v>
      </c>
      <c r="EY15" t="s">
        <v>1905</v>
      </c>
      <c r="EZ15" t="s">
        <v>1940</v>
      </c>
      <c r="FA15" t="s">
        <v>1905</v>
      </c>
      <c r="FB15" t="s">
        <v>1905</v>
      </c>
      <c r="FC15" t="s">
        <v>1905</v>
      </c>
      <c r="FD15" t="s">
        <v>1940</v>
      </c>
      <c r="FE15" t="s">
        <v>1940</v>
      </c>
      <c r="FF15" t="s">
        <v>1905</v>
      </c>
      <c r="FG15" t="s">
        <v>1905</v>
      </c>
      <c r="FH15" t="s">
        <v>1905</v>
      </c>
      <c r="FI15" t="s">
        <v>1905</v>
      </c>
      <c r="FJ15" t="s">
        <v>1940</v>
      </c>
      <c r="FK15" t="s">
        <v>1940</v>
      </c>
      <c r="FL15" t="s">
        <v>1940</v>
      </c>
      <c r="FM15" t="s">
        <v>1940</v>
      </c>
      <c r="FN15" t="s">
        <v>1940</v>
      </c>
      <c r="FO15" t="s">
        <v>1940</v>
      </c>
      <c r="FP15" t="s">
        <v>1940</v>
      </c>
      <c r="FQ15" t="s">
        <v>1940</v>
      </c>
      <c r="FR15" t="s">
        <v>1940</v>
      </c>
      <c r="FS15" t="s">
        <v>1940</v>
      </c>
      <c r="FT15" t="s">
        <v>1940</v>
      </c>
      <c r="FU15" t="s">
        <v>1940</v>
      </c>
      <c r="FV15" t="s">
        <v>1940</v>
      </c>
      <c r="FW15" t="s">
        <v>1940</v>
      </c>
      <c r="FX15" t="s">
        <v>1940</v>
      </c>
      <c r="FY15" t="s">
        <v>1905</v>
      </c>
      <c r="FZ15" t="s">
        <v>1905</v>
      </c>
      <c r="GA15" t="s">
        <v>1905</v>
      </c>
      <c r="GB15" t="s">
        <v>1940</v>
      </c>
      <c r="GC15" t="s">
        <v>1940</v>
      </c>
      <c r="GD15" t="s">
        <v>1940</v>
      </c>
      <c r="GE15" t="s">
        <v>1940</v>
      </c>
      <c r="GF15" t="s">
        <v>1940</v>
      </c>
      <c r="GG15" t="s">
        <v>1940</v>
      </c>
      <c r="GH15" t="s">
        <v>1940</v>
      </c>
      <c r="GI15" t="s">
        <v>1940</v>
      </c>
      <c r="GJ15" t="s">
        <v>1940</v>
      </c>
      <c r="GK15" t="s">
        <v>1940</v>
      </c>
      <c r="GL15" t="s">
        <v>1940</v>
      </c>
      <c r="GM15" t="s">
        <v>1940</v>
      </c>
      <c r="GN15" t="s">
        <v>1940</v>
      </c>
      <c r="GO15" t="s">
        <v>1940</v>
      </c>
      <c r="GP15" t="s">
        <v>1940</v>
      </c>
      <c r="GQ15" t="s">
        <v>1940</v>
      </c>
      <c r="GR15" t="s">
        <v>1940</v>
      </c>
      <c r="GS15" t="s">
        <v>1940</v>
      </c>
      <c r="GT15" t="s">
        <v>1940</v>
      </c>
      <c r="GU15" t="s">
        <v>1940</v>
      </c>
      <c r="GV15" t="s">
        <v>1940</v>
      </c>
      <c r="GW15" t="s">
        <v>1940</v>
      </c>
      <c r="GX15" t="s">
        <v>1940</v>
      </c>
      <c r="GY15" t="s">
        <v>1940</v>
      </c>
      <c r="GZ15" t="s">
        <v>1940</v>
      </c>
      <c r="HA15" t="s">
        <v>1940</v>
      </c>
      <c r="HB15" t="s">
        <v>1940</v>
      </c>
      <c r="HC15" t="s">
        <v>1940</v>
      </c>
      <c r="HD15" t="s">
        <v>1905</v>
      </c>
      <c r="HE15" t="s">
        <v>1940</v>
      </c>
      <c r="HF15" t="s">
        <v>1905</v>
      </c>
      <c r="HG15" t="s">
        <v>1940</v>
      </c>
      <c r="HH15" t="s">
        <v>1940</v>
      </c>
      <c r="HI15" t="s">
        <v>1940</v>
      </c>
      <c r="HJ15" t="s">
        <v>1940</v>
      </c>
      <c r="HK15" t="s">
        <v>1940</v>
      </c>
      <c r="HL15" t="s">
        <v>1940</v>
      </c>
      <c r="HM15" t="s">
        <v>1940</v>
      </c>
      <c r="HN15" t="s">
        <v>1940</v>
      </c>
      <c r="HO15" t="s">
        <v>1905</v>
      </c>
      <c r="HP15" t="s">
        <v>1940</v>
      </c>
      <c r="HQ15" t="s">
        <v>1905</v>
      </c>
      <c r="HR15" t="s">
        <v>1905</v>
      </c>
      <c r="HS15" t="s">
        <v>1905</v>
      </c>
      <c r="HT15" t="s">
        <v>1940</v>
      </c>
      <c r="HU15" t="s">
        <v>1940</v>
      </c>
      <c r="HV15" t="s">
        <v>1940</v>
      </c>
      <c r="HW15" t="s">
        <v>1940</v>
      </c>
      <c r="HX15" t="s">
        <v>1940</v>
      </c>
      <c r="HY15" t="s">
        <v>1940</v>
      </c>
      <c r="HZ15" t="s">
        <v>1940</v>
      </c>
      <c r="IA15" t="s">
        <v>1940</v>
      </c>
      <c r="IB15" t="s">
        <v>1940</v>
      </c>
      <c r="IC15" t="s">
        <v>1940</v>
      </c>
      <c r="ID15" t="s">
        <v>1940</v>
      </c>
      <c r="IE15" t="s">
        <v>1940</v>
      </c>
      <c r="IF15" t="s">
        <v>1905</v>
      </c>
      <c r="IG15" t="s">
        <v>1905</v>
      </c>
      <c r="IH15" t="s">
        <v>1905</v>
      </c>
      <c r="II15" t="s">
        <v>1905</v>
      </c>
      <c r="IJ15" t="s">
        <v>1905</v>
      </c>
      <c r="IK15" t="s">
        <v>1940</v>
      </c>
      <c r="IL15" t="s">
        <v>1940</v>
      </c>
      <c r="IM15" t="s">
        <v>1940</v>
      </c>
      <c r="IN15" t="s">
        <v>1940</v>
      </c>
      <c r="IO15" t="s">
        <v>1905</v>
      </c>
      <c r="IP15" t="s">
        <v>1940</v>
      </c>
      <c r="IQ15" t="s">
        <v>1940</v>
      </c>
      <c r="IR15" t="s">
        <v>1940</v>
      </c>
      <c r="IS15" t="s">
        <v>1940</v>
      </c>
      <c r="IT15" t="s">
        <v>1940</v>
      </c>
      <c r="IU15" t="s">
        <v>1940</v>
      </c>
      <c r="IV15" t="s">
        <v>1940</v>
      </c>
      <c r="IW15" t="s">
        <v>1940</v>
      </c>
      <c r="IX15" t="s">
        <v>1940</v>
      </c>
      <c r="IY15" t="s">
        <v>1940</v>
      </c>
      <c r="IZ15" t="s">
        <v>1940</v>
      </c>
      <c r="JA15" t="s">
        <v>1940</v>
      </c>
      <c r="JB15" t="s">
        <v>1905</v>
      </c>
      <c r="JC15" t="s">
        <v>1940</v>
      </c>
      <c r="JD15" t="s">
        <v>1940</v>
      </c>
      <c r="JE15" t="s">
        <v>1940</v>
      </c>
      <c r="JF15" t="s">
        <v>1940</v>
      </c>
      <c r="JG15" t="s">
        <v>1940</v>
      </c>
      <c r="JH15" t="s">
        <v>1940</v>
      </c>
      <c r="JI15" t="s">
        <v>1940</v>
      </c>
      <c r="JJ15" t="s">
        <v>1940</v>
      </c>
      <c r="JK15" t="s">
        <v>1940</v>
      </c>
      <c r="JL15" t="s">
        <v>1905</v>
      </c>
      <c r="JM15" t="s">
        <v>1940</v>
      </c>
      <c r="JN15" t="s">
        <v>1940</v>
      </c>
      <c r="JO15" t="s">
        <v>1940</v>
      </c>
      <c r="JP15" t="s">
        <v>1940</v>
      </c>
      <c r="JQ15" t="s">
        <v>1940</v>
      </c>
      <c r="JR15" t="s">
        <v>1940</v>
      </c>
      <c r="JS15" t="s">
        <v>1940</v>
      </c>
      <c r="JT15" t="s">
        <v>1905</v>
      </c>
      <c r="JU15" t="s">
        <v>1940</v>
      </c>
      <c r="JV15" t="s">
        <v>1905</v>
      </c>
      <c r="JW15" t="s">
        <v>1940</v>
      </c>
      <c r="JX15" t="s">
        <v>1940</v>
      </c>
      <c r="JY15" t="s">
        <v>1940</v>
      </c>
      <c r="JZ15" t="s">
        <v>1905</v>
      </c>
      <c r="KA15" t="s">
        <v>1940</v>
      </c>
      <c r="KB15" t="s">
        <v>1940</v>
      </c>
      <c r="KC15" t="s">
        <v>1940</v>
      </c>
      <c r="KD15" t="s">
        <v>1940</v>
      </c>
      <c r="KE15" t="s">
        <v>1940</v>
      </c>
      <c r="KF15" t="s">
        <v>1940</v>
      </c>
      <c r="KG15" t="s">
        <v>1940</v>
      </c>
      <c r="KH15" t="s">
        <v>1940</v>
      </c>
      <c r="KI15" t="s">
        <v>1940</v>
      </c>
      <c r="KJ15" t="s">
        <v>1940</v>
      </c>
      <c r="KK15" t="s">
        <v>1940</v>
      </c>
      <c r="KL15" t="s">
        <v>1940</v>
      </c>
      <c r="KM15" t="s">
        <v>1940</v>
      </c>
      <c r="KN15" t="s">
        <v>1905</v>
      </c>
      <c r="KO15" t="s">
        <v>1940</v>
      </c>
      <c r="KP15" t="s">
        <v>1940</v>
      </c>
      <c r="KQ15" t="s">
        <v>1940</v>
      </c>
      <c r="KR15" t="s">
        <v>1940</v>
      </c>
      <c r="KS15" t="s">
        <v>1940</v>
      </c>
      <c r="KT15" t="s">
        <v>1940</v>
      </c>
      <c r="KU15" t="s">
        <v>1940</v>
      </c>
      <c r="KV15" t="s">
        <v>1940</v>
      </c>
      <c r="KW15" t="s">
        <v>1940</v>
      </c>
      <c r="KX15" t="s">
        <v>1940</v>
      </c>
      <c r="KY15" t="s">
        <v>1940</v>
      </c>
      <c r="KZ15" t="s">
        <v>1940</v>
      </c>
      <c r="LA15" t="s">
        <v>1940</v>
      </c>
      <c r="LB15" t="s">
        <v>1940</v>
      </c>
      <c r="LC15" t="s">
        <v>1940</v>
      </c>
      <c r="LD15" t="s">
        <v>1940</v>
      </c>
      <c r="LE15" t="s">
        <v>1940</v>
      </c>
      <c r="LF15" t="s">
        <v>1940</v>
      </c>
      <c r="LG15" t="s">
        <v>1905</v>
      </c>
      <c r="LH15" t="s">
        <v>1905</v>
      </c>
      <c r="LI15" t="s">
        <v>1905</v>
      </c>
      <c r="LJ15" t="s">
        <v>1940</v>
      </c>
      <c r="LK15" t="s">
        <v>1905</v>
      </c>
      <c r="LL15" t="s">
        <v>1905</v>
      </c>
      <c r="LM15" t="s">
        <v>1940</v>
      </c>
      <c r="LN15" t="s">
        <v>1940</v>
      </c>
      <c r="LO15" t="s">
        <v>1905</v>
      </c>
      <c r="LP15" t="s">
        <v>1905</v>
      </c>
      <c r="LQ15" t="s">
        <v>1905</v>
      </c>
      <c r="LR15" t="s">
        <v>1905</v>
      </c>
      <c r="LS15" t="s">
        <v>1940</v>
      </c>
      <c r="LT15" t="s">
        <v>1940</v>
      </c>
      <c r="LU15" t="s">
        <v>1940</v>
      </c>
      <c r="LV15" t="s">
        <v>1940</v>
      </c>
      <c r="LW15" t="s">
        <v>1905</v>
      </c>
      <c r="LX15" t="s">
        <v>1940</v>
      </c>
      <c r="LY15" t="s">
        <v>1940</v>
      </c>
      <c r="LZ15" t="s">
        <v>1940</v>
      </c>
      <c r="MA15" t="s">
        <v>1940</v>
      </c>
      <c r="MB15" t="s">
        <v>1940</v>
      </c>
      <c r="MC15" t="s">
        <v>1940</v>
      </c>
      <c r="MD15" t="s">
        <v>1905</v>
      </c>
      <c r="ME15" t="s">
        <v>1940</v>
      </c>
      <c r="MF15" t="s">
        <v>1940</v>
      </c>
      <c r="MG15" t="s">
        <v>1905</v>
      </c>
      <c r="MH15" t="s">
        <v>1905</v>
      </c>
      <c r="MI15" t="s">
        <v>1905</v>
      </c>
      <c r="MJ15" t="s">
        <v>1940</v>
      </c>
      <c r="MK15" t="s">
        <v>1940</v>
      </c>
      <c r="ML15" t="s">
        <v>1940</v>
      </c>
      <c r="MM15" t="s">
        <v>1940</v>
      </c>
      <c r="MN15" t="s">
        <v>1940</v>
      </c>
      <c r="MO15" t="s">
        <v>1940</v>
      </c>
      <c r="MP15" t="s">
        <v>1940</v>
      </c>
      <c r="MQ15" t="s">
        <v>1940</v>
      </c>
      <c r="MR15" t="s">
        <v>1940</v>
      </c>
      <c r="MS15" t="s">
        <v>1940</v>
      </c>
      <c r="MT15" t="s">
        <v>1940</v>
      </c>
      <c r="MU15" t="s">
        <v>1940</v>
      </c>
      <c r="MV15" t="s">
        <v>1940</v>
      </c>
      <c r="MW15" t="s">
        <v>1940</v>
      </c>
      <c r="MX15" t="s">
        <v>1905</v>
      </c>
      <c r="MY15" t="s">
        <v>1940</v>
      </c>
      <c r="MZ15" t="s">
        <v>1905</v>
      </c>
      <c r="NA15" t="s">
        <v>1940</v>
      </c>
      <c r="NB15" t="s">
        <v>1940</v>
      </c>
      <c r="NC15" t="s">
        <v>1940</v>
      </c>
      <c r="ND15" t="s">
        <v>1940</v>
      </c>
      <c r="NG15" t="s">
        <v>1940</v>
      </c>
      <c r="NH15" t="s">
        <v>1940</v>
      </c>
      <c r="NI15" t="s">
        <v>1940</v>
      </c>
      <c r="NJ15" t="s">
        <v>1940</v>
      </c>
      <c r="NK15" t="s">
        <v>1940</v>
      </c>
      <c r="NL15" t="s">
        <v>1940</v>
      </c>
      <c r="NM15" t="s">
        <v>1940</v>
      </c>
      <c r="NN15" t="s">
        <v>1905</v>
      </c>
      <c r="NO15" t="s">
        <v>1941</v>
      </c>
      <c r="NP15" t="s">
        <v>1942</v>
      </c>
      <c r="NR15" t="s">
        <v>1471</v>
      </c>
      <c r="NS15" t="s">
        <v>1943</v>
      </c>
      <c r="NU15" t="s">
        <v>1944</v>
      </c>
      <c r="NV15" t="s">
        <v>1945</v>
      </c>
      <c r="NX15" t="s">
        <v>1946</v>
      </c>
      <c r="NY15" t="s">
        <v>1858</v>
      </c>
    </row>
    <row r="16" spans="1:389" ht="15" customHeight="1" x14ac:dyDescent="0.25">
      <c r="A16" t="s">
        <v>1912</v>
      </c>
      <c r="B16" t="s">
        <v>1909</v>
      </c>
      <c r="C16" t="s">
        <v>1850</v>
      </c>
      <c r="D16" t="s">
        <v>1472</v>
      </c>
      <c r="G16" t="s">
        <v>1912</v>
      </c>
      <c r="H16" t="s">
        <v>1842</v>
      </c>
      <c r="I16" t="s">
        <v>1842</v>
      </c>
      <c r="J16" t="s">
        <v>1842</v>
      </c>
      <c r="K16" t="s">
        <v>1912</v>
      </c>
      <c r="L16" t="s">
        <v>1912</v>
      </c>
      <c r="M16" t="s">
        <v>1912</v>
      </c>
      <c r="N16" t="s">
        <v>1912</v>
      </c>
      <c r="O16" t="s">
        <v>1842</v>
      </c>
      <c r="P16" t="s">
        <v>1912</v>
      </c>
      <c r="Q16" t="s">
        <v>1842</v>
      </c>
      <c r="R16" t="s">
        <v>1912</v>
      </c>
      <c r="S16" t="s">
        <v>1912</v>
      </c>
      <c r="T16" t="s">
        <v>1842</v>
      </c>
      <c r="U16" t="s">
        <v>1842</v>
      </c>
      <c r="V16" t="s">
        <v>1842</v>
      </c>
      <c r="W16" t="s">
        <v>1842</v>
      </c>
      <c r="X16" t="s">
        <v>1842</v>
      </c>
      <c r="Y16" t="s">
        <v>1842</v>
      </c>
      <c r="AA16" t="s">
        <v>1842</v>
      </c>
      <c r="AB16" t="s">
        <v>1842</v>
      </c>
      <c r="AC16" t="s">
        <v>1842</v>
      </c>
      <c r="AD16" t="s">
        <v>1842</v>
      </c>
      <c r="AE16" t="s">
        <v>1842</v>
      </c>
      <c r="AF16" t="s">
        <v>1842</v>
      </c>
      <c r="AG16" t="s">
        <v>1842</v>
      </c>
      <c r="AH16" t="s">
        <v>1912</v>
      </c>
      <c r="AI16" t="s">
        <v>1842</v>
      </c>
      <c r="AJ16" t="s">
        <v>1842</v>
      </c>
      <c r="AK16" t="s">
        <v>1842</v>
      </c>
      <c r="AL16" t="s">
        <v>1842</v>
      </c>
      <c r="AM16" t="s">
        <v>1912</v>
      </c>
      <c r="AN16" t="s">
        <v>1842</v>
      </c>
      <c r="AO16" t="s">
        <v>1912</v>
      </c>
      <c r="AP16" t="s">
        <v>1912</v>
      </c>
      <c r="AQ16" t="s">
        <v>1912</v>
      </c>
      <c r="AR16" t="s">
        <v>1912</v>
      </c>
      <c r="AS16" t="s">
        <v>1842</v>
      </c>
      <c r="AT16" t="s">
        <v>1842</v>
      </c>
      <c r="AU16" t="s">
        <v>1842</v>
      </c>
      <c r="AV16" t="s">
        <v>1842</v>
      </c>
      <c r="AW16" t="s">
        <v>1842</v>
      </c>
      <c r="AX16" t="s">
        <v>1842</v>
      </c>
      <c r="AY16" t="s">
        <v>1842</v>
      </c>
      <c r="AZ16" t="s">
        <v>1842</v>
      </c>
      <c r="BA16" t="s">
        <v>1842</v>
      </c>
      <c r="BB16" t="s">
        <v>1842</v>
      </c>
      <c r="BC16" t="s">
        <v>1842</v>
      </c>
      <c r="BD16" t="s">
        <v>1842</v>
      </c>
      <c r="BE16" t="s">
        <v>1842</v>
      </c>
      <c r="BF16" t="s">
        <v>1842</v>
      </c>
      <c r="BG16" t="s">
        <v>1842</v>
      </c>
      <c r="BH16" t="s">
        <v>1842</v>
      </c>
      <c r="BI16" t="s">
        <v>1842</v>
      </c>
      <c r="BJ16" t="s">
        <v>1842</v>
      </c>
      <c r="BK16" t="s">
        <v>1842</v>
      </c>
      <c r="BL16" t="s">
        <v>1842</v>
      </c>
      <c r="BM16" t="s">
        <v>1842</v>
      </c>
      <c r="BN16" t="s">
        <v>1842</v>
      </c>
      <c r="BO16" t="s">
        <v>1842</v>
      </c>
      <c r="BP16" t="s">
        <v>1842</v>
      </c>
      <c r="BQ16" t="s">
        <v>1842</v>
      </c>
      <c r="BR16" t="s">
        <v>1842</v>
      </c>
      <c r="BS16" t="s">
        <v>1842</v>
      </c>
      <c r="BT16" t="s">
        <v>1842</v>
      </c>
      <c r="BU16" t="s">
        <v>1842</v>
      </c>
      <c r="BV16" t="s">
        <v>1842</v>
      </c>
      <c r="BW16" t="s">
        <v>1842</v>
      </c>
      <c r="BX16" t="s">
        <v>1842</v>
      </c>
      <c r="BY16" t="s">
        <v>1842</v>
      </c>
      <c r="BZ16" t="s">
        <v>1912</v>
      </c>
      <c r="CA16" t="s">
        <v>1912</v>
      </c>
      <c r="CB16" t="s">
        <v>1842</v>
      </c>
      <c r="CC16" t="s">
        <v>1842</v>
      </c>
      <c r="CD16" t="s">
        <v>1842</v>
      </c>
      <c r="CE16" t="s">
        <v>1912</v>
      </c>
      <c r="CF16" t="s">
        <v>1842</v>
      </c>
      <c r="CG16" t="s">
        <v>1842</v>
      </c>
      <c r="CH16" t="s">
        <v>1842</v>
      </c>
      <c r="CI16" t="s">
        <v>1842</v>
      </c>
      <c r="CJ16" t="s">
        <v>1842</v>
      </c>
      <c r="CK16" t="s">
        <v>1912</v>
      </c>
      <c r="CL16" t="s">
        <v>1912</v>
      </c>
      <c r="CM16" t="s">
        <v>1912</v>
      </c>
      <c r="CN16" t="s">
        <v>1912</v>
      </c>
      <c r="CO16" t="s">
        <v>1912</v>
      </c>
      <c r="CP16" t="s">
        <v>1912</v>
      </c>
      <c r="CQ16" t="s">
        <v>1912</v>
      </c>
      <c r="CR16" t="s">
        <v>1912</v>
      </c>
      <c r="CS16" t="s">
        <v>1842</v>
      </c>
      <c r="CT16" t="s">
        <v>1842</v>
      </c>
      <c r="CU16" t="s">
        <v>1912</v>
      </c>
      <c r="CV16" t="s">
        <v>1842</v>
      </c>
      <c r="CW16" t="s">
        <v>1842</v>
      </c>
      <c r="CX16" t="s">
        <v>1842</v>
      </c>
      <c r="CY16" t="s">
        <v>1842</v>
      </c>
      <c r="CZ16" t="s">
        <v>1912</v>
      </c>
      <c r="DA16" t="s">
        <v>1912</v>
      </c>
      <c r="DB16" t="s">
        <v>1912</v>
      </c>
      <c r="DC16" t="s">
        <v>1912</v>
      </c>
      <c r="DD16" t="s">
        <v>1842</v>
      </c>
      <c r="DE16" t="s">
        <v>1842</v>
      </c>
      <c r="DF16" t="s">
        <v>1842</v>
      </c>
      <c r="DG16" t="s">
        <v>1842</v>
      </c>
      <c r="DH16" t="s">
        <v>1842</v>
      </c>
      <c r="DI16" t="s">
        <v>1842</v>
      </c>
      <c r="DJ16" t="s">
        <v>1912</v>
      </c>
      <c r="DK16" t="s">
        <v>1912</v>
      </c>
      <c r="DL16" t="s">
        <v>1842</v>
      </c>
      <c r="DM16" t="s">
        <v>1842</v>
      </c>
      <c r="DN16" t="s">
        <v>1842</v>
      </c>
      <c r="DO16" t="s">
        <v>1912</v>
      </c>
      <c r="DP16" t="s">
        <v>1912</v>
      </c>
      <c r="DQ16" t="s">
        <v>1912</v>
      </c>
      <c r="DR16" t="s">
        <v>1912</v>
      </c>
      <c r="DS16" t="s">
        <v>1842</v>
      </c>
      <c r="DT16" t="s">
        <v>1912</v>
      </c>
      <c r="DU16" t="s">
        <v>1912</v>
      </c>
      <c r="DV16" t="s">
        <v>1912</v>
      </c>
      <c r="DW16" t="s">
        <v>1842</v>
      </c>
      <c r="DX16" t="s">
        <v>1842</v>
      </c>
      <c r="DY16" t="s">
        <v>1842</v>
      </c>
      <c r="DZ16" t="s">
        <v>1842</v>
      </c>
      <c r="EA16" t="s">
        <v>1912</v>
      </c>
      <c r="EB16" t="s">
        <v>1912</v>
      </c>
      <c r="EC16" t="s">
        <v>1912</v>
      </c>
      <c r="ED16" t="s">
        <v>1842</v>
      </c>
      <c r="EE16" t="s">
        <v>1842</v>
      </c>
      <c r="EF16" t="s">
        <v>1842</v>
      </c>
      <c r="EG16" t="s">
        <v>1912</v>
      </c>
      <c r="EH16" t="s">
        <v>1912</v>
      </c>
      <c r="EI16" t="s">
        <v>1912</v>
      </c>
      <c r="EJ16" t="s">
        <v>1912</v>
      </c>
      <c r="EK16" t="s">
        <v>1912</v>
      </c>
      <c r="EL16" t="s">
        <v>1912</v>
      </c>
      <c r="EM16" t="s">
        <v>1842</v>
      </c>
      <c r="EN16" t="s">
        <v>1842</v>
      </c>
      <c r="EO16" t="s">
        <v>1842</v>
      </c>
      <c r="ET16" t="s">
        <v>1842</v>
      </c>
      <c r="EU16" t="s">
        <v>1842</v>
      </c>
      <c r="EV16" t="s">
        <v>1842</v>
      </c>
      <c r="EW16" t="s">
        <v>1842</v>
      </c>
      <c r="EX16" t="s">
        <v>1842</v>
      </c>
      <c r="EY16" t="s">
        <v>1912</v>
      </c>
      <c r="EZ16" t="s">
        <v>1842</v>
      </c>
      <c r="FA16" t="s">
        <v>1912</v>
      </c>
      <c r="FB16" t="s">
        <v>1912</v>
      </c>
      <c r="FC16" t="s">
        <v>1912</v>
      </c>
      <c r="FD16" t="s">
        <v>1842</v>
      </c>
      <c r="FE16" t="s">
        <v>1842</v>
      </c>
      <c r="FF16" t="s">
        <v>1912</v>
      </c>
      <c r="FG16" t="s">
        <v>1912</v>
      </c>
      <c r="FH16" t="s">
        <v>1912</v>
      </c>
      <c r="FI16" t="s">
        <v>1912</v>
      </c>
      <c r="FJ16" t="s">
        <v>1842</v>
      </c>
      <c r="FK16" t="s">
        <v>1842</v>
      </c>
      <c r="FL16" t="s">
        <v>1842</v>
      </c>
      <c r="FM16" t="s">
        <v>1842</v>
      </c>
      <c r="FN16" t="s">
        <v>1842</v>
      </c>
      <c r="FO16" t="s">
        <v>1842</v>
      </c>
      <c r="FP16" t="s">
        <v>1842</v>
      </c>
      <c r="FQ16" t="s">
        <v>1842</v>
      </c>
      <c r="FR16" t="s">
        <v>1842</v>
      </c>
      <c r="FS16" t="s">
        <v>1842</v>
      </c>
      <c r="FT16" t="s">
        <v>1842</v>
      </c>
      <c r="FU16" t="s">
        <v>1842</v>
      </c>
      <c r="FV16" t="s">
        <v>1842</v>
      </c>
      <c r="FW16" t="s">
        <v>1842</v>
      </c>
      <c r="FX16" t="s">
        <v>1842</v>
      </c>
      <c r="FY16" t="s">
        <v>1912</v>
      </c>
      <c r="FZ16" t="s">
        <v>1912</v>
      </c>
      <c r="GA16" t="s">
        <v>1912</v>
      </c>
      <c r="GB16" t="s">
        <v>1842</v>
      </c>
      <c r="GC16" t="s">
        <v>1842</v>
      </c>
      <c r="GD16" t="s">
        <v>1842</v>
      </c>
      <c r="GE16" t="s">
        <v>1842</v>
      </c>
      <c r="GF16" t="s">
        <v>1842</v>
      </c>
      <c r="GG16" t="s">
        <v>1842</v>
      </c>
      <c r="GH16" t="s">
        <v>1842</v>
      </c>
      <c r="GI16" t="s">
        <v>1842</v>
      </c>
      <c r="GJ16" t="s">
        <v>1842</v>
      </c>
      <c r="GK16" t="s">
        <v>1842</v>
      </c>
      <c r="GL16" t="s">
        <v>1842</v>
      </c>
      <c r="GM16" t="s">
        <v>1842</v>
      </c>
      <c r="GN16" t="s">
        <v>1842</v>
      </c>
      <c r="GO16" t="s">
        <v>1842</v>
      </c>
      <c r="GP16" t="s">
        <v>1842</v>
      </c>
      <c r="GQ16" t="s">
        <v>1842</v>
      </c>
      <c r="GR16" t="s">
        <v>1842</v>
      </c>
      <c r="GS16" t="s">
        <v>1842</v>
      </c>
      <c r="GT16" t="s">
        <v>1842</v>
      </c>
      <c r="GU16" t="s">
        <v>1842</v>
      </c>
      <c r="GV16" t="s">
        <v>1842</v>
      </c>
      <c r="GW16" t="s">
        <v>1842</v>
      </c>
      <c r="GX16" t="s">
        <v>1842</v>
      </c>
      <c r="GY16" t="s">
        <v>1842</v>
      </c>
      <c r="GZ16" t="s">
        <v>1842</v>
      </c>
      <c r="HA16" t="s">
        <v>1842</v>
      </c>
      <c r="HB16" t="s">
        <v>1842</v>
      </c>
      <c r="HC16" t="s">
        <v>1842</v>
      </c>
      <c r="HD16" t="s">
        <v>1912</v>
      </c>
      <c r="HE16" t="s">
        <v>1842</v>
      </c>
      <c r="HF16" t="s">
        <v>1912</v>
      </c>
      <c r="HG16" t="s">
        <v>1842</v>
      </c>
      <c r="HH16" t="s">
        <v>1842</v>
      </c>
      <c r="HI16" t="s">
        <v>1842</v>
      </c>
      <c r="HJ16" t="s">
        <v>1842</v>
      </c>
      <c r="HK16" t="s">
        <v>1842</v>
      </c>
      <c r="HL16" t="s">
        <v>1842</v>
      </c>
      <c r="HM16" t="s">
        <v>1842</v>
      </c>
      <c r="HN16" t="s">
        <v>1842</v>
      </c>
      <c r="HO16" t="s">
        <v>1912</v>
      </c>
      <c r="HP16" t="s">
        <v>1842</v>
      </c>
      <c r="HQ16" t="s">
        <v>1912</v>
      </c>
      <c r="HR16" t="s">
        <v>1912</v>
      </c>
      <c r="HS16" t="s">
        <v>1912</v>
      </c>
      <c r="HT16" t="s">
        <v>1842</v>
      </c>
      <c r="HU16" t="s">
        <v>1842</v>
      </c>
      <c r="HV16" t="s">
        <v>1842</v>
      </c>
      <c r="HW16" t="s">
        <v>1842</v>
      </c>
      <c r="HX16" t="s">
        <v>1842</v>
      </c>
      <c r="HY16" t="s">
        <v>1842</v>
      </c>
      <c r="HZ16" t="s">
        <v>1842</v>
      </c>
      <c r="IA16" t="s">
        <v>1842</v>
      </c>
      <c r="IB16" t="s">
        <v>1842</v>
      </c>
      <c r="IC16" t="s">
        <v>1842</v>
      </c>
      <c r="ID16" t="s">
        <v>1842</v>
      </c>
      <c r="IE16" t="s">
        <v>1842</v>
      </c>
      <c r="IF16" t="s">
        <v>1912</v>
      </c>
      <c r="IG16" t="s">
        <v>1912</v>
      </c>
      <c r="IH16" t="s">
        <v>1912</v>
      </c>
      <c r="II16" t="s">
        <v>1912</v>
      </c>
      <c r="IJ16" t="s">
        <v>1912</v>
      </c>
      <c r="IK16" t="s">
        <v>1842</v>
      </c>
      <c r="IL16" t="s">
        <v>1842</v>
      </c>
      <c r="IM16" t="s">
        <v>1842</v>
      </c>
      <c r="IN16" t="s">
        <v>1842</v>
      </c>
      <c r="IO16" t="s">
        <v>1912</v>
      </c>
      <c r="IP16" t="s">
        <v>1842</v>
      </c>
      <c r="IQ16" t="s">
        <v>1842</v>
      </c>
      <c r="IR16" t="s">
        <v>1842</v>
      </c>
      <c r="IS16" t="s">
        <v>1842</v>
      </c>
      <c r="IT16" t="s">
        <v>1842</v>
      </c>
      <c r="IU16" t="s">
        <v>1842</v>
      </c>
      <c r="IV16" t="s">
        <v>1842</v>
      </c>
      <c r="IW16" t="s">
        <v>1842</v>
      </c>
      <c r="IX16" t="s">
        <v>1842</v>
      </c>
      <c r="IY16" t="s">
        <v>1842</v>
      </c>
      <c r="IZ16" t="s">
        <v>1842</v>
      </c>
      <c r="JA16" t="s">
        <v>1842</v>
      </c>
      <c r="JB16" t="s">
        <v>1912</v>
      </c>
      <c r="JC16" t="s">
        <v>1842</v>
      </c>
      <c r="JD16" t="s">
        <v>1842</v>
      </c>
      <c r="JE16" t="s">
        <v>1842</v>
      </c>
      <c r="JF16" t="s">
        <v>1842</v>
      </c>
      <c r="JG16" t="s">
        <v>1842</v>
      </c>
      <c r="JH16" t="s">
        <v>1842</v>
      </c>
      <c r="JI16" t="s">
        <v>1842</v>
      </c>
      <c r="JJ16" t="s">
        <v>1842</v>
      </c>
      <c r="JK16" t="s">
        <v>1842</v>
      </c>
      <c r="JL16" t="s">
        <v>1912</v>
      </c>
      <c r="JM16" t="s">
        <v>1842</v>
      </c>
      <c r="JN16" t="s">
        <v>1842</v>
      </c>
      <c r="JO16" t="s">
        <v>1842</v>
      </c>
      <c r="JP16" t="s">
        <v>1842</v>
      </c>
      <c r="JQ16" t="s">
        <v>1842</v>
      </c>
      <c r="JR16" t="s">
        <v>1842</v>
      </c>
      <c r="JS16" t="s">
        <v>1842</v>
      </c>
      <c r="JT16" t="s">
        <v>1912</v>
      </c>
      <c r="JU16" t="s">
        <v>1842</v>
      </c>
      <c r="JV16" t="s">
        <v>1912</v>
      </c>
      <c r="JW16" t="s">
        <v>1842</v>
      </c>
      <c r="JX16" t="s">
        <v>1842</v>
      </c>
      <c r="JY16" t="s">
        <v>1842</v>
      </c>
      <c r="JZ16" t="s">
        <v>1912</v>
      </c>
      <c r="KA16" t="s">
        <v>1842</v>
      </c>
      <c r="KB16" t="s">
        <v>1842</v>
      </c>
      <c r="KC16" t="s">
        <v>1842</v>
      </c>
      <c r="KD16" t="s">
        <v>1842</v>
      </c>
      <c r="KE16" t="s">
        <v>1842</v>
      </c>
      <c r="KF16" t="s">
        <v>1842</v>
      </c>
      <c r="KG16" t="s">
        <v>1842</v>
      </c>
      <c r="KH16" t="s">
        <v>1842</v>
      </c>
      <c r="KI16" t="s">
        <v>1842</v>
      </c>
      <c r="KJ16" t="s">
        <v>1842</v>
      </c>
      <c r="KK16" t="s">
        <v>1842</v>
      </c>
      <c r="KL16" t="s">
        <v>1842</v>
      </c>
      <c r="KM16" t="s">
        <v>1842</v>
      </c>
      <c r="KN16" t="s">
        <v>1912</v>
      </c>
      <c r="KO16" t="s">
        <v>1842</v>
      </c>
      <c r="KP16" t="s">
        <v>1842</v>
      </c>
      <c r="KQ16" t="s">
        <v>1842</v>
      </c>
      <c r="KR16" t="s">
        <v>1842</v>
      </c>
      <c r="KS16" t="s">
        <v>1842</v>
      </c>
      <c r="KT16" t="s">
        <v>1842</v>
      </c>
      <c r="KU16" t="s">
        <v>1842</v>
      </c>
      <c r="KV16" t="s">
        <v>1842</v>
      </c>
      <c r="KW16" t="s">
        <v>1842</v>
      </c>
      <c r="KX16" t="s">
        <v>1842</v>
      </c>
      <c r="KY16" t="s">
        <v>1842</v>
      </c>
      <c r="KZ16" t="s">
        <v>1842</v>
      </c>
      <c r="LA16" t="s">
        <v>1842</v>
      </c>
      <c r="LB16" t="s">
        <v>1842</v>
      </c>
      <c r="LC16" t="s">
        <v>1842</v>
      </c>
      <c r="LD16" t="s">
        <v>1842</v>
      </c>
      <c r="LE16" t="s">
        <v>1842</v>
      </c>
      <c r="LF16" t="s">
        <v>1842</v>
      </c>
      <c r="LG16" t="s">
        <v>1912</v>
      </c>
      <c r="LH16" t="s">
        <v>1912</v>
      </c>
      <c r="LI16" t="s">
        <v>1912</v>
      </c>
      <c r="LJ16" t="s">
        <v>1842</v>
      </c>
      <c r="LK16" t="s">
        <v>1912</v>
      </c>
      <c r="LL16" t="s">
        <v>1912</v>
      </c>
      <c r="LM16" t="s">
        <v>1842</v>
      </c>
      <c r="LN16" t="s">
        <v>1842</v>
      </c>
      <c r="LO16" t="s">
        <v>1912</v>
      </c>
      <c r="LP16" t="s">
        <v>1912</v>
      </c>
      <c r="LQ16" t="s">
        <v>1912</v>
      </c>
      <c r="LR16" t="s">
        <v>1912</v>
      </c>
      <c r="LS16" t="s">
        <v>1842</v>
      </c>
      <c r="LT16" t="s">
        <v>1842</v>
      </c>
      <c r="LU16" t="s">
        <v>1842</v>
      </c>
      <c r="LV16" t="s">
        <v>1842</v>
      </c>
      <c r="LW16" t="s">
        <v>1912</v>
      </c>
      <c r="LX16" t="s">
        <v>1842</v>
      </c>
      <c r="LY16" t="s">
        <v>1842</v>
      </c>
      <c r="LZ16" t="s">
        <v>1842</v>
      </c>
      <c r="MA16" t="s">
        <v>1842</v>
      </c>
      <c r="MB16" t="s">
        <v>1842</v>
      </c>
      <c r="MC16" t="s">
        <v>1842</v>
      </c>
      <c r="MD16" t="s">
        <v>1912</v>
      </c>
      <c r="ME16" t="s">
        <v>1842</v>
      </c>
      <c r="MF16" t="s">
        <v>1842</v>
      </c>
      <c r="MG16" t="s">
        <v>1912</v>
      </c>
      <c r="MH16" t="s">
        <v>1912</v>
      </c>
      <c r="MI16" t="s">
        <v>1912</v>
      </c>
      <c r="MJ16" t="s">
        <v>1842</v>
      </c>
      <c r="MK16" t="s">
        <v>1842</v>
      </c>
      <c r="ML16" t="s">
        <v>1842</v>
      </c>
      <c r="MM16" t="s">
        <v>1842</v>
      </c>
      <c r="MN16" t="s">
        <v>1842</v>
      </c>
      <c r="MO16" t="s">
        <v>1842</v>
      </c>
      <c r="MP16" t="s">
        <v>1842</v>
      </c>
      <c r="MQ16" t="s">
        <v>1842</v>
      </c>
      <c r="MR16" t="s">
        <v>1842</v>
      </c>
      <c r="MS16" t="s">
        <v>1842</v>
      </c>
      <c r="MT16" t="s">
        <v>1842</v>
      </c>
      <c r="MU16" t="s">
        <v>1842</v>
      </c>
      <c r="MV16" t="s">
        <v>1842</v>
      </c>
      <c r="MW16" t="s">
        <v>1842</v>
      </c>
      <c r="MX16" t="s">
        <v>1912</v>
      </c>
      <c r="MY16" t="s">
        <v>1842</v>
      </c>
      <c r="MZ16" t="s">
        <v>1912</v>
      </c>
      <c r="NA16" t="s">
        <v>1842</v>
      </c>
      <c r="NB16" t="s">
        <v>1842</v>
      </c>
      <c r="NC16" t="s">
        <v>1842</v>
      </c>
      <c r="ND16" t="s">
        <v>1842</v>
      </c>
      <c r="NG16" t="s">
        <v>1842</v>
      </c>
      <c r="NH16" t="s">
        <v>1842</v>
      </c>
      <c r="NI16" t="s">
        <v>1842</v>
      </c>
      <c r="NJ16" t="s">
        <v>1842</v>
      </c>
      <c r="NK16" t="s">
        <v>1842</v>
      </c>
      <c r="NL16" t="s">
        <v>1842</v>
      </c>
      <c r="NM16" t="s">
        <v>1842</v>
      </c>
      <c r="NN16" t="s">
        <v>1912</v>
      </c>
      <c r="NO16" t="s">
        <v>1947</v>
      </c>
      <c r="NP16" t="s">
        <v>1948</v>
      </c>
      <c r="NR16" t="s">
        <v>1472</v>
      </c>
      <c r="NS16" t="s">
        <v>1949</v>
      </c>
      <c r="NU16" t="s">
        <v>1950</v>
      </c>
      <c r="NV16" t="s">
        <v>1951</v>
      </c>
      <c r="NX16" t="s">
        <v>1952</v>
      </c>
      <c r="NY16" t="s">
        <v>1858</v>
      </c>
    </row>
    <row r="17" spans="1:389" ht="15" customHeight="1" x14ac:dyDescent="0.25">
      <c r="A17" t="s">
        <v>1919</v>
      </c>
      <c r="B17" t="s">
        <v>1916</v>
      </c>
      <c r="C17" t="s">
        <v>1850</v>
      </c>
      <c r="D17" t="s">
        <v>1473</v>
      </c>
      <c r="G17" t="s">
        <v>1919</v>
      </c>
      <c r="H17" t="s">
        <v>1953</v>
      </c>
      <c r="I17" t="s">
        <v>1953</v>
      </c>
      <c r="J17" t="s">
        <v>1953</v>
      </c>
      <c r="K17" t="s">
        <v>1919</v>
      </c>
      <c r="L17" t="s">
        <v>1919</v>
      </c>
      <c r="M17" t="s">
        <v>1919</v>
      </c>
      <c r="N17" t="s">
        <v>1919</v>
      </c>
      <c r="O17" t="s">
        <v>1953</v>
      </c>
      <c r="P17" t="s">
        <v>1919</v>
      </c>
      <c r="Q17" t="s">
        <v>1953</v>
      </c>
      <c r="R17" t="s">
        <v>1919</v>
      </c>
      <c r="S17" t="s">
        <v>1919</v>
      </c>
      <c r="T17" t="s">
        <v>1953</v>
      </c>
      <c r="U17" t="s">
        <v>1953</v>
      </c>
      <c r="V17" t="s">
        <v>1953</v>
      </c>
      <c r="W17" t="s">
        <v>1953</v>
      </c>
      <c r="X17" t="s">
        <v>1953</v>
      </c>
      <c r="Y17" t="s">
        <v>1953</v>
      </c>
      <c r="AA17" t="s">
        <v>1953</v>
      </c>
      <c r="AB17" t="s">
        <v>1953</v>
      </c>
      <c r="AC17" t="s">
        <v>1953</v>
      </c>
      <c r="AD17" t="s">
        <v>1953</v>
      </c>
      <c r="AE17" t="s">
        <v>1953</v>
      </c>
      <c r="AF17" t="s">
        <v>1953</v>
      </c>
      <c r="AG17" t="s">
        <v>1953</v>
      </c>
      <c r="AH17" t="s">
        <v>1919</v>
      </c>
      <c r="AI17" t="s">
        <v>1953</v>
      </c>
      <c r="AJ17" t="s">
        <v>1953</v>
      </c>
      <c r="AK17" t="s">
        <v>1953</v>
      </c>
      <c r="AL17" t="s">
        <v>1953</v>
      </c>
      <c r="AM17" t="s">
        <v>1919</v>
      </c>
      <c r="AN17" t="s">
        <v>1953</v>
      </c>
      <c r="AO17" t="s">
        <v>1919</v>
      </c>
      <c r="AP17" t="s">
        <v>1919</v>
      </c>
      <c r="AQ17" t="s">
        <v>1919</v>
      </c>
      <c r="AR17" t="s">
        <v>1919</v>
      </c>
      <c r="AS17" t="s">
        <v>1953</v>
      </c>
      <c r="AT17" t="s">
        <v>1953</v>
      </c>
      <c r="AU17" t="s">
        <v>1953</v>
      </c>
      <c r="AV17" t="s">
        <v>1953</v>
      </c>
      <c r="AW17" t="s">
        <v>1953</v>
      </c>
      <c r="AX17" t="s">
        <v>1953</v>
      </c>
      <c r="AY17" t="s">
        <v>1953</v>
      </c>
      <c r="AZ17" t="s">
        <v>1953</v>
      </c>
      <c r="BA17" t="s">
        <v>1953</v>
      </c>
      <c r="BB17" t="s">
        <v>1953</v>
      </c>
      <c r="BC17" t="s">
        <v>1953</v>
      </c>
      <c r="BD17" t="s">
        <v>1953</v>
      </c>
      <c r="BE17" t="s">
        <v>1953</v>
      </c>
      <c r="BF17" t="s">
        <v>1953</v>
      </c>
      <c r="BG17" t="s">
        <v>1953</v>
      </c>
      <c r="BH17" t="s">
        <v>1953</v>
      </c>
      <c r="BI17" t="s">
        <v>1953</v>
      </c>
      <c r="BJ17" t="s">
        <v>1953</v>
      </c>
      <c r="BK17" t="s">
        <v>1953</v>
      </c>
      <c r="BL17" t="s">
        <v>1953</v>
      </c>
      <c r="BM17" t="s">
        <v>1953</v>
      </c>
      <c r="BN17" t="s">
        <v>1953</v>
      </c>
      <c r="BO17" t="s">
        <v>1953</v>
      </c>
      <c r="BP17" t="s">
        <v>1953</v>
      </c>
      <c r="BQ17" t="s">
        <v>1953</v>
      </c>
      <c r="BR17" t="s">
        <v>1953</v>
      </c>
      <c r="BS17" t="s">
        <v>1953</v>
      </c>
      <c r="BT17" t="s">
        <v>1953</v>
      </c>
      <c r="BU17" t="s">
        <v>1953</v>
      </c>
      <c r="BV17" t="s">
        <v>1953</v>
      </c>
      <c r="BW17" t="s">
        <v>1953</v>
      </c>
      <c r="BX17" t="s">
        <v>1953</v>
      </c>
      <c r="BY17" t="s">
        <v>1953</v>
      </c>
      <c r="BZ17" t="s">
        <v>1919</v>
      </c>
      <c r="CA17" t="s">
        <v>1919</v>
      </c>
      <c r="CB17" t="s">
        <v>1953</v>
      </c>
      <c r="CC17" t="s">
        <v>1953</v>
      </c>
      <c r="CD17" t="s">
        <v>1953</v>
      </c>
      <c r="CE17" t="s">
        <v>1919</v>
      </c>
      <c r="CF17" t="s">
        <v>1953</v>
      </c>
      <c r="CG17" t="s">
        <v>1953</v>
      </c>
      <c r="CH17" t="s">
        <v>1953</v>
      </c>
      <c r="CI17" t="s">
        <v>1953</v>
      </c>
      <c r="CJ17" t="s">
        <v>1953</v>
      </c>
      <c r="CK17" t="s">
        <v>1919</v>
      </c>
      <c r="CL17" t="s">
        <v>1919</v>
      </c>
      <c r="CM17" t="s">
        <v>1919</v>
      </c>
      <c r="CN17" t="s">
        <v>1919</v>
      </c>
      <c r="CO17" t="s">
        <v>1919</v>
      </c>
      <c r="CP17" t="s">
        <v>1919</v>
      </c>
      <c r="CQ17" t="s">
        <v>1919</v>
      </c>
      <c r="CR17" t="s">
        <v>1919</v>
      </c>
      <c r="CS17" t="s">
        <v>1953</v>
      </c>
      <c r="CT17" t="s">
        <v>1953</v>
      </c>
      <c r="CU17" t="s">
        <v>1919</v>
      </c>
      <c r="CV17" t="s">
        <v>1953</v>
      </c>
      <c r="CW17" t="s">
        <v>1953</v>
      </c>
      <c r="CX17" t="s">
        <v>1953</v>
      </c>
      <c r="CY17" t="s">
        <v>1953</v>
      </c>
      <c r="CZ17" t="s">
        <v>1919</v>
      </c>
      <c r="DA17" t="s">
        <v>1919</v>
      </c>
      <c r="DB17" t="s">
        <v>1919</v>
      </c>
      <c r="DC17" t="s">
        <v>1919</v>
      </c>
      <c r="DD17" t="s">
        <v>1953</v>
      </c>
      <c r="DE17" t="s">
        <v>1953</v>
      </c>
      <c r="DF17" t="s">
        <v>1953</v>
      </c>
      <c r="DG17" t="s">
        <v>1953</v>
      </c>
      <c r="DH17" t="s">
        <v>1953</v>
      </c>
      <c r="DI17" t="s">
        <v>1953</v>
      </c>
      <c r="DJ17" t="s">
        <v>1919</v>
      </c>
      <c r="DK17" t="s">
        <v>1919</v>
      </c>
      <c r="DL17" t="s">
        <v>1953</v>
      </c>
      <c r="DM17" t="s">
        <v>1953</v>
      </c>
      <c r="DN17" t="s">
        <v>1953</v>
      </c>
      <c r="DO17" t="s">
        <v>1919</v>
      </c>
      <c r="DP17" t="s">
        <v>1919</v>
      </c>
      <c r="DQ17" t="s">
        <v>1919</v>
      </c>
      <c r="DR17" t="s">
        <v>1919</v>
      </c>
      <c r="DS17" t="s">
        <v>1953</v>
      </c>
      <c r="DT17" t="s">
        <v>1919</v>
      </c>
      <c r="DU17" t="s">
        <v>1919</v>
      </c>
      <c r="DV17" t="s">
        <v>1919</v>
      </c>
      <c r="DW17" t="s">
        <v>1953</v>
      </c>
      <c r="DX17" t="s">
        <v>1953</v>
      </c>
      <c r="DY17" t="s">
        <v>1953</v>
      </c>
      <c r="DZ17" t="s">
        <v>1953</v>
      </c>
      <c r="EA17" t="s">
        <v>1919</v>
      </c>
      <c r="EB17" t="s">
        <v>1919</v>
      </c>
      <c r="EC17" t="s">
        <v>1919</v>
      </c>
      <c r="ED17" t="s">
        <v>1953</v>
      </c>
      <c r="EE17" t="s">
        <v>1953</v>
      </c>
      <c r="EF17" t="s">
        <v>1953</v>
      </c>
      <c r="EG17" t="s">
        <v>1919</v>
      </c>
      <c r="EH17" t="s">
        <v>1919</v>
      </c>
      <c r="EI17" t="s">
        <v>1919</v>
      </c>
      <c r="EJ17" t="s">
        <v>1919</v>
      </c>
      <c r="EK17" t="s">
        <v>1919</v>
      </c>
      <c r="EL17" t="s">
        <v>1919</v>
      </c>
      <c r="EM17" t="s">
        <v>1953</v>
      </c>
      <c r="EN17" t="s">
        <v>1953</v>
      </c>
      <c r="EO17" t="s">
        <v>1953</v>
      </c>
      <c r="ET17" t="s">
        <v>1953</v>
      </c>
      <c r="EU17" t="s">
        <v>1953</v>
      </c>
      <c r="EV17" t="s">
        <v>1953</v>
      </c>
      <c r="EW17" t="s">
        <v>1953</v>
      </c>
      <c r="EX17" t="s">
        <v>1953</v>
      </c>
      <c r="EY17" t="s">
        <v>1919</v>
      </c>
      <c r="EZ17" t="s">
        <v>1953</v>
      </c>
      <c r="FA17" t="s">
        <v>1919</v>
      </c>
      <c r="FB17" t="s">
        <v>1919</v>
      </c>
      <c r="FC17" t="s">
        <v>1919</v>
      </c>
      <c r="FD17" t="s">
        <v>1953</v>
      </c>
      <c r="FE17" t="s">
        <v>1953</v>
      </c>
      <c r="FF17" t="s">
        <v>1919</v>
      </c>
      <c r="FG17" t="s">
        <v>1919</v>
      </c>
      <c r="FH17" t="s">
        <v>1919</v>
      </c>
      <c r="FI17" t="s">
        <v>1919</v>
      </c>
      <c r="FJ17" t="s">
        <v>1953</v>
      </c>
      <c r="FK17" t="s">
        <v>1953</v>
      </c>
      <c r="FL17" t="s">
        <v>1953</v>
      </c>
      <c r="FM17" t="s">
        <v>1953</v>
      </c>
      <c r="FN17" t="s">
        <v>1953</v>
      </c>
      <c r="FO17" t="s">
        <v>1953</v>
      </c>
      <c r="FP17" t="s">
        <v>1953</v>
      </c>
      <c r="FQ17" t="s">
        <v>1953</v>
      </c>
      <c r="FR17" t="s">
        <v>1953</v>
      </c>
      <c r="FS17" t="s">
        <v>1953</v>
      </c>
      <c r="FT17" t="s">
        <v>1953</v>
      </c>
      <c r="FU17" t="s">
        <v>1953</v>
      </c>
      <c r="FV17" t="s">
        <v>1953</v>
      </c>
      <c r="FW17" t="s">
        <v>1953</v>
      </c>
      <c r="FX17" t="s">
        <v>1953</v>
      </c>
      <c r="FY17" t="s">
        <v>1919</v>
      </c>
      <c r="FZ17" t="s">
        <v>1919</v>
      </c>
      <c r="GA17" t="s">
        <v>1919</v>
      </c>
      <c r="GB17" t="s">
        <v>1953</v>
      </c>
      <c r="GC17" t="s">
        <v>1953</v>
      </c>
      <c r="GD17" t="s">
        <v>1953</v>
      </c>
      <c r="GE17" t="s">
        <v>1953</v>
      </c>
      <c r="GF17" t="s">
        <v>1953</v>
      </c>
      <c r="GG17" t="s">
        <v>1953</v>
      </c>
      <c r="GH17" t="s">
        <v>1953</v>
      </c>
      <c r="GI17" t="s">
        <v>1953</v>
      </c>
      <c r="GJ17" t="s">
        <v>1953</v>
      </c>
      <c r="GK17" t="s">
        <v>1953</v>
      </c>
      <c r="GL17" t="s">
        <v>1953</v>
      </c>
      <c r="GM17" t="s">
        <v>1953</v>
      </c>
      <c r="GN17" t="s">
        <v>1953</v>
      </c>
      <c r="GO17" t="s">
        <v>1953</v>
      </c>
      <c r="GP17" t="s">
        <v>1953</v>
      </c>
      <c r="GQ17" t="s">
        <v>1953</v>
      </c>
      <c r="GR17" t="s">
        <v>1953</v>
      </c>
      <c r="GS17" t="s">
        <v>1953</v>
      </c>
      <c r="GT17" t="s">
        <v>1953</v>
      </c>
      <c r="GU17" t="s">
        <v>1953</v>
      </c>
      <c r="GV17" t="s">
        <v>1953</v>
      </c>
      <c r="GW17" t="s">
        <v>1953</v>
      </c>
      <c r="GX17" t="s">
        <v>1953</v>
      </c>
      <c r="GY17" t="s">
        <v>1953</v>
      </c>
      <c r="GZ17" t="s">
        <v>1953</v>
      </c>
      <c r="HA17" t="s">
        <v>1953</v>
      </c>
      <c r="HB17" t="s">
        <v>1953</v>
      </c>
      <c r="HC17" t="s">
        <v>1953</v>
      </c>
      <c r="HD17" t="s">
        <v>1919</v>
      </c>
      <c r="HE17" t="s">
        <v>1953</v>
      </c>
      <c r="HF17" t="s">
        <v>1919</v>
      </c>
      <c r="HG17" t="s">
        <v>1953</v>
      </c>
      <c r="HH17" t="s">
        <v>1953</v>
      </c>
      <c r="HI17" t="s">
        <v>1953</v>
      </c>
      <c r="HJ17" t="s">
        <v>1953</v>
      </c>
      <c r="HK17" t="s">
        <v>1953</v>
      </c>
      <c r="HL17" t="s">
        <v>1953</v>
      </c>
      <c r="HM17" t="s">
        <v>1953</v>
      </c>
      <c r="HN17" t="s">
        <v>1953</v>
      </c>
      <c r="HO17" t="s">
        <v>1919</v>
      </c>
      <c r="HP17" t="s">
        <v>1953</v>
      </c>
      <c r="HQ17" t="s">
        <v>1919</v>
      </c>
      <c r="HR17" t="s">
        <v>1919</v>
      </c>
      <c r="HS17" t="s">
        <v>1919</v>
      </c>
      <c r="HT17" t="s">
        <v>1953</v>
      </c>
      <c r="HU17" t="s">
        <v>1953</v>
      </c>
      <c r="HV17" t="s">
        <v>1953</v>
      </c>
      <c r="HW17" t="s">
        <v>1953</v>
      </c>
      <c r="HX17" t="s">
        <v>1953</v>
      </c>
      <c r="HY17" t="s">
        <v>1953</v>
      </c>
      <c r="HZ17" t="s">
        <v>1953</v>
      </c>
      <c r="IA17" t="s">
        <v>1953</v>
      </c>
      <c r="IB17" t="s">
        <v>1953</v>
      </c>
      <c r="IC17" t="s">
        <v>1953</v>
      </c>
      <c r="ID17" t="s">
        <v>1953</v>
      </c>
      <c r="IE17" t="s">
        <v>1953</v>
      </c>
      <c r="IF17" t="s">
        <v>1919</v>
      </c>
      <c r="IG17" t="s">
        <v>1919</v>
      </c>
      <c r="IH17" t="s">
        <v>1919</v>
      </c>
      <c r="II17" t="s">
        <v>1919</v>
      </c>
      <c r="IJ17" t="s">
        <v>1919</v>
      </c>
      <c r="IK17" t="s">
        <v>1953</v>
      </c>
      <c r="IL17" t="s">
        <v>1953</v>
      </c>
      <c r="IM17" t="s">
        <v>1953</v>
      </c>
      <c r="IN17" t="s">
        <v>1953</v>
      </c>
      <c r="IO17" t="s">
        <v>1919</v>
      </c>
      <c r="IP17" t="s">
        <v>1953</v>
      </c>
      <c r="IQ17" t="s">
        <v>1953</v>
      </c>
      <c r="IR17" t="s">
        <v>1953</v>
      </c>
      <c r="IS17" t="s">
        <v>1953</v>
      </c>
      <c r="IT17" t="s">
        <v>1953</v>
      </c>
      <c r="IU17" t="s">
        <v>1953</v>
      </c>
      <c r="IV17" t="s">
        <v>1953</v>
      </c>
      <c r="IW17" t="s">
        <v>1953</v>
      </c>
      <c r="IX17" t="s">
        <v>1953</v>
      </c>
      <c r="IY17" t="s">
        <v>1953</v>
      </c>
      <c r="IZ17" t="s">
        <v>1953</v>
      </c>
      <c r="JA17" t="s">
        <v>1953</v>
      </c>
      <c r="JB17" t="s">
        <v>1919</v>
      </c>
      <c r="JC17" t="s">
        <v>1953</v>
      </c>
      <c r="JD17" t="s">
        <v>1953</v>
      </c>
      <c r="JE17" t="s">
        <v>1953</v>
      </c>
      <c r="JF17" t="s">
        <v>1953</v>
      </c>
      <c r="JG17" t="s">
        <v>1953</v>
      </c>
      <c r="JH17" t="s">
        <v>1953</v>
      </c>
      <c r="JI17" t="s">
        <v>1953</v>
      </c>
      <c r="JJ17" t="s">
        <v>1953</v>
      </c>
      <c r="JK17" t="s">
        <v>1953</v>
      </c>
      <c r="JL17" t="s">
        <v>1919</v>
      </c>
      <c r="JM17" t="s">
        <v>1953</v>
      </c>
      <c r="JN17" t="s">
        <v>1953</v>
      </c>
      <c r="JO17" t="s">
        <v>1953</v>
      </c>
      <c r="JP17" t="s">
        <v>1953</v>
      </c>
      <c r="JQ17" t="s">
        <v>1953</v>
      </c>
      <c r="JR17" t="s">
        <v>1953</v>
      </c>
      <c r="JS17" t="s">
        <v>1953</v>
      </c>
      <c r="JT17" t="s">
        <v>1919</v>
      </c>
      <c r="JU17" t="s">
        <v>1953</v>
      </c>
      <c r="JV17" t="s">
        <v>1919</v>
      </c>
      <c r="JW17" t="s">
        <v>1953</v>
      </c>
      <c r="JX17" t="s">
        <v>1953</v>
      </c>
      <c r="JY17" t="s">
        <v>1953</v>
      </c>
      <c r="JZ17" t="s">
        <v>1919</v>
      </c>
      <c r="KA17" t="s">
        <v>1953</v>
      </c>
      <c r="KB17" t="s">
        <v>1953</v>
      </c>
      <c r="KC17" t="s">
        <v>1953</v>
      </c>
      <c r="KD17" t="s">
        <v>1953</v>
      </c>
      <c r="KE17" t="s">
        <v>1953</v>
      </c>
      <c r="KF17" t="s">
        <v>1953</v>
      </c>
      <c r="KG17" t="s">
        <v>1953</v>
      </c>
      <c r="KH17" t="s">
        <v>1953</v>
      </c>
      <c r="KI17" t="s">
        <v>1953</v>
      </c>
      <c r="KJ17" t="s">
        <v>1953</v>
      </c>
      <c r="KK17" t="s">
        <v>1953</v>
      </c>
      <c r="KL17" t="s">
        <v>1953</v>
      </c>
      <c r="KM17" t="s">
        <v>1953</v>
      </c>
      <c r="KN17" t="s">
        <v>1919</v>
      </c>
      <c r="KO17" t="s">
        <v>1953</v>
      </c>
      <c r="KP17" t="s">
        <v>1953</v>
      </c>
      <c r="KQ17" t="s">
        <v>1953</v>
      </c>
      <c r="KR17" t="s">
        <v>1953</v>
      </c>
      <c r="KS17" t="s">
        <v>1953</v>
      </c>
      <c r="KT17" t="s">
        <v>1953</v>
      </c>
      <c r="KU17" t="s">
        <v>1953</v>
      </c>
      <c r="KV17" t="s">
        <v>1953</v>
      </c>
      <c r="KW17" t="s">
        <v>1953</v>
      </c>
      <c r="KX17" t="s">
        <v>1953</v>
      </c>
      <c r="KY17" t="s">
        <v>1953</v>
      </c>
      <c r="KZ17" t="s">
        <v>1953</v>
      </c>
      <c r="LA17" t="s">
        <v>1953</v>
      </c>
      <c r="LB17" t="s">
        <v>1953</v>
      </c>
      <c r="LC17" t="s">
        <v>1953</v>
      </c>
      <c r="LD17" t="s">
        <v>1953</v>
      </c>
      <c r="LE17" t="s">
        <v>1953</v>
      </c>
      <c r="LF17" t="s">
        <v>1953</v>
      </c>
      <c r="LG17" t="s">
        <v>1919</v>
      </c>
      <c r="LH17" t="s">
        <v>1919</v>
      </c>
      <c r="LI17" t="s">
        <v>1919</v>
      </c>
      <c r="LJ17" t="s">
        <v>1953</v>
      </c>
      <c r="LK17" t="s">
        <v>1919</v>
      </c>
      <c r="LL17" t="s">
        <v>1919</v>
      </c>
      <c r="LM17" t="s">
        <v>1953</v>
      </c>
      <c r="LN17" t="s">
        <v>1953</v>
      </c>
      <c r="LO17" t="s">
        <v>1919</v>
      </c>
      <c r="LP17" t="s">
        <v>1919</v>
      </c>
      <c r="LQ17" t="s">
        <v>1919</v>
      </c>
      <c r="LR17" t="s">
        <v>1919</v>
      </c>
      <c r="LS17" t="s">
        <v>1953</v>
      </c>
      <c r="LT17" t="s">
        <v>1953</v>
      </c>
      <c r="LU17" t="s">
        <v>1953</v>
      </c>
      <c r="LV17" t="s">
        <v>1953</v>
      </c>
      <c r="LW17" t="s">
        <v>1919</v>
      </c>
      <c r="LX17" t="s">
        <v>1953</v>
      </c>
      <c r="LY17" t="s">
        <v>1953</v>
      </c>
      <c r="LZ17" t="s">
        <v>1953</v>
      </c>
      <c r="MA17" t="s">
        <v>1953</v>
      </c>
      <c r="MB17" t="s">
        <v>1953</v>
      </c>
      <c r="MC17" t="s">
        <v>1953</v>
      </c>
      <c r="MD17" t="s">
        <v>1919</v>
      </c>
      <c r="ME17" t="s">
        <v>1953</v>
      </c>
      <c r="MF17" t="s">
        <v>1953</v>
      </c>
      <c r="MG17" t="s">
        <v>1919</v>
      </c>
      <c r="MH17" t="s">
        <v>1919</v>
      </c>
      <c r="MI17" t="s">
        <v>1919</v>
      </c>
      <c r="MJ17" t="s">
        <v>1953</v>
      </c>
      <c r="MK17" t="s">
        <v>1953</v>
      </c>
      <c r="ML17" t="s">
        <v>1953</v>
      </c>
      <c r="MM17" t="s">
        <v>1953</v>
      </c>
      <c r="MN17" t="s">
        <v>1953</v>
      </c>
      <c r="MO17" t="s">
        <v>1953</v>
      </c>
      <c r="MP17" t="s">
        <v>1953</v>
      </c>
      <c r="MQ17" t="s">
        <v>1953</v>
      </c>
      <c r="MR17" t="s">
        <v>1953</v>
      </c>
      <c r="MS17" t="s">
        <v>1953</v>
      </c>
      <c r="MT17" t="s">
        <v>1953</v>
      </c>
      <c r="MU17" t="s">
        <v>1953</v>
      </c>
      <c r="MV17" t="s">
        <v>1953</v>
      </c>
      <c r="MW17" t="s">
        <v>1953</v>
      </c>
      <c r="MX17" t="s">
        <v>1919</v>
      </c>
      <c r="MY17" t="s">
        <v>1953</v>
      </c>
      <c r="MZ17" t="s">
        <v>1919</v>
      </c>
      <c r="NA17" t="s">
        <v>1953</v>
      </c>
      <c r="NB17" t="s">
        <v>1953</v>
      </c>
      <c r="NC17" t="s">
        <v>1953</v>
      </c>
      <c r="ND17" t="s">
        <v>1953</v>
      </c>
      <c r="NG17" t="s">
        <v>1953</v>
      </c>
      <c r="NH17" t="s">
        <v>1953</v>
      </c>
      <c r="NI17" t="s">
        <v>1953</v>
      </c>
      <c r="NJ17" t="s">
        <v>1953</v>
      </c>
      <c r="NK17" t="s">
        <v>1953</v>
      </c>
      <c r="NL17" t="s">
        <v>1953</v>
      </c>
      <c r="NM17" t="s">
        <v>1953</v>
      </c>
      <c r="NN17" t="s">
        <v>1919</v>
      </c>
      <c r="NO17" t="s">
        <v>1954</v>
      </c>
      <c r="NP17" t="s">
        <v>1955</v>
      </c>
      <c r="NR17" t="s">
        <v>1473</v>
      </c>
      <c r="NS17" t="s">
        <v>1956</v>
      </c>
      <c r="NU17" t="s">
        <v>1841</v>
      </c>
      <c r="NV17" t="s">
        <v>1847</v>
      </c>
      <c r="NX17" t="s">
        <v>1957</v>
      </c>
      <c r="NY17" t="s">
        <v>1858</v>
      </c>
    </row>
    <row r="18" spans="1:389" ht="15" customHeight="1" x14ac:dyDescent="0.25">
      <c r="A18" t="s">
        <v>1927</v>
      </c>
      <c r="B18" t="s">
        <v>1885</v>
      </c>
      <c r="C18" t="s">
        <v>1850</v>
      </c>
      <c r="D18" t="s">
        <v>1474</v>
      </c>
      <c r="G18" t="s">
        <v>1927</v>
      </c>
      <c r="H18" t="s">
        <v>1958</v>
      </c>
      <c r="I18" t="s">
        <v>1958</v>
      </c>
      <c r="J18" t="s">
        <v>1958</v>
      </c>
      <c r="K18" t="s">
        <v>1927</v>
      </c>
      <c r="L18" t="s">
        <v>1927</v>
      </c>
      <c r="M18" t="s">
        <v>1927</v>
      </c>
      <c r="N18" t="s">
        <v>1927</v>
      </c>
      <c r="O18" t="s">
        <v>1958</v>
      </c>
      <c r="P18" t="s">
        <v>1927</v>
      </c>
      <c r="Q18" t="s">
        <v>1958</v>
      </c>
      <c r="R18" t="s">
        <v>1927</v>
      </c>
      <c r="S18" t="s">
        <v>1927</v>
      </c>
      <c r="T18" t="s">
        <v>1958</v>
      </c>
      <c r="U18" t="s">
        <v>1958</v>
      </c>
      <c r="V18" t="s">
        <v>1958</v>
      </c>
      <c r="W18" t="s">
        <v>1958</v>
      </c>
      <c r="X18" t="s">
        <v>1958</v>
      </c>
      <c r="Y18" t="s">
        <v>1958</v>
      </c>
      <c r="AA18" t="s">
        <v>1958</v>
      </c>
      <c r="AB18" t="s">
        <v>1958</v>
      </c>
      <c r="AC18" t="s">
        <v>1958</v>
      </c>
      <c r="AD18" t="s">
        <v>1958</v>
      </c>
      <c r="AE18" t="s">
        <v>1958</v>
      </c>
      <c r="AF18" t="s">
        <v>1958</v>
      </c>
      <c r="AG18" t="s">
        <v>1958</v>
      </c>
      <c r="AH18" t="s">
        <v>1927</v>
      </c>
      <c r="AI18" t="s">
        <v>1958</v>
      </c>
      <c r="AJ18" t="s">
        <v>1958</v>
      </c>
      <c r="AK18" t="s">
        <v>1958</v>
      </c>
      <c r="AL18" t="s">
        <v>1958</v>
      </c>
      <c r="AM18" t="s">
        <v>1927</v>
      </c>
      <c r="AN18" t="s">
        <v>1958</v>
      </c>
      <c r="AO18" t="s">
        <v>1927</v>
      </c>
      <c r="AP18" t="s">
        <v>1927</v>
      </c>
      <c r="AQ18" t="s">
        <v>1927</v>
      </c>
      <c r="AR18" t="s">
        <v>1927</v>
      </c>
      <c r="AS18" t="s">
        <v>1958</v>
      </c>
      <c r="AT18" t="s">
        <v>1958</v>
      </c>
      <c r="AU18" t="s">
        <v>1958</v>
      </c>
      <c r="AV18" t="s">
        <v>1958</v>
      </c>
      <c r="AW18" t="s">
        <v>1958</v>
      </c>
      <c r="AX18" t="s">
        <v>1958</v>
      </c>
      <c r="AY18" t="s">
        <v>1958</v>
      </c>
      <c r="AZ18" t="s">
        <v>1958</v>
      </c>
      <c r="BA18" t="s">
        <v>1958</v>
      </c>
      <c r="BB18" t="s">
        <v>1958</v>
      </c>
      <c r="BC18" t="s">
        <v>1958</v>
      </c>
      <c r="BD18" t="s">
        <v>1958</v>
      </c>
      <c r="BE18" t="s">
        <v>1958</v>
      </c>
      <c r="BF18" t="s">
        <v>1958</v>
      </c>
      <c r="BG18" t="s">
        <v>1958</v>
      </c>
      <c r="BH18" t="s">
        <v>1958</v>
      </c>
      <c r="BI18" t="s">
        <v>1958</v>
      </c>
      <c r="BJ18" t="s">
        <v>1958</v>
      </c>
      <c r="BK18" t="s">
        <v>1958</v>
      </c>
      <c r="BL18" t="s">
        <v>1958</v>
      </c>
      <c r="BM18" t="s">
        <v>1958</v>
      </c>
      <c r="BN18" t="s">
        <v>1958</v>
      </c>
      <c r="BO18" t="s">
        <v>1958</v>
      </c>
      <c r="BP18" t="s">
        <v>1958</v>
      </c>
      <c r="BQ18" t="s">
        <v>1958</v>
      </c>
      <c r="BR18" t="s">
        <v>1958</v>
      </c>
      <c r="BS18" t="s">
        <v>1958</v>
      </c>
      <c r="BT18" t="s">
        <v>1958</v>
      </c>
      <c r="BU18" t="s">
        <v>1958</v>
      </c>
      <c r="BV18" t="s">
        <v>1958</v>
      </c>
      <c r="BW18" t="s">
        <v>1958</v>
      </c>
      <c r="BX18" t="s">
        <v>1958</v>
      </c>
      <c r="BY18" t="s">
        <v>1958</v>
      </c>
      <c r="BZ18" t="s">
        <v>1927</v>
      </c>
      <c r="CA18" t="s">
        <v>1927</v>
      </c>
      <c r="CB18" t="s">
        <v>1958</v>
      </c>
      <c r="CC18" t="s">
        <v>1958</v>
      </c>
      <c r="CD18" t="s">
        <v>1958</v>
      </c>
      <c r="CE18" t="s">
        <v>1927</v>
      </c>
      <c r="CF18" t="s">
        <v>1958</v>
      </c>
      <c r="CG18" t="s">
        <v>1958</v>
      </c>
      <c r="CH18" t="s">
        <v>1958</v>
      </c>
      <c r="CI18" t="s">
        <v>1958</v>
      </c>
      <c r="CJ18" t="s">
        <v>1958</v>
      </c>
      <c r="CK18" t="s">
        <v>1927</v>
      </c>
      <c r="CL18" t="s">
        <v>1927</v>
      </c>
      <c r="CM18" t="s">
        <v>1927</v>
      </c>
      <c r="CN18" t="s">
        <v>1927</v>
      </c>
      <c r="CO18" t="s">
        <v>1927</v>
      </c>
      <c r="CP18" t="s">
        <v>1927</v>
      </c>
      <c r="CQ18" t="s">
        <v>1927</v>
      </c>
      <c r="CR18" t="s">
        <v>1927</v>
      </c>
      <c r="CS18" t="s">
        <v>1958</v>
      </c>
      <c r="CT18" t="s">
        <v>1958</v>
      </c>
      <c r="CU18" t="s">
        <v>1927</v>
      </c>
      <c r="CV18" t="s">
        <v>1958</v>
      </c>
      <c r="CW18" t="s">
        <v>1958</v>
      </c>
      <c r="CX18" t="s">
        <v>1958</v>
      </c>
      <c r="CY18" t="s">
        <v>1958</v>
      </c>
      <c r="CZ18" t="s">
        <v>1927</v>
      </c>
      <c r="DA18" t="s">
        <v>1927</v>
      </c>
      <c r="DB18" t="s">
        <v>1927</v>
      </c>
      <c r="DC18" t="s">
        <v>1927</v>
      </c>
      <c r="DD18" t="s">
        <v>1958</v>
      </c>
      <c r="DE18" t="s">
        <v>1958</v>
      </c>
      <c r="DF18" t="s">
        <v>1958</v>
      </c>
      <c r="DG18" t="s">
        <v>1958</v>
      </c>
      <c r="DH18" t="s">
        <v>1958</v>
      </c>
      <c r="DI18" t="s">
        <v>1958</v>
      </c>
      <c r="DJ18" t="s">
        <v>1927</v>
      </c>
      <c r="DK18" t="s">
        <v>1927</v>
      </c>
      <c r="DL18" t="s">
        <v>1958</v>
      </c>
      <c r="DM18" t="s">
        <v>1958</v>
      </c>
      <c r="DN18" t="s">
        <v>1958</v>
      </c>
      <c r="DO18" t="s">
        <v>1927</v>
      </c>
      <c r="DP18" t="s">
        <v>1927</v>
      </c>
      <c r="DQ18" t="s">
        <v>1927</v>
      </c>
      <c r="DR18" t="s">
        <v>1927</v>
      </c>
      <c r="DS18" t="s">
        <v>1958</v>
      </c>
      <c r="DT18" t="s">
        <v>1927</v>
      </c>
      <c r="DU18" t="s">
        <v>1927</v>
      </c>
      <c r="DV18" t="s">
        <v>1927</v>
      </c>
      <c r="DW18" t="s">
        <v>1958</v>
      </c>
      <c r="DX18" t="s">
        <v>1958</v>
      </c>
      <c r="DY18" t="s">
        <v>1958</v>
      </c>
      <c r="DZ18" t="s">
        <v>1958</v>
      </c>
      <c r="EA18" t="s">
        <v>1927</v>
      </c>
      <c r="EB18" t="s">
        <v>1927</v>
      </c>
      <c r="EC18" t="s">
        <v>1927</v>
      </c>
      <c r="ED18" t="s">
        <v>1958</v>
      </c>
      <c r="EE18" t="s">
        <v>1958</v>
      </c>
      <c r="EF18" t="s">
        <v>1958</v>
      </c>
      <c r="EG18" t="s">
        <v>1927</v>
      </c>
      <c r="EH18" t="s">
        <v>1927</v>
      </c>
      <c r="EI18" t="s">
        <v>1927</v>
      </c>
      <c r="EJ18" t="s">
        <v>1927</v>
      </c>
      <c r="EK18" t="s">
        <v>1927</v>
      </c>
      <c r="EL18" t="s">
        <v>1927</v>
      </c>
      <c r="EM18" t="s">
        <v>1958</v>
      </c>
      <c r="EN18" t="s">
        <v>1958</v>
      </c>
      <c r="EO18" t="s">
        <v>1958</v>
      </c>
      <c r="ET18" t="s">
        <v>1958</v>
      </c>
      <c r="EU18" t="s">
        <v>1958</v>
      </c>
      <c r="EV18" t="s">
        <v>1958</v>
      </c>
      <c r="EW18" t="s">
        <v>1958</v>
      </c>
      <c r="EX18" t="s">
        <v>1958</v>
      </c>
      <c r="EY18" t="s">
        <v>1927</v>
      </c>
      <c r="EZ18" t="s">
        <v>1958</v>
      </c>
      <c r="FA18" t="s">
        <v>1927</v>
      </c>
      <c r="FB18" t="s">
        <v>1927</v>
      </c>
      <c r="FC18" t="s">
        <v>1927</v>
      </c>
      <c r="FD18" t="s">
        <v>1958</v>
      </c>
      <c r="FE18" t="s">
        <v>1958</v>
      </c>
      <c r="FF18" t="s">
        <v>1927</v>
      </c>
      <c r="FG18" t="s">
        <v>1927</v>
      </c>
      <c r="FH18" t="s">
        <v>1927</v>
      </c>
      <c r="FI18" t="s">
        <v>1927</v>
      </c>
      <c r="FJ18" t="s">
        <v>1958</v>
      </c>
      <c r="FK18" t="s">
        <v>1958</v>
      </c>
      <c r="FL18" t="s">
        <v>1958</v>
      </c>
      <c r="FM18" t="s">
        <v>1958</v>
      </c>
      <c r="FN18" t="s">
        <v>1958</v>
      </c>
      <c r="FO18" t="s">
        <v>1958</v>
      </c>
      <c r="FP18" t="s">
        <v>1958</v>
      </c>
      <c r="FQ18" t="s">
        <v>1958</v>
      </c>
      <c r="FR18" t="s">
        <v>1958</v>
      </c>
      <c r="FS18" t="s">
        <v>1958</v>
      </c>
      <c r="FT18" t="s">
        <v>1958</v>
      </c>
      <c r="FU18" t="s">
        <v>1958</v>
      </c>
      <c r="FV18" t="s">
        <v>1958</v>
      </c>
      <c r="FW18" t="s">
        <v>1958</v>
      </c>
      <c r="FX18" t="s">
        <v>1958</v>
      </c>
      <c r="FY18" t="s">
        <v>1927</v>
      </c>
      <c r="FZ18" t="s">
        <v>1927</v>
      </c>
      <c r="GA18" t="s">
        <v>1927</v>
      </c>
      <c r="GB18" t="s">
        <v>1958</v>
      </c>
      <c r="GC18" t="s">
        <v>1958</v>
      </c>
      <c r="GD18" t="s">
        <v>1958</v>
      </c>
      <c r="GE18" t="s">
        <v>1958</v>
      </c>
      <c r="GF18" t="s">
        <v>1958</v>
      </c>
      <c r="GG18" t="s">
        <v>1958</v>
      </c>
      <c r="GH18" t="s">
        <v>1958</v>
      </c>
      <c r="GI18" t="s">
        <v>1958</v>
      </c>
      <c r="GJ18" t="s">
        <v>1958</v>
      </c>
      <c r="GK18" t="s">
        <v>1958</v>
      </c>
      <c r="GL18" t="s">
        <v>1958</v>
      </c>
      <c r="GM18" t="s">
        <v>1958</v>
      </c>
      <c r="GN18" t="s">
        <v>1958</v>
      </c>
      <c r="GO18" t="s">
        <v>1958</v>
      </c>
      <c r="GP18" t="s">
        <v>1958</v>
      </c>
      <c r="GQ18" t="s">
        <v>1958</v>
      </c>
      <c r="GR18" t="s">
        <v>1958</v>
      </c>
      <c r="GS18" t="s">
        <v>1958</v>
      </c>
      <c r="GT18" t="s">
        <v>1958</v>
      </c>
      <c r="GU18" t="s">
        <v>1958</v>
      </c>
      <c r="GV18" t="s">
        <v>1958</v>
      </c>
      <c r="GW18" t="s">
        <v>1958</v>
      </c>
      <c r="GX18" t="s">
        <v>1958</v>
      </c>
      <c r="GY18" t="s">
        <v>1958</v>
      </c>
      <c r="GZ18" t="s">
        <v>1958</v>
      </c>
      <c r="HA18" t="s">
        <v>1958</v>
      </c>
      <c r="HB18" t="s">
        <v>1958</v>
      </c>
      <c r="HC18" t="s">
        <v>1958</v>
      </c>
      <c r="HD18" t="s">
        <v>1927</v>
      </c>
      <c r="HE18" t="s">
        <v>1958</v>
      </c>
      <c r="HF18" t="s">
        <v>1927</v>
      </c>
      <c r="HG18" t="s">
        <v>1958</v>
      </c>
      <c r="HH18" t="s">
        <v>1958</v>
      </c>
      <c r="HI18" t="s">
        <v>1958</v>
      </c>
      <c r="HJ18" t="s">
        <v>1958</v>
      </c>
      <c r="HK18" t="s">
        <v>1958</v>
      </c>
      <c r="HL18" t="s">
        <v>1958</v>
      </c>
      <c r="HM18" t="s">
        <v>1958</v>
      </c>
      <c r="HN18" t="s">
        <v>1958</v>
      </c>
      <c r="HO18" t="s">
        <v>1927</v>
      </c>
      <c r="HP18" t="s">
        <v>1958</v>
      </c>
      <c r="HQ18" t="s">
        <v>1927</v>
      </c>
      <c r="HR18" t="s">
        <v>1927</v>
      </c>
      <c r="HS18" t="s">
        <v>1927</v>
      </c>
      <c r="HT18" t="s">
        <v>1958</v>
      </c>
      <c r="HU18" t="s">
        <v>1958</v>
      </c>
      <c r="HV18" t="s">
        <v>1958</v>
      </c>
      <c r="HW18" t="s">
        <v>1958</v>
      </c>
      <c r="HX18" t="s">
        <v>1958</v>
      </c>
      <c r="HY18" t="s">
        <v>1958</v>
      </c>
      <c r="HZ18" t="s">
        <v>1958</v>
      </c>
      <c r="IA18" t="s">
        <v>1958</v>
      </c>
      <c r="IB18" t="s">
        <v>1958</v>
      </c>
      <c r="IC18" t="s">
        <v>1958</v>
      </c>
      <c r="ID18" t="s">
        <v>1958</v>
      </c>
      <c r="IE18" t="s">
        <v>1958</v>
      </c>
      <c r="IF18" t="s">
        <v>1927</v>
      </c>
      <c r="IG18" t="s">
        <v>1927</v>
      </c>
      <c r="IH18" t="s">
        <v>1927</v>
      </c>
      <c r="II18" t="s">
        <v>1927</v>
      </c>
      <c r="IJ18" t="s">
        <v>1927</v>
      </c>
      <c r="IK18" t="s">
        <v>1958</v>
      </c>
      <c r="IL18" t="s">
        <v>1958</v>
      </c>
      <c r="IM18" t="s">
        <v>1958</v>
      </c>
      <c r="IN18" t="s">
        <v>1958</v>
      </c>
      <c r="IO18" t="s">
        <v>1927</v>
      </c>
      <c r="IP18" t="s">
        <v>1958</v>
      </c>
      <c r="IQ18" t="s">
        <v>1958</v>
      </c>
      <c r="IR18" t="s">
        <v>1958</v>
      </c>
      <c r="IS18" t="s">
        <v>1958</v>
      </c>
      <c r="IT18" t="s">
        <v>1958</v>
      </c>
      <c r="IU18" t="s">
        <v>1958</v>
      </c>
      <c r="IV18" t="s">
        <v>1958</v>
      </c>
      <c r="IW18" t="s">
        <v>1958</v>
      </c>
      <c r="IX18" t="s">
        <v>1958</v>
      </c>
      <c r="IY18" t="s">
        <v>1958</v>
      </c>
      <c r="IZ18" t="s">
        <v>1958</v>
      </c>
      <c r="JA18" t="s">
        <v>1958</v>
      </c>
      <c r="JB18" t="s">
        <v>1927</v>
      </c>
      <c r="JC18" t="s">
        <v>1958</v>
      </c>
      <c r="JD18" t="s">
        <v>1958</v>
      </c>
      <c r="JE18" t="s">
        <v>1958</v>
      </c>
      <c r="JF18" t="s">
        <v>1958</v>
      </c>
      <c r="JG18" t="s">
        <v>1958</v>
      </c>
      <c r="JH18" t="s">
        <v>1958</v>
      </c>
      <c r="JI18" t="s">
        <v>1958</v>
      </c>
      <c r="JJ18" t="s">
        <v>1958</v>
      </c>
      <c r="JK18" t="s">
        <v>1958</v>
      </c>
      <c r="JL18" t="s">
        <v>1927</v>
      </c>
      <c r="JM18" t="s">
        <v>1958</v>
      </c>
      <c r="JN18" t="s">
        <v>1958</v>
      </c>
      <c r="JO18" t="s">
        <v>1958</v>
      </c>
      <c r="JP18" t="s">
        <v>1958</v>
      </c>
      <c r="JQ18" t="s">
        <v>1958</v>
      </c>
      <c r="JR18" t="s">
        <v>1958</v>
      </c>
      <c r="JS18" t="s">
        <v>1958</v>
      </c>
      <c r="JT18" t="s">
        <v>1927</v>
      </c>
      <c r="JU18" t="s">
        <v>1958</v>
      </c>
      <c r="JV18" t="s">
        <v>1927</v>
      </c>
      <c r="JW18" t="s">
        <v>1958</v>
      </c>
      <c r="JX18" t="s">
        <v>1958</v>
      </c>
      <c r="JY18" t="s">
        <v>1958</v>
      </c>
      <c r="JZ18" t="s">
        <v>1927</v>
      </c>
      <c r="KA18" t="s">
        <v>1958</v>
      </c>
      <c r="KB18" t="s">
        <v>1958</v>
      </c>
      <c r="KC18" t="s">
        <v>1958</v>
      </c>
      <c r="KD18" t="s">
        <v>1958</v>
      </c>
      <c r="KE18" t="s">
        <v>1958</v>
      </c>
      <c r="KF18" t="s">
        <v>1958</v>
      </c>
      <c r="KG18" t="s">
        <v>1958</v>
      </c>
      <c r="KH18" t="s">
        <v>1958</v>
      </c>
      <c r="KI18" t="s">
        <v>1958</v>
      </c>
      <c r="KJ18" t="s">
        <v>1958</v>
      </c>
      <c r="KK18" t="s">
        <v>1958</v>
      </c>
      <c r="KL18" t="s">
        <v>1958</v>
      </c>
      <c r="KM18" t="s">
        <v>1958</v>
      </c>
      <c r="KN18" t="s">
        <v>1927</v>
      </c>
      <c r="KO18" t="s">
        <v>1958</v>
      </c>
      <c r="KP18" t="s">
        <v>1958</v>
      </c>
      <c r="KQ18" t="s">
        <v>1958</v>
      </c>
      <c r="KR18" t="s">
        <v>1958</v>
      </c>
      <c r="KS18" t="s">
        <v>1958</v>
      </c>
      <c r="KT18" t="s">
        <v>1958</v>
      </c>
      <c r="KU18" t="s">
        <v>1958</v>
      </c>
      <c r="KV18" t="s">
        <v>1958</v>
      </c>
      <c r="KW18" t="s">
        <v>1958</v>
      </c>
      <c r="KX18" t="s">
        <v>1958</v>
      </c>
      <c r="KY18" t="s">
        <v>1958</v>
      </c>
      <c r="KZ18" t="s">
        <v>1958</v>
      </c>
      <c r="LA18" t="s">
        <v>1958</v>
      </c>
      <c r="LB18" t="s">
        <v>1958</v>
      </c>
      <c r="LC18" t="s">
        <v>1958</v>
      </c>
      <c r="LD18" t="s">
        <v>1958</v>
      </c>
      <c r="LE18" t="s">
        <v>1958</v>
      </c>
      <c r="LF18" t="s">
        <v>1958</v>
      </c>
      <c r="LG18" t="s">
        <v>1927</v>
      </c>
      <c r="LH18" t="s">
        <v>1927</v>
      </c>
      <c r="LI18" t="s">
        <v>1927</v>
      </c>
      <c r="LJ18" t="s">
        <v>1958</v>
      </c>
      <c r="LK18" t="s">
        <v>1927</v>
      </c>
      <c r="LL18" t="s">
        <v>1927</v>
      </c>
      <c r="LM18" t="s">
        <v>1958</v>
      </c>
      <c r="LN18" t="s">
        <v>1958</v>
      </c>
      <c r="LO18" t="s">
        <v>1927</v>
      </c>
      <c r="LP18" t="s">
        <v>1927</v>
      </c>
      <c r="LQ18" t="s">
        <v>1927</v>
      </c>
      <c r="LR18" t="s">
        <v>1927</v>
      </c>
      <c r="LS18" t="s">
        <v>1958</v>
      </c>
      <c r="LT18" t="s">
        <v>1958</v>
      </c>
      <c r="LU18" t="s">
        <v>1958</v>
      </c>
      <c r="LV18" t="s">
        <v>1958</v>
      </c>
      <c r="LW18" t="s">
        <v>1927</v>
      </c>
      <c r="LX18" t="s">
        <v>1958</v>
      </c>
      <c r="LY18" t="s">
        <v>1958</v>
      </c>
      <c r="LZ18" t="s">
        <v>1958</v>
      </c>
      <c r="MA18" t="s">
        <v>1958</v>
      </c>
      <c r="MB18" t="s">
        <v>1958</v>
      </c>
      <c r="MC18" t="s">
        <v>1958</v>
      </c>
      <c r="MD18" t="s">
        <v>1927</v>
      </c>
      <c r="ME18" t="s">
        <v>1958</v>
      </c>
      <c r="MF18" t="s">
        <v>1958</v>
      </c>
      <c r="MG18" t="s">
        <v>1927</v>
      </c>
      <c r="MH18" t="s">
        <v>1927</v>
      </c>
      <c r="MI18" t="s">
        <v>1927</v>
      </c>
      <c r="MJ18" t="s">
        <v>1958</v>
      </c>
      <c r="MK18" t="s">
        <v>1958</v>
      </c>
      <c r="ML18" t="s">
        <v>1958</v>
      </c>
      <c r="MM18" t="s">
        <v>1958</v>
      </c>
      <c r="MN18" t="s">
        <v>1958</v>
      </c>
      <c r="MO18" t="s">
        <v>1958</v>
      </c>
      <c r="MP18" t="s">
        <v>1958</v>
      </c>
      <c r="MQ18" t="s">
        <v>1958</v>
      </c>
      <c r="MR18" t="s">
        <v>1958</v>
      </c>
      <c r="MS18" t="s">
        <v>1958</v>
      </c>
      <c r="MT18" t="s">
        <v>1958</v>
      </c>
      <c r="MU18" t="s">
        <v>1958</v>
      </c>
      <c r="MV18" t="s">
        <v>1958</v>
      </c>
      <c r="MW18" t="s">
        <v>1958</v>
      </c>
      <c r="MX18" t="s">
        <v>1927</v>
      </c>
      <c r="MY18" t="s">
        <v>1958</v>
      </c>
      <c r="MZ18" t="s">
        <v>1927</v>
      </c>
      <c r="NA18" t="s">
        <v>1958</v>
      </c>
      <c r="NB18" t="s">
        <v>1958</v>
      </c>
      <c r="NC18" t="s">
        <v>1958</v>
      </c>
      <c r="ND18" t="s">
        <v>1958</v>
      </c>
      <c r="NG18" t="s">
        <v>1958</v>
      </c>
      <c r="NH18" t="s">
        <v>1958</v>
      </c>
      <c r="NI18" t="s">
        <v>1958</v>
      </c>
      <c r="NJ18" t="s">
        <v>1958</v>
      </c>
      <c r="NK18" t="s">
        <v>1958</v>
      </c>
      <c r="NL18" t="s">
        <v>1958</v>
      </c>
      <c r="NM18" t="s">
        <v>1958</v>
      </c>
      <c r="NN18" t="s">
        <v>1927</v>
      </c>
      <c r="NO18" t="s">
        <v>1959</v>
      </c>
      <c r="NP18" t="s">
        <v>1960</v>
      </c>
      <c r="NR18" t="s">
        <v>1474</v>
      </c>
      <c r="NS18" t="s">
        <v>1961</v>
      </c>
      <c r="NU18" t="s">
        <v>1962</v>
      </c>
      <c r="NV18" t="s">
        <v>1847</v>
      </c>
      <c r="NX18" t="s">
        <v>1963</v>
      </c>
      <c r="NY18" t="s">
        <v>1858</v>
      </c>
    </row>
    <row r="19" spans="1:389" ht="15" customHeight="1" x14ac:dyDescent="0.25">
      <c r="A19" t="s">
        <v>1933</v>
      </c>
      <c r="B19" t="s">
        <v>1964</v>
      </c>
      <c r="C19" t="s">
        <v>1850</v>
      </c>
      <c r="D19" t="s">
        <v>1475</v>
      </c>
      <c r="G19" t="s">
        <v>1933</v>
      </c>
      <c r="H19" t="s">
        <v>1965</v>
      </c>
      <c r="I19" t="s">
        <v>1965</v>
      </c>
      <c r="J19" t="s">
        <v>1965</v>
      </c>
      <c r="K19" t="s">
        <v>1933</v>
      </c>
      <c r="L19" t="s">
        <v>1933</v>
      </c>
      <c r="M19" t="s">
        <v>1933</v>
      </c>
      <c r="N19" t="s">
        <v>1933</v>
      </c>
      <c r="O19" t="s">
        <v>1965</v>
      </c>
      <c r="P19" t="s">
        <v>1933</v>
      </c>
      <c r="Q19" t="s">
        <v>1965</v>
      </c>
      <c r="R19" t="s">
        <v>1933</v>
      </c>
      <c r="S19" t="s">
        <v>1933</v>
      </c>
      <c r="T19" t="s">
        <v>1965</v>
      </c>
      <c r="U19" t="s">
        <v>1965</v>
      </c>
      <c r="V19" t="s">
        <v>1965</v>
      </c>
      <c r="W19" t="s">
        <v>1965</v>
      </c>
      <c r="X19" t="s">
        <v>1965</v>
      </c>
      <c r="Y19" t="s">
        <v>1965</v>
      </c>
      <c r="AA19" t="s">
        <v>1965</v>
      </c>
      <c r="AB19" t="s">
        <v>1965</v>
      </c>
      <c r="AC19" t="s">
        <v>1965</v>
      </c>
      <c r="AD19" t="s">
        <v>1965</v>
      </c>
      <c r="AE19" t="s">
        <v>1965</v>
      </c>
      <c r="AF19" t="s">
        <v>1965</v>
      </c>
      <c r="AG19" t="s">
        <v>1965</v>
      </c>
      <c r="AH19" t="s">
        <v>1933</v>
      </c>
      <c r="AI19" t="s">
        <v>1965</v>
      </c>
      <c r="AJ19" t="s">
        <v>1965</v>
      </c>
      <c r="AK19" t="s">
        <v>1965</v>
      </c>
      <c r="AL19" t="s">
        <v>1965</v>
      </c>
      <c r="AM19" t="s">
        <v>1933</v>
      </c>
      <c r="AN19" t="s">
        <v>1965</v>
      </c>
      <c r="AO19" t="s">
        <v>1933</v>
      </c>
      <c r="AP19" t="s">
        <v>1933</v>
      </c>
      <c r="AQ19" t="s">
        <v>1933</v>
      </c>
      <c r="AR19" t="s">
        <v>1933</v>
      </c>
      <c r="AS19" t="s">
        <v>1965</v>
      </c>
      <c r="AT19" t="s">
        <v>1965</v>
      </c>
      <c r="AU19" t="s">
        <v>1965</v>
      </c>
      <c r="AV19" t="s">
        <v>1965</v>
      </c>
      <c r="AW19" t="s">
        <v>1965</v>
      </c>
      <c r="AX19" t="s">
        <v>1965</v>
      </c>
      <c r="AY19" t="s">
        <v>1965</v>
      </c>
      <c r="AZ19" t="s">
        <v>1965</v>
      </c>
      <c r="BA19" t="s">
        <v>1965</v>
      </c>
      <c r="BB19" t="s">
        <v>1965</v>
      </c>
      <c r="BC19" t="s">
        <v>1965</v>
      </c>
      <c r="BD19" t="s">
        <v>1965</v>
      </c>
      <c r="BE19" t="s">
        <v>1965</v>
      </c>
      <c r="BF19" t="s">
        <v>1965</v>
      </c>
      <c r="BG19" t="s">
        <v>1965</v>
      </c>
      <c r="BH19" t="s">
        <v>1965</v>
      </c>
      <c r="BI19" t="s">
        <v>1965</v>
      </c>
      <c r="BJ19" t="s">
        <v>1965</v>
      </c>
      <c r="BK19" t="s">
        <v>1965</v>
      </c>
      <c r="BL19" t="s">
        <v>1965</v>
      </c>
      <c r="BM19" t="s">
        <v>1965</v>
      </c>
      <c r="BN19" t="s">
        <v>1965</v>
      </c>
      <c r="BO19" t="s">
        <v>1965</v>
      </c>
      <c r="BP19" t="s">
        <v>1965</v>
      </c>
      <c r="BQ19" t="s">
        <v>1965</v>
      </c>
      <c r="BR19" t="s">
        <v>1965</v>
      </c>
      <c r="BS19" t="s">
        <v>1965</v>
      </c>
      <c r="BT19" t="s">
        <v>1965</v>
      </c>
      <c r="BU19" t="s">
        <v>1965</v>
      </c>
      <c r="BV19" t="s">
        <v>1965</v>
      </c>
      <c r="BW19" t="s">
        <v>1965</v>
      </c>
      <c r="BX19" t="s">
        <v>1965</v>
      </c>
      <c r="BY19" t="s">
        <v>1965</v>
      </c>
      <c r="BZ19" t="s">
        <v>1933</v>
      </c>
      <c r="CA19" t="s">
        <v>1933</v>
      </c>
      <c r="CB19" t="s">
        <v>1965</v>
      </c>
      <c r="CC19" t="s">
        <v>1965</v>
      </c>
      <c r="CD19" t="s">
        <v>1965</v>
      </c>
      <c r="CE19" t="s">
        <v>1933</v>
      </c>
      <c r="CF19" t="s">
        <v>1965</v>
      </c>
      <c r="CG19" t="s">
        <v>1965</v>
      </c>
      <c r="CH19" t="s">
        <v>1965</v>
      </c>
      <c r="CI19" t="s">
        <v>1965</v>
      </c>
      <c r="CJ19" t="s">
        <v>1965</v>
      </c>
      <c r="CK19" t="s">
        <v>1933</v>
      </c>
      <c r="CL19" t="s">
        <v>1933</v>
      </c>
      <c r="CM19" t="s">
        <v>1933</v>
      </c>
      <c r="CN19" t="s">
        <v>1933</v>
      </c>
      <c r="CO19" t="s">
        <v>1933</v>
      </c>
      <c r="CP19" t="s">
        <v>1933</v>
      </c>
      <c r="CQ19" t="s">
        <v>1933</v>
      </c>
      <c r="CR19" t="s">
        <v>1933</v>
      </c>
      <c r="CS19" t="s">
        <v>1965</v>
      </c>
      <c r="CT19" t="s">
        <v>1965</v>
      </c>
      <c r="CU19" t="s">
        <v>1933</v>
      </c>
      <c r="CV19" t="s">
        <v>1965</v>
      </c>
      <c r="CW19" t="s">
        <v>1965</v>
      </c>
      <c r="CX19" t="s">
        <v>1965</v>
      </c>
      <c r="CY19" t="s">
        <v>1965</v>
      </c>
      <c r="CZ19" t="s">
        <v>1933</v>
      </c>
      <c r="DA19" t="s">
        <v>1933</v>
      </c>
      <c r="DB19" t="s">
        <v>1933</v>
      </c>
      <c r="DC19" t="s">
        <v>1933</v>
      </c>
      <c r="DD19" t="s">
        <v>1965</v>
      </c>
      <c r="DE19" t="s">
        <v>1965</v>
      </c>
      <c r="DF19" t="s">
        <v>1965</v>
      </c>
      <c r="DG19" t="s">
        <v>1965</v>
      </c>
      <c r="DH19" t="s">
        <v>1965</v>
      </c>
      <c r="DI19" t="s">
        <v>1965</v>
      </c>
      <c r="DJ19" t="s">
        <v>1933</v>
      </c>
      <c r="DK19" t="s">
        <v>1933</v>
      </c>
      <c r="DL19" t="s">
        <v>1965</v>
      </c>
      <c r="DM19" t="s">
        <v>1965</v>
      </c>
      <c r="DN19" t="s">
        <v>1965</v>
      </c>
      <c r="DO19" t="s">
        <v>1933</v>
      </c>
      <c r="DP19" t="s">
        <v>1933</v>
      </c>
      <c r="DQ19" t="s">
        <v>1933</v>
      </c>
      <c r="DR19" t="s">
        <v>1933</v>
      </c>
      <c r="DS19" t="s">
        <v>1965</v>
      </c>
      <c r="DT19" t="s">
        <v>1933</v>
      </c>
      <c r="DU19" t="s">
        <v>1933</v>
      </c>
      <c r="DV19" t="s">
        <v>1933</v>
      </c>
      <c r="DW19" t="s">
        <v>1965</v>
      </c>
      <c r="DX19" t="s">
        <v>1965</v>
      </c>
      <c r="DY19" t="s">
        <v>1965</v>
      </c>
      <c r="DZ19" t="s">
        <v>1965</v>
      </c>
      <c r="EA19" t="s">
        <v>1933</v>
      </c>
      <c r="EB19" t="s">
        <v>1933</v>
      </c>
      <c r="EC19" t="s">
        <v>1933</v>
      </c>
      <c r="ED19" t="s">
        <v>1965</v>
      </c>
      <c r="EE19" t="s">
        <v>1965</v>
      </c>
      <c r="EF19" t="s">
        <v>1965</v>
      </c>
      <c r="EG19" t="s">
        <v>1933</v>
      </c>
      <c r="EH19" t="s">
        <v>1933</v>
      </c>
      <c r="EI19" t="s">
        <v>1933</v>
      </c>
      <c r="EJ19" t="s">
        <v>1933</v>
      </c>
      <c r="EK19" t="s">
        <v>1933</v>
      </c>
      <c r="EL19" t="s">
        <v>1933</v>
      </c>
      <c r="EM19" t="s">
        <v>1965</v>
      </c>
      <c r="EN19" t="s">
        <v>1965</v>
      </c>
      <c r="EO19" t="s">
        <v>1965</v>
      </c>
      <c r="ET19" t="s">
        <v>1965</v>
      </c>
      <c r="EU19" t="s">
        <v>1965</v>
      </c>
      <c r="EV19" t="s">
        <v>1965</v>
      </c>
      <c r="EW19" t="s">
        <v>1965</v>
      </c>
      <c r="EX19" t="s">
        <v>1965</v>
      </c>
      <c r="EY19" t="s">
        <v>1933</v>
      </c>
      <c r="EZ19" t="s">
        <v>1965</v>
      </c>
      <c r="FA19" t="s">
        <v>1933</v>
      </c>
      <c r="FB19" t="s">
        <v>1933</v>
      </c>
      <c r="FC19" t="s">
        <v>1933</v>
      </c>
      <c r="FD19" t="s">
        <v>1965</v>
      </c>
      <c r="FE19" t="s">
        <v>1965</v>
      </c>
      <c r="FF19" t="s">
        <v>1933</v>
      </c>
      <c r="FG19" t="s">
        <v>1933</v>
      </c>
      <c r="FH19" t="s">
        <v>1933</v>
      </c>
      <c r="FI19" t="s">
        <v>1933</v>
      </c>
      <c r="FJ19" t="s">
        <v>1965</v>
      </c>
      <c r="FK19" t="s">
        <v>1965</v>
      </c>
      <c r="FL19" t="s">
        <v>1965</v>
      </c>
      <c r="FM19" t="s">
        <v>1965</v>
      </c>
      <c r="FN19" t="s">
        <v>1965</v>
      </c>
      <c r="FO19" t="s">
        <v>1965</v>
      </c>
      <c r="FP19" t="s">
        <v>1965</v>
      </c>
      <c r="FQ19" t="s">
        <v>1965</v>
      </c>
      <c r="FR19" t="s">
        <v>1965</v>
      </c>
      <c r="FS19" t="s">
        <v>1965</v>
      </c>
      <c r="FT19" t="s">
        <v>1965</v>
      </c>
      <c r="FU19" t="s">
        <v>1965</v>
      </c>
      <c r="FV19" t="s">
        <v>1965</v>
      </c>
      <c r="FW19" t="s">
        <v>1965</v>
      </c>
      <c r="FX19" t="s">
        <v>1965</v>
      </c>
      <c r="FY19" t="s">
        <v>1933</v>
      </c>
      <c r="FZ19" t="s">
        <v>1933</v>
      </c>
      <c r="GA19" t="s">
        <v>1933</v>
      </c>
      <c r="GB19" t="s">
        <v>1965</v>
      </c>
      <c r="GC19" t="s">
        <v>1965</v>
      </c>
      <c r="GD19" t="s">
        <v>1965</v>
      </c>
      <c r="GE19" t="s">
        <v>1965</v>
      </c>
      <c r="GF19" t="s">
        <v>1965</v>
      </c>
      <c r="GG19" t="s">
        <v>1965</v>
      </c>
      <c r="GH19" t="s">
        <v>1965</v>
      </c>
      <c r="GI19" t="s">
        <v>1965</v>
      </c>
      <c r="GJ19" t="s">
        <v>1965</v>
      </c>
      <c r="GK19" t="s">
        <v>1965</v>
      </c>
      <c r="GL19" t="s">
        <v>1965</v>
      </c>
      <c r="GM19" t="s">
        <v>1965</v>
      </c>
      <c r="GN19" t="s">
        <v>1965</v>
      </c>
      <c r="GO19" t="s">
        <v>1965</v>
      </c>
      <c r="GP19" t="s">
        <v>1965</v>
      </c>
      <c r="GQ19" t="s">
        <v>1965</v>
      </c>
      <c r="GR19" t="s">
        <v>1965</v>
      </c>
      <c r="GS19" t="s">
        <v>1965</v>
      </c>
      <c r="GT19" t="s">
        <v>1965</v>
      </c>
      <c r="GU19" t="s">
        <v>1965</v>
      </c>
      <c r="GV19" t="s">
        <v>1965</v>
      </c>
      <c r="GW19" t="s">
        <v>1965</v>
      </c>
      <c r="GX19" t="s">
        <v>1965</v>
      </c>
      <c r="GY19" t="s">
        <v>1965</v>
      </c>
      <c r="GZ19" t="s">
        <v>1965</v>
      </c>
      <c r="HA19" t="s">
        <v>1965</v>
      </c>
      <c r="HB19" t="s">
        <v>1965</v>
      </c>
      <c r="HC19" t="s">
        <v>1965</v>
      </c>
      <c r="HD19" t="s">
        <v>1933</v>
      </c>
      <c r="HE19" t="s">
        <v>1965</v>
      </c>
      <c r="HF19" t="s">
        <v>1933</v>
      </c>
      <c r="HG19" t="s">
        <v>1965</v>
      </c>
      <c r="HH19" t="s">
        <v>1965</v>
      </c>
      <c r="HI19" t="s">
        <v>1965</v>
      </c>
      <c r="HJ19" t="s">
        <v>1965</v>
      </c>
      <c r="HK19" t="s">
        <v>1965</v>
      </c>
      <c r="HL19" t="s">
        <v>1965</v>
      </c>
      <c r="HM19" t="s">
        <v>1965</v>
      </c>
      <c r="HN19" t="s">
        <v>1965</v>
      </c>
      <c r="HO19" t="s">
        <v>1933</v>
      </c>
      <c r="HP19" t="s">
        <v>1965</v>
      </c>
      <c r="HQ19" t="s">
        <v>1933</v>
      </c>
      <c r="HR19" t="s">
        <v>1933</v>
      </c>
      <c r="HS19" t="s">
        <v>1933</v>
      </c>
      <c r="HT19" t="s">
        <v>1965</v>
      </c>
      <c r="HU19" t="s">
        <v>1965</v>
      </c>
      <c r="HV19" t="s">
        <v>1965</v>
      </c>
      <c r="HW19" t="s">
        <v>1965</v>
      </c>
      <c r="HX19" t="s">
        <v>1965</v>
      </c>
      <c r="HY19" t="s">
        <v>1965</v>
      </c>
      <c r="HZ19" t="s">
        <v>1965</v>
      </c>
      <c r="IA19" t="s">
        <v>1965</v>
      </c>
      <c r="IB19" t="s">
        <v>1965</v>
      </c>
      <c r="IC19" t="s">
        <v>1965</v>
      </c>
      <c r="ID19" t="s">
        <v>1965</v>
      </c>
      <c r="IE19" t="s">
        <v>1965</v>
      </c>
      <c r="IF19" t="s">
        <v>1933</v>
      </c>
      <c r="IG19" t="s">
        <v>1933</v>
      </c>
      <c r="IH19" t="s">
        <v>1933</v>
      </c>
      <c r="II19" t="s">
        <v>1933</v>
      </c>
      <c r="IJ19" t="s">
        <v>1933</v>
      </c>
      <c r="IK19" t="s">
        <v>1965</v>
      </c>
      <c r="IL19" t="s">
        <v>1965</v>
      </c>
      <c r="IM19" t="s">
        <v>1965</v>
      </c>
      <c r="IN19" t="s">
        <v>1965</v>
      </c>
      <c r="IO19" t="s">
        <v>1933</v>
      </c>
      <c r="IP19" t="s">
        <v>1965</v>
      </c>
      <c r="IQ19" t="s">
        <v>1965</v>
      </c>
      <c r="IR19" t="s">
        <v>1965</v>
      </c>
      <c r="IS19" t="s">
        <v>1965</v>
      </c>
      <c r="IT19" t="s">
        <v>1965</v>
      </c>
      <c r="IU19" t="s">
        <v>1965</v>
      </c>
      <c r="IV19" t="s">
        <v>1965</v>
      </c>
      <c r="IW19" t="s">
        <v>1965</v>
      </c>
      <c r="IX19" t="s">
        <v>1965</v>
      </c>
      <c r="IY19" t="s">
        <v>1965</v>
      </c>
      <c r="IZ19" t="s">
        <v>1965</v>
      </c>
      <c r="JA19" t="s">
        <v>1965</v>
      </c>
      <c r="JB19" t="s">
        <v>1933</v>
      </c>
      <c r="JC19" t="s">
        <v>1965</v>
      </c>
      <c r="JD19" t="s">
        <v>1965</v>
      </c>
      <c r="JE19" t="s">
        <v>1965</v>
      </c>
      <c r="JF19" t="s">
        <v>1965</v>
      </c>
      <c r="JG19" t="s">
        <v>1965</v>
      </c>
      <c r="JH19" t="s">
        <v>1965</v>
      </c>
      <c r="JI19" t="s">
        <v>1965</v>
      </c>
      <c r="JJ19" t="s">
        <v>1965</v>
      </c>
      <c r="JK19" t="s">
        <v>1965</v>
      </c>
      <c r="JL19" t="s">
        <v>1933</v>
      </c>
      <c r="JM19" t="s">
        <v>1965</v>
      </c>
      <c r="JN19" t="s">
        <v>1965</v>
      </c>
      <c r="JO19" t="s">
        <v>1965</v>
      </c>
      <c r="JP19" t="s">
        <v>1965</v>
      </c>
      <c r="JQ19" t="s">
        <v>1965</v>
      </c>
      <c r="JR19" t="s">
        <v>1965</v>
      </c>
      <c r="JS19" t="s">
        <v>1965</v>
      </c>
      <c r="JT19" t="s">
        <v>1933</v>
      </c>
      <c r="JU19" t="s">
        <v>1965</v>
      </c>
      <c r="JV19" t="s">
        <v>1933</v>
      </c>
      <c r="JW19" t="s">
        <v>1965</v>
      </c>
      <c r="JX19" t="s">
        <v>1965</v>
      </c>
      <c r="JY19" t="s">
        <v>1965</v>
      </c>
      <c r="JZ19" t="s">
        <v>1933</v>
      </c>
      <c r="KA19" t="s">
        <v>1965</v>
      </c>
      <c r="KB19" t="s">
        <v>1965</v>
      </c>
      <c r="KC19" t="s">
        <v>1965</v>
      </c>
      <c r="KD19" t="s">
        <v>1965</v>
      </c>
      <c r="KE19" t="s">
        <v>1965</v>
      </c>
      <c r="KF19" t="s">
        <v>1965</v>
      </c>
      <c r="KG19" t="s">
        <v>1965</v>
      </c>
      <c r="KH19" t="s">
        <v>1965</v>
      </c>
      <c r="KI19" t="s">
        <v>1965</v>
      </c>
      <c r="KJ19" t="s">
        <v>1965</v>
      </c>
      <c r="KK19" t="s">
        <v>1965</v>
      </c>
      <c r="KL19" t="s">
        <v>1965</v>
      </c>
      <c r="KM19" t="s">
        <v>1965</v>
      </c>
      <c r="KN19" t="s">
        <v>1933</v>
      </c>
      <c r="KO19" t="s">
        <v>1965</v>
      </c>
      <c r="KP19" t="s">
        <v>1965</v>
      </c>
      <c r="KQ19" t="s">
        <v>1965</v>
      </c>
      <c r="KR19" t="s">
        <v>1965</v>
      </c>
      <c r="KS19" t="s">
        <v>1965</v>
      </c>
      <c r="KT19" t="s">
        <v>1965</v>
      </c>
      <c r="KU19" t="s">
        <v>1965</v>
      </c>
      <c r="KV19" t="s">
        <v>1965</v>
      </c>
      <c r="KW19" t="s">
        <v>1965</v>
      </c>
      <c r="KX19" t="s">
        <v>1965</v>
      </c>
      <c r="KY19" t="s">
        <v>1965</v>
      </c>
      <c r="KZ19" t="s">
        <v>1965</v>
      </c>
      <c r="LA19" t="s">
        <v>1965</v>
      </c>
      <c r="LB19" t="s">
        <v>1965</v>
      </c>
      <c r="LC19" t="s">
        <v>1965</v>
      </c>
      <c r="LD19" t="s">
        <v>1965</v>
      </c>
      <c r="LE19" t="s">
        <v>1965</v>
      </c>
      <c r="LF19" t="s">
        <v>1965</v>
      </c>
      <c r="LG19" t="s">
        <v>1933</v>
      </c>
      <c r="LH19" t="s">
        <v>1933</v>
      </c>
      <c r="LI19" t="s">
        <v>1933</v>
      </c>
      <c r="LJ19" t="s">
        <v>1965</v>
      </c>
      <c r="LK19" t="s">
        <v>1933</v>
      </c>
      <c r="LL19" t="s">
        <v>1933</v>
      </c>
      <c r="LM19" t="s">
        <v>1965</v>
      </c>
      <c r="LN19" t="s">
        <v>1965</v>
      </c>
      <c r="LO19" t="s">
        <v>1933</v>
      </c>
      <c r="LP19" t="s">
        <v>1933</v>
      </c>
      <c r="LQ19" t="s">
        <v>1933</v>
      </c>
      <c r="LR19" t="s">
        <v>1933</v>
      </c>
      <c r="LS19" t="s">
        <v>1965</v>
      </c>
      <c r="LT19" t="s">
        <v>1965</v>
      </c>
      <c r="LU19" t="s">
        <v>1965</v>
      </c>
      <c r="LV19" t="s">
        <v>1965</v>
      </c>
      <c r="LW19" t="s">
        <v>1933</v>
      </c>
      <c r="LX19" t="s">
        <v>1965</v>
      </c>
      <c r="LY19" t="s">
        <v>1965</v>
      </c>
      <c r="LZ19" t="s">
        <v>1965</v>
      </c>
      <c r="MA19" t="s">
        <v>1965</v>
      </c>
      <c r="MB19" t="s">
        <v>1965</v>
      </c>
      <c r="MC19" t="s">
        <v>1965</v>
      </c>
      <c r="MD19" t="s">
        <v>1933</v>
      </c>
      <c r="ME19" t="s">
        <v>1965</v>
      </c>
      <c r="MF19" t="s">
        <v>1965</v>
      </c>
      <c r="MG19" t="s">
        <v>1933</v>
      </c>
      <c r="MH19" t="s">
        <v>1933</v>
      </c>
      <c r="MI19" t="s">
        <v>1933</v>
      </c>
      <c r="MJ19" t="s">
        <v>1965</v>
      </c>
      <c r="MK19" t="s">
        <v>1965</v>
      </c>
      <c r="ML19" t="s">
        <v>1965</v>
      </c>
      <c r="MM19" t="s">
        <v>1965</v>
      </c>
      <c r="MN19" t="s">
        <v>1965</v>
      </c>
      <c r="MO19" t="s">
        <v>1965</v>
      </c>
      <c r="MP19" t="s">
        <v>1965</v>
      </c>
      <c r="MQ19" t="s">
        <v>1965</v>
      </c>
      <c r="MR19" t="s">
        <v>1965</v>
      </c>
      <c r="MS19" t="s">
        <v>1965</v>
      </c>
      <c r="MT19" t="s">
        <v>1965</v>
      </c>
      <c r="MU19" t="s">
        <v>1965</v>
      </c>
      <c r="MV19" t="s">
        <v>1965</v>
      </c>
      <c r="MW19" t="s">
        <v>1965</v>
      </c>
      <c r="MX19" t="s">
        <v>1933</v>
      </c>
      <c r="MY19" t="s">
        <v>1965</v>
      </c>
      <c r="MZ19" t="s">
        <v>1933</v>
      </c>
      <c r="NA19" t="s">
        <v>1965</v>
      </c>
      <c r="NB19" t="s">
        <v>1965</v>
      </c>
      <c r="NC19" t="s">
        <v>1965</v>
      </c>
      <c r="ND19" t="s">
        <v>1965</v>
      </c>
      <c r="NG19" t="s">
        <v>1965</v>
      </c>
      <c r="NH19" t="s">
        <v>1965</v>
      </c>
      <c r="NI19" t="s">
        <v>1965</v>
      </c>
      <c r="NJ19" t="s">
        <v>1965</v>
      </c>
      <c r="NK19" t="s">
        <v>1965</v>
      </c>
      <c r="NL19" t="s">
        <v>1965</v>
      </c>
      <c r="NM19" t="s">
        <v>1965</v>
      </c>
      <c r="NN19" t="s">
        <v>1933</v>
      </c>
      <c r="NO19" t="s">
        <v>1966</v>
      </c>
      <c r="NP19" t="s">
        <v>1967</v>
      </c>
      <c r="NR19" t="s">
        <v>1475</v>
      </c>
      <c r="NS19" t="s">
        <v>1968</v>
      </c>
      <c r="NU19" t="s">
        <v>1969</v>
      </c>
      <c r="NV19" t="s">
        <v>1970</v>
      </c>
      <c r="NX19" t="s">
        <v>1971</v>
      </c>
      <c r="NY19" t="s">
        <v>1858</v>
      </c>
    </row>
    <row r="20" spans="1:389" ht="15" customHeight="1" x14ac:dyDescent="0.25">
      <c r="A20" t="s">
        <v>1972</v>
      </c>
      <c r="B20" t="s">
        <v>1973</v>
      </c>
      <c r="C20" t="s">
        <v>1841</v>
      </c>
      <c r="D20" t="s">
        <v>1476</v>
      </c>
      <c r="G20" t="s">
        <v>1972</v>
      </c>
      <c r="H20" t="s">
        <v>1974</v>
      </c>
      <c r="I20" t="s">
        <v>1974</v>
      </c>
      <c r="J20" t="s">
        <v>1974</v>
      </c>
      <c r="K20" t="s">
        <v>1972</v>
      </c>
      <c r="L20" t="s">
        <v>1972</v>
      </c>
      <c r="M20" t="s">
        <v>1972</v>
      </c>
      <c r="N20" t="s">
        <v>1972</v>
      </c>
      <c r="O20" t="s">
        <v>1974</v>
      </c>
      <c r="P20" t="s">
        <v>1972</v>
      </c>
      <c r="Q20" t="s">
        <v>1974</v>
      </c>
      <c r="R20" t="s">
        <v>1972</v>
      </c>
      <c r="S20" t="s">
        <v>1972</v>
      </c>
      <c r="T20" t="s">
        <v>1974</v>
      </c>
      <c r="U20" t="s">
        <v>1974</v>
      </c>
      <c r="V20" t="s">
        <v>1974</v>
      </c>
      <c r="W20" t="s">
        <v>1974</v>
      </c>
      <c r="X20" t="s">
        <v>1974</v>
      </c>
      <c r="Y20" t="s">
        <v>1974</v>
      </c>
      <c r="AA20" t="s">
        <v>1974</v>
      </c>
      <c r="AB20" t="s">
        <v>1974</v>
      </c>
      <c r="AC20" t="s">
        <v>1974</v>
      </c>
      <c r="AD20" t="s">
        <v>1974</v>
      </c>
      <c r="AE20" t="s">
        <v>1974</v>
      </c>
      <c r="AF20" t="s">
        <v>1974</v>
      </c>
      <c r="AG20" t="s">
        <v>1974</v>
      </c>
      <c r="AH20" t="s">
        <v>1972</v>
      </c>
      <c r="AI20" t="s">
        <v>1974</v>
      </c>
      <c r="AJ20" t="s">
        <v>1974</v>
      </c>
      <c r="AK20" t="s">
        <v>1974</v>
      </c>
      <c r="AL20" t="s">
        <v>1974</v>
      </c>
      <c r="AM20" t="s">
        <v>1972</v>
      </c>
      <c r="AN20" t="s">
        <v>1974</v>
      </c>
      <c r="AO20" t="s">
        <v>1972</v>
      </c>
      <c r="AP20" t="s">
        <v>1972</v>
      </c>
      <c r="AQ20" t="s">
        <v>1972</v>
      </c>
      <c r="AR20" t="s">
        <v>1972</v>
      </c>
      <c r="AS20" t="s">
        <v>1974</v>
      </c>
      <c r="AT20" t="s">
        <v>1974</v>
      </c>
      <c r="AU20" t="s">
        <v>1974</v>
      </c>
      <c r="AV20" t="s">
        <v>1974</v>
      </c>
      <c r="AW20" t="s">
        <v>1974</v>
      </c>
      <c r="AX20" t="s">
        <v>1974</v>
      </c>
      <c r="AY20" t="s">
        <v>1974</v>
      </c>
      <c r="AZ20" t="s">
        <v>1974</v>
      </c>
      <c r="BA20" t="s">
        <v>1974</v>
      </c>
      <c r="BB20" t="s">
        <v>1974</v>
      </c>
      <c r="BC20" t="s">
        <v>1974</v>
      </c>
      <c r="BD20" t="s">
        <v>1974</v>
      </c>
      <c r="BE20" t="s">
        <v>1974</v>
      </c>
      <c r="BF20" t="s">
        <v>1974</v>
      </c>
      <c r="BG20" t="s">
        <v>1974</v>
      </c>
      <c r="BH20" t="s">
        <v>1974</v>
      </c>
      <c r="BI20" t="s">
        <v>1974</v>
      </c>
      <c r="BJ20" t="s">
        <v>1974</v>
      </c>
      <c r="BK20" t="s">
        <v>1974</v>
      </c>
      <c r="BL20" t="s">
        <v>1974</v>
      </c>
      <c r="BM20" t="s">
        <v>1974</v>
      </c>
      <c r="BN20" t="s">
        <v>1974</v>
      </c>
      <c r="BO20" t="s">
        <v>1974</v>
      </c>
      <c r="BP20" t="s">
        <v>1974</v>
      </c>
      <c r="BQ20" t="s">
        <v>1974</v>
      </c>
      <c r="BR20" t="s">
        <v>1974</v>
      </c>
      <c r="BS20" t="s">
        <v>1974</v>
      </c>
      <c r="BT20" t="s">
        <v>1974</v>
      </c>
      <c r="BU20" t="s">
        <v>1974</v>
      </c>
      <c r="BV20" t="s">
        <v>1974</v>
      </c>
      <c r="BW20" t="s">
        <v>1974</v>
      </c>
      <c r="BX20" t="s">
        <v>1974</v>
      </c>
      <c r="BY20" t="s">
        <v>1974</v>
      </c>
      <c r="BZ20" t="s">
        <v>1972</v>
      </c>
      <c r="CA20" t="s">
        <v>1972</v>
      </c>
      <c r="CB20" t="s">
        <v>1974</v>
      </c>
      <c r="CC20" t="s">
        <v>1974</v>
      </c>
      <c r="CD20" t="s">
        <v>1974</v>
      </c>
      <c r="CE20" t="s">
        <v>1972</v>
      </c>
      <c r="CF20" t="s">
        <v>1974</v>
      </c>
      <c r="CG20" t="s">
        <v>1974</v>
      </c>
      <c r="CH20" t="s">
        <v>1974</v>
      </c>
      <c r="CI20" t="s">
        <v>1974</v>
      </c>
      <c r="CJ20" t="s">
        <v>1974</v>
      </c>
      <c r="CK20" t="s">
        <v>1972</v>
      </c>
      <c r="CL20" t="s">
        <v>1972</v>
      </c>
      <c r="CM20" t="s">
        <v>1972</v>
      </c>
      <c r="CN20" t="s">
        <v>1972</v>
      </c>
      <c r="CO20" t="s">
        <v>1972</v>
      </c>
      <c r="CP20" t="s">
        <v>1972</v>
      </c>
      <c r="CQ20" t="s">
        <v>1972</v>
      </c>
      <c r="CR20" t="s">
        <v>1972</v>
      </c>
      <c r="CS20" t="s">
        <v>1974</v>
      </c>
      <c r="CT20" t="s">
        <v>1974</v>
      </c>
      <c r="CU20" t="s">
        <v>1972</v>
      </c>
      <c r="CV20" t="s">
        <v>1974</v>
      </c>
      <c r="CW20" t="s">
        <v>1974</v>
      </c>
      <c r="CX20" t="s">
        <v>1974</v>
      </c>
      <c r="CY20" t="s">
        <v>1974</v>
      </c>
      <c r="CZ20" t="s">
        <v>1972</v>
      </c>
      <c r="DA20" t="s">
        <v>1972</v>
      </c>
      <c r="DB20" t="s">
        <v>1972</v>
      </c>
      <c r="DC20" t="s">
        <v>1972</v>
      </c>
      <c r="DD20" t="s">
        <v>1974</v>
      </c>
      <c r="DE20" t="s">
        <v>1974</v>
      </c>
      <c r="DF20" t="s">
        <v>1974</v>
      </c>
      <c r="DG20" t="s">
        <v>1974</v>
      </c>
      <c r="DH20" t="s">
        <v>1974</v>
      </c>
      <c r="DI20" t="s">
        <v>1974</v>
      </c>
      <c r="DJ20" t="s">
        <v>1972</v>
      </c>
      <c r="DK20" t="s">
        <v>1972</v>
      </c>
      <c r="DL20" t="s">
        <v>1974</v>
      </c>
      <c r="DM20" t="s">
        <v>1974</v>
      </c>
      <c r="DN20" t="s">
        <v>1974</v>
      </c>
      <c r="DO20" t="s">
        <v>1972</v>
      </c>
      <c r="DP20" t="s">
        <v>1972</v>
      </c>
      <c r="DQ20" t="s">
        <v>1972</v>
      </c>
      <c r="DR20" t="s">
        <v>1972</v>
      </c>
      <c r="DS20" t="s">
        <v>1974</v>
      </c>
      <c r="DT20" t="s">
        <v>1972</v>
      </c>
      <c r="DU20" t="s">
        <v>1972</v>
      </c>
      <c r="DV20" t="s">
        <v>1972</v>
      </c>
      <c r="DW20" t="s">
        <v>1974</v>
      </c>
      <c r="DX20" t="s">
        <v>1974</v>
      </c>
      <c r="DY20" t="s">
        <v>1974</v>
      </c>
      <c r="DZ20" t="s">
        <v>1974</v>
      </c>
      <c r="EA20" t="s">
        <v>1972</v>
      </c>
      <c r="EB20" t="s">
        <v>1972</v>
      </c>
      <c r="EC20" t="s">
        <v>1972</v>
      </c>
      <c r="ED20" t="s">
        <v>1974</v>
      </c>
      <c r="EE20" t="s">
        <v>1974</v>
      </c>
      <c r="EF20" t="s">
        <v>1974</v>
      </c>
      <c r="EG20" t="s">
        <v>1972</v>
      </c>
      <c r="EH20" t="s">
        <v>1972</v>
      </c>
      <c r="EI20" t="s">
        <v>1972</v>
      </c>
      <c r="EJ20" t="s">
        <v>1972</v>
      </c>
      <c r="EK20" t="s">
        <v>1972</v>
      </c>
      <c r="EL20" t="s">
        <v>1972</v>
      </c>
      <c r="EM20" t="s">
        <v>1974</v>
      </c>
      <c r="EN20" t="s">
        <v>1974</v>
      </c>
      <c r="EO20" t="s">
        <v>1974</v>
      </c>
      <c r="ET20" t="s">
        <v>1974</v>
      </c>
      <c r="EU20" t="s">
        <v>1974</v>
      </c>
      <c r="EV20" t="s">
        <v>1974</v>
      </c>
      <c r="EW20" t="s">
        <v>1974</v>
      </c>
      <c r="EX20" t="s">
        <v>1974</v>
      </c>
      <c r="EY20" t="s">
        <v>1972</v>
      </c>
      <c r="EZ20" t="s">
        <v>1974</v>
      </c>
      <c r="FA20" t="s">
        <v>1972</v>
      </c>
      <c r="FB20" t="s">
        <v>1972</v>
      </c>
      <c r="FC20" t="s">
        <v>1972</v>
      </c>
      <c r="FD20" t="s">
        <v>1974</v>
      </c>
      <c r="FE20" t="s">
        <v>1974</v>
      </c>
      <c r="FF20" t="s">
        <v>1972</v>
      </c>
      <c r="FG20" t="s">
        <v>1972</v>
      </c>
      <c r="FH20" t="s">
        <v>1972</v>
      </c>
      <c r="FI20" t="s">
        <v>1972</v>
      </c>
      <c r="FJ20" t="s">
        <v>1974</v>
      </c>
      <c r="FK20" t="s">
        <v>1974</v>
      </c>
      <c r="FL20" t="s">
        <v>1974</v>
      </c>
      <c r="FM20" t="s">
        <v>1974</v>
      </c>
      <c r="FN20" t="s">
        <v>1974</v>
      </c>
      <c r="FO20" t="s">
        <v>1974</v>
      </c>
      <c r="FP20" t="s">
        <v>1974</v>
      </c>
      <c r="FQ20" t="s">
        <v>1974</v>
      </c>
      <c r="FR20" t="s">
        <v>1974</v>
      </c>
      <c r="FS20" t="s">
        <v>1974</v>
      </c>
      <c r="FT20" t="s">
        <v>1974</v>
      </c>
      <c r="FU20" t="s">
        <v>1974</v>
      </c>
      <c r="FV20" t="s">
        <v>1974</v>
      </c>
      <c r="FW20" t="s">
        <v>1974</v>
      </c>
      <c r="FX20" t="s">
        <v>1974</v>
      </c>
      <c r="FY20" t="s">
        <v>1972</v>
      </c>
      <c r="FZ20" t="s">
        <v>1972</v>
      </c>
      <c r="GA20" t="s">
        <v>1972</v>
      </c>
      <c r="GB20" t="s">
        <v>1974</v>
      </c>
      <c r="GC20" t="s">
        <v>1974</v>
      </c>
      <c r="GD20" t="s">
        <v>1974</v>
      </c>
      <c r="GE20" t="s">
        <v>1974</v>
      </c>
      <c r="GF20" t="s">
        <v>1974</v>
      </c>
      <c r="GG20" t="s">
        <v>1974</v>
      </c>
      <c r="GH20" t="s">
        <v>1974</v>
      </c>
      <c r="GI20" t="s">
        <v>1974</v>
      </c>
      <c r="GJ20" t="s">
        <v>1974</v>
      </c>
      <c r="GK20" t="s">
        <v>1974</v>
      </c>
      <c r="GL20" t="s">
        <v>1974</v>
      </c>
      <c r="GM20" t="s">
        <v>1974</v>
      </c>
      <c r="GN20" t="s">
        <v>1974</v>
      </c>
      <c r="GO20" t="s">
        <v>1974</v>
      </c>
      <c r="GP20" t="s">
        <v>1974</v>
      </c>
      <c r="GQ20" t="s">
        <v>1974</v>
      </c>
      <c r="GR20" t="s">
        <v>1974</v>
      </c>
      <c r="GS20" t="s">
        <v>1974</v>
      </c>
      <c r="GT20" t="s">
        <v>1974</v>
      </c>
      <c r="GU20" t="s">
        <v>1974</v>
      </c>
      <c r="GV20" t="s">
        <v>1974</v>
      </c>
      <c r="GW20" t="s">
        <v>1974</v>
      </c>
      <c r="GX20" t="s">
        <v>1974</v>
      </c>
      <c r="GY20" t="s">
        <v>1974</v>
      </c>
      <c r="GZ20" t="s">
        <v>1974</v>
      </c>
      <c r="HA20" t="s">
        <v>1974</v>
      </c>
      <c r="HB20" t="s">
        <v>1974</v>
      </c>
      <c r="HC20" t="s">
        <v>1974</v>
      </c>
      <c r="HD20" t="s">
        <v>1972</v>
      </c>
      <c r="HE20" t="s">
        <v>1974</v>
      </c>
      <c r="HF20" t="s">
        <v>1972</v>
      </c>
      <c r="HG20" t="s">
        <v>1974</v>
      </c>
      <c r="HH20" t="s">
        <v>1974</v>
      </c>
      <c r="HI20" t="s">
        <v>1974</v>
      </c>
      <c r="HJ20" t="s">
        <v>1974</v>
      </c>
      <c r="HK20" t="s">
        <v>1974</v>
      </c>
      <c r="HL20" t="s">
        <v>1974</v>
      </c>
      <c r="HM20" t="s">
        <v>1974</v>
      </c>
      <c r="HN20" t="s">
        <v>1974</v>
      </c>
      <c r="HO20" t="s">
        <v>1972</v>
      </c>
      <c r="HP20" t="s">
        <v>1974</v>
      </c>
      <c r="HQ20" t="s">
        <v>1972</v>
      </c>
      <c r="HR20" t="s">
        <v>1972</v>
      </c>
      <c r="HS20" t="s">
        <v>1972</v>
      </c>
      <c r="HT20" t="s">
        <v>1974</v>
      </c>
      <c r="HU20" t="s">
        <v>1974</v>
      </c>
      <c r="HV20" t="s">
        <v>1974</v>
      </c>
      <c r="HW20" t="s">
        <v>1974</v>
      </c>
      <c r="HX20" t="s">
        <v>1974</v>
      </c>
      <c r="HY20" t="s">
        <v>1974</v>
      </c>
      <c r="HZ20" t="s">
        <v>1974</v>
      </c>
      <c r="IA20" t="s">
        <v>1974</v>
      </c>
      <c r="IB20" t="s">
        <v>1974</v>
      </c>
      <c r="IC20" t="s">
        <v>1974</v>
      </c>
      <c r="ID20" t="s">
        <v>1974</v>
      </c>
      <c r="IE20" t="s">
        <v>1974</v>
      </c>
      <c r="IF20" t="s">
        <v>1972</v>
      </c>
      <c r="IG20" t="s">
        <v>1972</v>
      </c>
      <c r="IH20" t="s">
        <v>1972</v>
      </c>
      <c r="II20" t="s">
        <v>1972</v>
      </c>
      <c r="IJ20" t="s">
        <v>1972</v>
      </c>
      <c r="IK20" t="s">
        <v>1974</v>
      </c>
      <c r="IL20" t="s">
        <v>1974</v>
      </c>
      <c r="IM20" t="s">
        <v>1974</v>
      </c>
      <c r="IN20" t="s">
        <v>1974</v>
      </c>
      <c r="IO20" t="s">
        <v>1972</v>
      </c>
      <c r="IP20" t="s">
        <v>1974</v>
      </c>
      <c r="IQ20" t="s">
        <v>1974</v>
      </c>
      <c r="IR20" t="s">
        <v>1974</v>
      </c>
      <c r="IS20" t="s">
        <v>1974</v>
      </c>
      <c r="IT20" t="s">
        <v>1974</v>
      </c>
      <c r="IU20" t="s">
        <v>1974</v>
      </c>
      <c r="IV20" t="s">
        <v>1974</v>
      </c>
      <c r="IW20" t="s">
        <v>1974</v>
      </c>
      <c r="IX20" t="s">
        <v>1974</v>
      </c>
      <c r="IY20" t="s">
        <v>1974</v>
      </c>
      <c r="IZ20" t="s">
        <v>1974</v>
      </c>
      <c r="JA20" t="s">
        <v>1974</v>
      </c>
      <c r="JB20" t="s">
        <v>1972</v>
      </c>
      <c r="JC20" t="s">
        <v>1974</v>
      </c>
      <c r="JD20" t="s">
        <v>1974</v>
      </c>
      <c r="JE20" t="s">
        <v>1974</v>
      </c>
      <c r="JF20" t="s">
        <v>1974</v>
      </c>
      <c r="JG20" t="s">
        <v>1974</v>
      </c>
      <c r="JH20" t="s">
        <v>1974</v>
      </c>
      <c r="JI20" t="s">
        <v>1974</v>
      </c>
      <c r="JJ20" t="s">
        <v>1974</v>
      </c>
      <c r="JK20" t="s">
        <v>1974</v>
      </c>
      <c r="JL20" t="s">
        <v>1972</v>
      </c>
      <c r="JM20" t="s">
        <v>1974</v>
      </c>
      <c r="JN20" t="s">
        <v>1974</v>
      </c>
      <c r="JO20" t="s">
        <v>1974</v>
      </c>
      <c r="JP20" t="s">
        <v>1974</v>
      </c>
      <c r="JQ20" t="s">
        <v>1974</v>
      </c>
      <c r="JR20" t="s">
        <v>1974</v>
      </c>
      <c r="JS20" t="s">
        <v>1974</v>
      </c>
      <c r="JT20" t="s">
        <v>1972</v>
      </c>
      <c r="JU20" t="s">
        <v>1974</v>
      </c>
      <c r="JV20" t="s">
        <v>1972</v>
      </c>
      <c r="JW20" t="s">
        <v>1974</v>
      </c>
      <c r="JX20" t="s">
        <v>1974</v>
      </c>
      <c r="JY20" t="s">
        <v>1974</v>
      </c>
      <c r="JZ20" t="s">
        <v>1972</v>
      </c>
      <c r="KA20" t="s">
        <v>1974</v>
      </c>
      <c r="KB20" t="s">
        <v>1974</v>
      </c>
      <c r="KC20" t="s">
        <v>1974</v>
      </c>
      <c r="KD20" t="s">
        <v>1974</v>
      </c>
      <c r="KE20" t="s">
        <v>1974</v>
      </c>
      <c r="KF20" t="s">
        <v>1974</v>
      </c>
      <c r="KG20" t="s">
        <v>1974</v>
      </c>
      <c r="KH20" t="s">
        <v>1974</v>
      </c>
      <c r="KI20" t="s">
        <v>1974</v>
      </c>
      <c r="KJ20" t="s">
        <v>1974</v>
      </c>
      <c r="KK20" t="s">
        <v>1974</v>
      </c>
      <c r="KL20" t="s">
        <v>1974</v>
      </c>
      <c r="KM20" t="s">
        <v>1974</v>
      </c>
      <c r="KN20" t="s">
        <v>1972</v>
      </c>
      <c r="KO20" t="s">
        <v>1974</v>
      </c>
      <c r="KP20" t="s">
        <v>1974</v>
      </c>
      <c r="KQ20" t="s">
        <v>1974</v>
      </c>
      <c r="KR20" t="s">
        <v>1974</v>
      </c>
      <c r="KS20" t="s">
        <v>1974</v>
      </c>
      <c r="KT20" t="s">
        <v>1974</v>
      </c>
      <c r="KU20" t="s">
        <v>1974</v>
      </c>
      <c r="KV20" t="s">
        <v>1974</v>
      </c>
      <c r="KW20" t="s">
        <v>1974</v>
      </c>
      <c r="KX20" t="s">
        <v>1974</v>
      </c>
      <c r="KY20" t="s">
        <v>1974</v>
      </c>
      <c r="KZ20" t="s">
        <v>1974</v>
      </c>
      <c r="LA20" t="s">
        <v>1974</v>
      </c>
      <c r="LB20" t="s">
        <v>1974</v>
      </c>
      <c r="LC20" t="s">
        <v>1974</v>
      </c>
      <c r="LD20" t="s">
        <v>1974</v>
      </c>
      <c r="LE20" t="s">
        <v>1974</v>
      </c>
      <c r="LF20" t="s">
        <v>1974</v>
      </c>
      <c r="LG20" t="s">
        <v>1972</v>
      </c>
      <c r="LH20" t="s">
        <v>1972</v>
      </c>
      <c r="LI20" t="s">
        <v>1972</v>
      </c>
      <c r="LJ20" t="s">
        <v>1974</v>
      </c>
      <c r="LK20" t="s">
        <v>1972</v>
      </c>
      <c r="LL20" t="s">
        <v>1972</v>
      </c>
      <c r="LM20" t="s">
        <v>1974</v>
      </c>
      <c r="LN20" t="s">
        <v>1974</v>
      </c>
      <c r="LO20" t="s">
        <v>1972</v>
      </c>
      <c r="LP20" t="s">
        <v>1972</v>
      </c>
      <c r="LQ20" t="s">
        <v>1972</v>
      </c>
      <c r="LR20" t="s">
        <v>1972</v>
      </c>
      <c r="LS20" t="s">
        <v>1974</v>
      </c>
      <c r="LT20" t="s">
        <v>1974</v>
      </c>
      <c r="LU20" t="s">
        <v>1974</v>
      </c>
      <c r="LV20" t="s">
        <v>1974</v>
      </c>
      <c r="LW20" t="s">
        <v>1972</v>
      </c>
      <c r="LX20" t="s">
        <v>1974</v>
      </c>
      <c r="LY20" t="s">
        <v>1974</v>
      </c>
      <c r="LZ20" t="s">
        <v>1974</v>
      </c>
      <c r="MA20" t="s">
        <v>1974</v>
      </c>
      <c r="MB20" t="s">
        <v>1974</v>
      </c>
      <c r="MC20" t="s">
        <v>1974</v>
      </c>
      <c r="MD20" t="s">
        <v>1972</v>
      </c>
      <c r="ME20" t="s">
        <v>1974</v>
      </c>
      <c r="MF20" t="s">
        <v>1974</v>
      </c>
      <c r="MG20" t="s">
        <v>1972</v>
      </c>
      <c r="MH20" t="s">
        <v>1972</v>
      </c>
      <c r="MI20" t="s">
        <v>1972</v>
      </c>
      <c r="MJ20" t="s">
        <v>1974</v>
      </c>
      <c r="MK20" t="s">
        <v>1974</v>
      </c>
      <c r="ML20" t="s">
        <v>1974</v>
      </c>
      <c r="MM20" t="s">
        <v>1974</v>
      </c>
      <c r="MN20" t="s">
        <v>1974</v>
      </c>
      <c r="MO20" t="s">
        <v>1974</v>
      </c>
      <c r="MP20" t="s">
        <v>1974</v>
      </c>
      <c r="MQ20" t="s">
        <v>1974</v>
      </c>
      <c r="MR20" t="s">
        <v>1974</v>
      </c>
      <c r="MS20" t="s">
        <v>1974</v>
      </c>
      <c r="MT20" t="s">
        <v>1974</v>
      </c>
      <c r="MU20" t="s">
        <v>1974</v>
      </c>
      <c r="MV20" t="s">
        <v>1974</v>
      </c>
      <c r="MW20" t="s">
        <v>1974</v>
      </c>
      <c r="MX20" t="s">
        <v>1972</v>
      </c>
      <c r="MY20" t="s">
        <v>1974</v>
      </c>
      <c r="MZ20" t="s">
        <v>1972</v>
      </c>
      <c r="NA20" t="s">
        <v>1974</v>
      </c>
      <c r="NB20" t="s">
        <v>1974</v>
      </c>
      <c r="NC20" t="s">
        <v>1974</v>
      </c>
      <c r="ND20" t="s">
        <v>1974</v>
      </c>
      <c r="NG20" t="s">
        <v>1974</v>
      </c>
      <c r="NH20" t="s">
        <v>1974</v>
      </c>
      <c r="NI20" t="s">
        <v>1974</v>
      </c>
      <c r="NJ20" t="s">
        <v>1974</v>
      </c>
      <c r="NK20" t="s">
        <v>1974</v>
      </c>
      <c r="NL20" t="s">
        <v>1974</v>
      </c>
      <c r="NM20" t="s">
        <v>1974</v>
      </c>
      <c r="NN20" t="s">
        <v>1972</v>
      </c>
      <c r="NO20" t="s">
        <v>1975</v>
      </c>
      <c r="NP20" t="s">
        <v>1976</v>
      </c>
      <c r="NR20" t="s">
        <v>1476</v>
      </c>
      <c r="NS20" t="s">
        <v>1977</v>
      </c>
      <c r="NU20" t="s">
        <v>1978</v>
      </c>
      <c r="NV20" t="s">
        <v>1979</v>
      </c>
      <c r="NX20" t="s">
        <v>1980</v>
      </c>
      <c r="NY20" t="s">
        <v>1858</v>
      </c>
    </row>
    <row r="21" spans="1:389" ht="15" customHeight="1" x14ac:dyDescent="0.25">
      <c r="A21" t="s">
        <v>1981</v>
      </c>
      <c r="B21" t="s">
        <v>1982</v>
      </c>
      <c r="C21" t="s">
        <v>1841</v>
      </c>
      <c r="D21" t="s">
        <v>1477</v>
      </c>
      <c r="G21" t="s">
        <v>1981</v>
      </c>
      <c r="H21" t="s">
        <v>1983</v>
      </c>
      <c r="I21" t="s">
        <v>1983</v>
      </c>
      <c r="J21" t="s">
        <v>1983</v>
      </c>
      <c r="K21" t="s">
        <v>1981</v>
      </c>
      <c r="L21" t="s">
        <v>1981</v>
      </c>
      <c r="M21" t="s">
        <v>1981</v>
      </c>
      <c r="N21" t="s">
        <v>1981</v>
      </c>
      <c r="O21" t="s">
        <v>1983</v>
      </c>
      <c r="P21" t="s">
        <v>1981</v>
      </c>
      <c r="Q21" t="s">
        <v>1983</v>
      </c>
      <c r="R21" t="s">
        <v>1981</v>
      </c>
      <c r="S21" t="s">
        <v>1981</v>
      </c>
      <c r="T21" t="s">
        <v>1983</v>
      </c>
      <c r="U21" t="s">
        <v>1983</v>
      </c>
      <c r="V21" t="s">
        <v>1983</v>
      </c>
      <c r="W21" t="s">
        <v>1983</v>
      </c>
      <c r="X21" t="s">
        <v>1983</v>
      </c>
      <c r="Y21" t="s">
        <v>1983</v>
      </c>
      <c r="AA21" t="s">
        <v>1983</v>
      </c>
      <c r="AB21" t="s">
        <v>1983</v>
      </c>
      <c r="AC21" t="s">
        <v>1983</v>
      </c>
      <c r="AD21" t="s">
        <v>1983</v>
      </c>
      <c r="AE21" t="s">
        <v>1983</v>
      </c>
      <c r="AF21" t="s">
        <v>1983</v>
      </c>
      <c r="AG21" t="s">
        <v>1983</v>
      </c>
      <c r="AH21" t="s">
        <v>1981</v>
      </c>
      <c r="AI21" t="s">
        <v>1983</v>
      </c>
      <c r="AJ21" t="s">
        <v>1983</v>
      </c>
      <c r="AK21" t="s">
        <v>1983</v>
      </c>
      <c r="AL21" t="s">
        <v>1983</v>
      </c>
      <c r="AM21" t="s">
        <v>1981</v>
      </c>
      <c r="AN21" t="s">
        <v>1983</v>
      </c>
      <c r="AO21" t="s">
        <v>1981</v>
      </c>
      <c r="AP21" t="s">
        <v>1981</v>
      </c>
      <c r="AQ21" t="s">
        <v>1981</v>
      </c>
      <c r="AR21" t="s">
        <v>1981</v>
      </c>
      <c r="AS21" t="s">
        <v>1983</v>
      </c>
      <c r="AT21" t="s">
        <v>1983</v>
      </c>
      <c r="AU21" t="s">
        <v>1983</v>
      </c>
      <c r="AV21" t="s">
        <v>1983</v>
      </c>
      <c r="AW21" t="s">
        <v>1983</v>
      </c>
      <c r="AX21" t="s">
        <v>1983</v>
      </c>
      <c r="AY21" t="s">
        <v>1983</v>
      </c>
      <c r="AZ21" t="s">
        <v>1983</v>
      </c>
      <c r="BA21" t="s">
        <v>1983</v>
      </c>
      <c r="BB21" t="s">
        <v>1983</v>
      </c>
      <c r="BC21" t="s">
        <v>1983</v>
      </c>
      <c r="BD21" t="s">
        <v>1983</v>
      </c>
      <c r="BE21" t="s">
        <v>1983</v>
      </c>
      <c r="BF21" t="s">
        <v>1983</v>
      </c>
      <c r="BG21" t="s">
        <v>1983</v>
      </c>
      <c r="BH21" t="s">
        <v>1983</v>
      </c>
      <c r="BI21" t="s">
        <v>1983</v>
      </c>
      <c r="BJ21" t="s">
        <v>1983</v>
      </c>
      <c r="BK21" t="s">
        <v>1983</v>
      </c>
      <c r="BL21" t="s">
        <v>1983</v>
      </c>
      <c r="BM21" t="s">
        <v>1983</v>
      </c>
      <c r="BN21" t="s">
        <v>1983</v>
      </c>
      <c r="BO21" t="s">
        <v>1983</v>
      </c>
      <c r="BP21" t="s">
        <v>1983</v>
      </c>
      <c r="BQ21" t="s">
        <v>1983</v>
      </c>
      <c r="BR21" t="s">
        <v>1983</v>
      </c>
      <c r="BS21" t="s">
        <v>1983</v>
      </c>
      <c r="BT21" t="s">
        <v>1983</v>
      </c>
      <c r="BU21" t="s">
        <v>1983</v>
      </c>
      <c r="BV21" t="s">
        <v>1983</v>
      </c>
      <c r="BW21" t="s">
        <v>1983</v>
      </c>
      <c r="BX21" t="s">
        <v>1983</v>
      </c>
      <c r="BY21" t="s">
        <v>1983</v>
      </c>
      <c r="BZ21" t="s">
        <v>1981</v>
      </c>
      <c r="CA21" t="s">
        <v>1981</v>
      </c>
      <c r="CB21" t="s">
        <v>1983</v>
      </c>
      <c r="CC21" t="s">
        <v>1983</v>
      </c>
      <c r="CD21" t="s">
        <v>1983</v>
      </c>
      <c r="CE21" t="s">
        <v>1981</v>
      </c>
      <c r="CF21" t="s">
        <v>1983</v>
      </c>
      <c r="CG21" t="s">
        <v>1983</v>
      </c>
      <c r="CH21" t="s">
        <v>1983</v>
      </c>
      <c r="CI21" t="s">
        <v>1983</v>
      </c>
      <c r="CJ21" t="s">
        <v>1983</v>
      </c>
      <c r="CK21" t="s">
        <v>1981</v>
      </c>
      <c r="CL21" t="s">
        <v>1981</v>
      </c>
      <c r="CM21" t="s">
        <v>1981</v>
      </c>
      <c r="CN21" t="s">
        <v>1981</v>
      </c>
      <c r="CO21" t="s">
        <v>1981</v>
      </c>
      <c r="CP21" t="s">
        <v>1981</v>
      </c>
      <c r="CQ21" t="s">
        <v>1981</v>
      </c>
      <c r="CR21" t="s">
        <v>1981</v>
      </c>
      <c r="CS21" t="s">
        <v>1983</v>
      </c>
      <c r="CT21" t="s">
        <v>1983</v>
      </c>
      <c r="CU21" t="s">
        <v>1981</v>
      </c>
      <c r="CV21" t="s">
        <v>1983</v>
      </c>
      <c r="CW21" t="s">
        <v>1983</v>
      </c>
      <c r="CX21" t="s">
        <v>1983</v>
      </c>
      <c r="CY21" t="s">
        <v>1983</v>
      </c>
      <c r="CZ21" t="s">
        <v>1981</v>
      </c>
      <c r="DA21" t="s">
        <v>1981</v>
      </c>
      <c r="DB21" t="s">
        <v>1981</v>
      </c>
      <c r="DC21" t="s">
        <v>1981</v>
      </c>
      <c r="DD21" t="s">
        <v>1983</v>
      </c>
      <c r="DE21" t="s">
        <v>1983</v>
      </c>
      <c r="DF21" t="s">
        <v>1983</v>
      </c>
      <c r="DG21" t="s">
        <v>1983</v>
      </c>
      <c r="DH21" t="s">
        <v>1983</v>
      </c>
      <c r="DI21" t="s">
        <v>1983</v>
      </c>
      <c r="DJ21" t="s">
        <v>1981</v>
      </c>
      <c r="DK21" t="s">
        <v>1981</v>
      </c>
      <c r="DL21" t="s">
        <v>1983</v>
      </c>
      <c r="DM21" t="s">
        <v>1983</v>
      </c>
      <c r="DN21" t="s">
        <v>1983</v>
      </c>
      <c r="DO21" t="s">
        <v>1981</v>
      </c>
      <c r="DP21" t="s">
        <v>1981</v>
      </c>
      <c r="DQ21" t="s">
        <v>1981</v>
      </c>
      <c r="DR21" t="s">
        <v>1981</v>
      </c>
      <c r="DS21" t="s">
        <v>1983</v>
      </c>
      <c r="DT21" t="s">
        <v>1981</v>
      </c>
      <c r="DU21" t="s">
        <v>1981</v>
      </c>
      <c r="DV21" t="s">
        <v>1981</v>
      </c>
      <c r="DW21" t="s">
        <v>1983</v>
      </c>
      <c r="DX21" t="s">
        <v>1983</v>
      </c>
      <c r="DY21" t="s">
        <v>1983</v>
      </c>
      <c r="DZ21" t="s">
        <v>1983</v>
      </c>
      <c r="EA21" t="s">
        <v>1981</v>
      </c>
      <c r="EB21" t="s">
        <v>1981</v>
      </c>
      <c r="EC21" t="s">
        <v>1981</v>
      </c>
      <c r="ED21" t="s">
        <v>1983</v>
      </c>
      <c r="EE21" t="s">
        <v>1983</v>
      </c>
      <c r="EF21" t="s">
        <v>1983</v>
      </c>
      <c r="EG21" t="s">
        <v>1981</v>
      </c>
      <c r="EH21" t="s">
        <v>1981</v>
      </c>
      <c r="EI21" t="s">
        <v>1981</v>
      </c>
      <c r="EJ21" t="s">
        <v>1981</v>
      </c>
      <c r="EK21" t="s">
        <v>1981</v>
      </c>
      <c r="EL21" t="s">
        <v>1981</v>
      </c>
      <c r="EM21" t="s">
        <v>1983</v>
      </c>
      <c r="EN21" t="s">
        <v>1983</v>
      </c>
      <c r="EO21" t="s">
        <v>1983</v>
      </c>
      <c r="ET21" t="s">
        <v>1983</v>
      </c>
      <c r="EU21" t="s">
        <v>1983</v>
      </c>
      <c r="EV21" t="s">
        <v>1983</v>
      </c>
      <c r="EW21" t="s">
        <v>1983</v>
      </c>
      <c r="EX21" t="s">
        <v>1983</v>
      </c>
      <c r="EY21" t="s">
        <v>1981</v>
      </c>
      <c r="EZ21" t="s">
        <v>1983</v>
      </c>
      <c r="FA21" t="s">
        <v>1981</v>
      </c>
      <c r="FB21" t="s">
        <v>1981</v>
      </c>
      <c r="FC21" t="s">
        <v>1981</v>
      </c>
      <c r="FD21" t="s">
        <v>1983</v>
      </c>
      <c r="FE21" t="s">
        <v>1983</v>
      </c>
      <c r="FF21" t="s">
        <v>1981</v>
      </c>
      <c r="FG21" t="s">
        <v>1981</v>
      </c>
      <c r="FH21" t="s">
        <v>1981</v>
      </c>
      <c r="FI21" t="s">
        <v>1981</v>
      </c>
      <c r="FJ21" t="s">
        <v>1983</v>
      </c>
      <c r="FK21" t="s">
        <v>1983</v>
      </c>
      <c r="FL21" t="s">
        <v>1983</v>
      </c>
      <c r="FM21" t="s">
        <v>1983</v>
      </c>
      <c r="FN21" t="s">
        <v>1983</v>
      </c>
      <c r="FO21" t="s">
        <v>1983</v>
      </c>
      <c r="FP21" t="s">
        <v>1983</v>
      </c>
      <c r="FQ21" t="s">
        <v>1983</v>
      </c>
      <c r="FR21" t="s">
        <v>1983</v>
      </c>
      <c r="FS21" t="s">
        <v>1983</v>
      </c>
      <c r="FT21" t="s">
        <v>1983</v>
      </c>
      <c r="FU21" t="s">
        <v>1983</v>
      </c>
      <c r="FV21" t="s">
        <v>1983</v>
      </c>
      <c r="FW21" t="s">
        <v>1983</v>
      </c>
      <c r="FX21" t="s">
        <v>1983</v>
      </c>
      <c r="FY21" t="s">
        <v>1981</v>
      </c>
      <c r="FZ21" t="s">
        <v>1981</v>
      </c>
      <c r="GA21" t="s">
        <v>1981</v>
      </c>
      <c r="GB21" t="s">
        <v>1983</v>
      </c>
      <c r="GC21" t="s">
        <v>1983</v>
      </c>
      <c r="GD21" t="s">
        <v>1983</v>
      </c>
      <c r="GE21" t="s">
        <v>1983</v>
      </c>
      <c r="GF21" t="s">
        <v>1983</v>
      </c>
      <c r="GG21" t="s">
        <v>1983</v>
      </c>
      <c r="GH21" t="s">
        <v>1983</v>
      </c>
      <c r="GI21" t="s">
        <v>1983</v>
      </c>
      <c r="GJ21" t="s">
        <v>1983</v>
      </c>
      <c r="GK21" t="s">
        <v>1983</v>
      </c>
      <c r="GL21" t="s">
        <v>1983</v>
      </c>
      <c r="GM21" t="s">
        <v>1983</v>
      </c>
      <c r="GN21" t="s">
        <v>1983</v>
      </c>
      <c r="GO21" t="s">
        <v>1983</v>
      </c>
      <c r="GP21" t="s">
        <v>1983</v>
      </c>
      <c r="GQ21" t="s">
        <v>1983</v>
      </c>
      <c r="GR21" t="s">
        <v>1983</v>
      </c>
      <c r="GS21" t="s">
        <v>1983</v>
      </c>
      <c r="GT21" t="s">
        <v>1983</v>
      </c>
      <c r="GU21" t="s">
        <v>1983</v>
      </c>
      <c r="GV21" t="s">
        <v>1983</v>
      </c>
      <c r="GW21" t="s">
        <v>1983</v>
      </c>
      <c r="GX21" t="s">
        <v>1983</v>
      </c>
      <c r="GY21" t="s">
        <v>1983</v>
      </c>
      <c r="GZ21" t="s">
        <v>1983</v>
      </c>
      <c r="HA21" t="s">
        <v>1983</v>
      </c>
      <c r="HB21" t="s">
        <v>1983</v>
      </c>
      <c r="HC21" t="s">
        <v>1983</v>
      </c>
      <c r="HD21" t="s">
        <v>1981</v>
      </c>
      <c r="HE21" t="s">
        <v>1983</v>
      </c>
      <c r="HF21" t="s">
        <v>1981</v>
      </c>
      <c r="HG21" t="s">
        <v>1983</v>
      </c>
      <c r="HH21" t="s">
        <v>1983</v>
      </c>
      <c r="HI21" t="s">
        <v>1983</v>
      </c>
      <c r="HJ21" t="s">
        <v>1983</v>
      </c>
      <c r="HK21" t="s">
        <v>1983</v>
      </c>
      <c r="HL21" t="s">
        <v>1983</v>
      </c>
      <c r="HM21" t="s">
        <v>1983</v>
      </c>
      <c r="HN21" t="s">
        <v>1983</v>
      </c>
      <c r="HO21" t="s">
        <v>1981</v>
      </c>
      <c r="HP21" t="s">
        <v>1983</v>
      </c>
      <c r="HQ21" t="s">
        <v>1981</v>
      </c>
      <c r="HR21" t="s">
        <v>1981</v>
      </c>
      <c r="HS21" t="s">
        <v>1981</v>
      </c>
      <c r="HT21" t="s">
        <v>1983</v>
      </c>
      <c r="HU21" t="s">
        <v>1983</v>
      </c>
      <c r="HV21" t="s">
        <v>1983</v>
      </c>
      <c r="HW21" t="s">
        <v>1983</v>
      </c>
      <c r="HX21" t="s">
        <v>1983</v>
      </c>
      <c r="HY21" t="s">
        <v>1983</v>
      </c>
      <c r="HZ21" t="s">
        <v>1983</v>
      </c>
      <c r="IA21" t="s">
        <v>1983</v>
      </c>
      <c r="IB21" t="s">
        <v>1983</v>
      </c>
      <c r="IC21" t="s">
        <v>1983</v>
      </c>
      <c r="ID21" t="s">
        <v>1983</v>
      </c>
      <c r="IE21" t="s">
        <v>1983</v>
      </c>
      <c r="IF21" t="s">
        <v>1981</v>
      </c>
      <c r="IG21" t="s">
        <v>1981</v>
      </c>
      <c r="IH21" t="s">
        <v>1981</v>
      </c>
      <c r="II21" t="s">
        <v>1981</v>
      </c>
      <c r="IJ21" t="s">
        <v>1981</v>
      </c>
      <c r="IK21" t="s">
        <v>1983</v>
      </c>
      <c r="IL21" t="s">
        <v>1983</v>
      </c>
      <c r="IM21" t="s">
        <v>1983</v>
      </c>
      <c r="IN21" t="s">
        <v>1983</v>
      </c>
      <c r="IO21" t="s">
        <v>1981</v>
      </c>
      <c r="IP21" t="s">
        <v>1983</v>
      </c>
      <c r="IQ21" t="s">
        <v>1983</v>
      </c>
      <c r="IR21" t="s">
        <v>1983</v>
      </c>
      <c r="IS21" t="s">
        <v>1983</v>
      </c>
      <c r="IT21" t="s">
        <v>1983</v>
      </c>
      <c r="IU21" t="s">
        <v>1983</v>
      </c>
      <c r="IV21" t="s">
        <v>1983</v>
      </c>
      <c r="IW21" t="s">
        <v>1983</v>
      </c>
      <c r="IX21" t="s">
        <v>1983</v>
      </c>
      <c r="IY21" t="s">
        <v>1983</v>
      </c>
      <c r="IZ21" t="s">
        <v>1983</v>
      </c>
      <c r="JA21" t="s">
        <v>1983</v>
      </c>
      <c r="JB21" t="s">
        <v>1981</v>
      </c>
      <c r="JC21" t="s">
        <v>1983</v>
      </c>
      <c r="JD21" t="s">
        <v>1983</v>
      </c>
      <c r="JE21" t="s">
        <v>1983</v>
      </c>
      <c r="JF21" t="s">
        <v>1983</v>
      </c>
      <c r="JG21" t="s">
        <v>1983</v>
      </c>
      <c r="JH21" t="s">
        <v>1983</v>
      </c>
      <c r="JI21" t="s">
        <v>1983</v>
      </c>
      <c r="JJ21" t="s">
        <v>1983</v>
      </c>
      <c r="JK21" t="s">
        <v>1983</v>
      </c>
      <c r="JL21" t="s">
        <v>1981</v>
      </c>
      <c r="JM21" t="s">
        <v>1983</v>
      </c>
      <c r="JN21" t="s">
        <v>1983</v>
      </c>
      <c r="JO21" t="s">
        <v>1983</v>
      </c>
      <c r="JP21" t="s">
        <v>1983</v>
      </c>
      <c r="JQ21" t="s">
        <v>1983</v>
      </c>
      <c r="JR21" t="s">
        <v>1983</v>
      </c>
      <c r="JS21" t="s">
        <v>1983</v>
      </c>
      <c r="JT21" t="s">
        <v>1981</v>
      </c>
      <c r="JU21" t="s">
        <v>1983</v>
      </c>
      <c r="JV21" t="s">
        <v>1981</v>
      </c>
      <c r="JW21" t="s">
        <v>1983</v>
      </c>
      <c r="JX21" t="s">
        <v>1983</v>
      </c>
      <c r="JY21" t="s">
        <v>1983</v>
      </c>
      <c r="JZ21" t="s">
        <v>1981</v>
      </c>
      <c r="KA21" t="s">
        <v>1983</v>
      </c>
      <c r="KB21" t="s">
        <v>1983</v>
      </c>
      <c r="KC21" t="s">
        <v>1983</v>
      </c>
      <c r="KD21" t="s">
        <v>1983</v>
      </c>
      <c r="KE21" t="s">
        <v>1983</v>
      </c>
      <c r="KF21" t="s">
        <v>1983</v>
      </c>
      <c r="KG21" t="s">
        <v>1983</v>
      </c>
      <c r="KH21" t="s">
        <v>1983</v>
      </c>
      <c r="KI21" t="s">
        <v>1983</v>
      </c>
      <c r="KJ21" t="s">
        <v>1983</v>
      </c>
      <c r="KK21" t="s">
        <v>1983</v>
      </c>
      <c r="KL21" t="s">
        <v>1983</v>
      </c>
      <c r="KM21" t="s">
        <v>1983</v>
      </c>
      <c r="KN21" t="s">
        <v>1981</v>
      </c>
      <c r="KO21" t="s">
        <v>1983</v>
      </c>
      <c r="KP21" t="s">
        <v>1983</v>
      </c>
      <c r="KQ21" t="s">
        <v>1983</v>
      </c>
      <c r="KR21" t="s">
        <v>1983</v>
      </c>
      <c r="KS21" t="s">
        <v>1983</v>
      </c>
      <c r="KT21" t="s">
        <v>1983</v>
      </c>
      <c r="KU21" t="s">
        <v>1983</v>
      </c>
      <c r="KV21" t="s">
        <v>1983</v>
      </c>
      <c r="KW21" t="s">
        <v>1983</v>
      </c>
      <c r="KX21" t="s">
        <v>1983</v>
      </c>
      <c r="KY21" t="s">
        <v>1983</v>
      </c>
      <c r="KZ21" t="s">
        <v>1983</v>
      </c>
      <c r="LA21" t="s">
        <v>1983</v>
      </c>
      <c r="LB21" t="s">
        <v>1983</v>
      </c>
      <c r="LC21" t="s">
        <v>1983</v>
      </c>
      <c r="LD21" t="s">
        <v>1983</v>
      </c>
      <c r="LE21" t="s">
        <v>1983</v>
      </c>
      <c r="LF21" t="s">
        <v>1983</v>
      </c>
      <c r="LG21" t="s">
        <v>1981</v>
      </c>
      <c r="LH21" t="s">
        <v>1981</v>
      </c>
      <c r="LI21" t="s">
        <v>1981</v>
      </c>
      <c r="LJ21" t="s">
        <v>1983</v>
      </c>
      <c r="LK21" t="s">
        <v>1981</v>
      </c>
      <c r="LL21" t="s">
        <v>1981</v>
      </c>
      <c r="LM21" t="s">
        <v>1983</v>
      </c>
      <c r="LN21" t="s">
        <v>1983</v>
      </c>
      <c r="LO21" t="s">
        <v>1981</v>
      </c>
      <c r="LP21" t="s">
        <v>1981</v>
      </c>
      <c r="LQ21" t="s">
        <v>1981</v>
      </c>
      <c r="LR21" t="s">
        <v>1981</v>
      </c>
      <c r="LS21" t="s">
        <v>1983</v>
      </c>
      <c r="LT21" t="s">
        <v>1983</v>
      </c>
      <c r="LU21" t="s">
        <v>1983</v>
      </c>
      <c r="LV21" t="s">
        <v>1983</v>
      </c>
      <c r="LW21" t="s">
        <v>1981</v>
      </c>
      <c r="LX21" t="s">
        <v>1983</v>
      </c>
      <c r="LY21" t="s">
        <v>1983</v>
      </c>
      <c r="LZ21" t="s">
        <v>1983</v>
      </c>
      <c r="MA21" t="s">
        <v>1983</v>
      </c>
      <c r="MB21" t="s">
        <v>1983</v>
      </c>
      <c r="MC21" t="s">
        <v>1983</v>
      </c>
      <c r="MD21" t="s">
        <v>1981</v>
      </c>
      <c r="ME21" t="s">
        <v>1983</v>
      </c>
      <c r="MF21" t="s">
        <v>1983</v>
      </c>
      <c r="MG21" t="s">
        <v>1981</v>
      </c>
      <c r="MH21" t="s">
        <v>1981</v>
      </c>
      <c r="MI21" t="s">
        <v>1981</v>
      </c>
      <c r="MJ21" t="s">
        <v>1983</v>
      </c>
      <c r="MK21" t="s">
        <v>1983</v>
      </c>
      <c r="ML21" t="s">
        <v>1983</v>
      </c>
      <c r="MM21" t="s">
        <v>1983</v>
      </c>
      <c r="MN21" t="s">
        <v>1983</v>
      </c>
      <c r="MO21" t="s">
        <v>1983</v>
      </c>
      <c r="MP21" t="s">
        <v>1983</v>
      </c>
      <c r="MQ21" t="s">
        <v>1983</v>
      </c>
      <c r="MR21" t="s">
        <v>1983</v>
      </c>
      <c r="MS21" t="s">
        <v>1983</v>
      </c>
      <c r="MT21" t="s">
        <v>1983</v>
      </c>
      <c r="MU21" t="s">
        <v>1983</v>
      </c>
      <c r="MV21" t="s">
        <v>1983</v>
      </c>
      <c r="MW21" t="s">
        <v>1983</v>
      </c>
      <c r="MX21" t="s">
        <v>1981</v>
      </c>
      <c r="MY21" t="s">
        <v>1983</v>
      </c>
      <c r="MZ21" t="s">
        <v>1981</v>
      </c>
      <c r="NA21" t="s">
        <v>1983</v>
      </c>
      <c r="NB21" t="s">
        <v>1983</v>
      </c>
      <c r="NC21" t="s">
        <v>1983</v>
      </c>
      <c r="ND21" t="s">
        <v>1983</v>
      </c>
      <c r="NG21" t="s">
        <v>1983</v>
      </c>
      <c r="NH21" t="s">
        <v>1983</v>
      </c>
      <c r="NI21" t="s">
        <v>1983</v>
      </c>
      <c r="NJ21" t="s">
        <v>1983</v>
      </c>
      <c r="NK21" t="s">
        <v>1983</v>
      </c>
      <c r="NL21" t="s">
        <v>1983</v>
      </c>
      <c r="NM21" t="s">
        <v>1983</v>
      </c>
      <c r="NN21" t="s">
        <v>1981</v>
      </c>
      <c r="NO21" t="s">
        <v>1984</v>
      </c>
      <c r="NP21" t="s">
        <v>1985</v>
      </c>
      <c r="NR21" t="s">
        <v>1477</v>
      </c>
      <c r="NS21" t="s">
        <v>1986</v>
      </c>
      <c r="NU21" t="s">
        <v>1987</v>
      </c>
      <c r="NV21" t="s">
        <v>1988</v>
      </c>
      <c r="NX21" t="s">
        <v>1989</v>
      </c>
      <c r="NY21" t="s">
        <v>1870</v>
      </c>
    </row>
    <row r="22" spans="1:389" ht="15" customHeight="1" x14ac:dyDescent="0.25">
      <c r="A22" t="s">
        <v>1940</v>
      </c>
      <c r="B22" t="s">
        <v>1990</v>
      </c>
      <c r="C22" t="s">
        <v>1850</v>
      </c>
      <c r="D22" t="s">
        <v>1478</v>
      </c>
      <c r="G22" t="s">
        <v>1940</v>
      </c>
      <c r="H22" t="s">
        <v>1991</v>
      </c>
      <c r="I22" t="s">
        <v>1991</v>
      </c>
      <c r="J22" t="s">
        <v>1991</v>
      </c>
      <c r="K22" t="s">
        <v>1940</v>
      </c>
      <c r="L22" t="s">
        <v>1940</v>
      </c>
      <c r="M22" t="s">
        <v>1940</v>
      </c>
      <c r="N22" t="s">
        <v>1940</v>
      </c>
      <c r="O22" t="s">
        <v>1991</v>
      </c>
      <c r="P22" t="s">
        <v>1940</v>
      </c>
      <c r="Q22" t="s">
        <v>1991</v>
      </c>
      <c r="R22" t="s">
        <v>1940</v>
      </c>
      <c r="S22" t="s">
        <v>1940</v>
      </c>
      <c r="T22" t="s">
        <v>1991</v>
      </c>
      <c r="U22" t="s">
        <v>1991</v>
      </c>
      <c r="V22" t="s">
        <v>1991</v>
      </c>
      <c r="W22" t="s">
        <v>1991</v>
      </c>
      <c r="X22" t="s">
        <v>1991</v>
      </c>
      <c r="Y22" t="s">
        <v>1991</v>
      </c>
      <c r="AA22" t="s">
        <v>1991</v>
      </c>
      <c r="AB22" t="s">
        <v>1991</v>
      </c>
      <c r="AC22" t="s">
        <v>1991</v>
      </c>
      <c r="AD22" t="s">
        <v>1991</v>
      </c>
      <c r="AE22" t="s">
        <v>1991</v>
      </c>
      <c r="AF22" t="s">
        <v>1991</v>
      </c>
      <c r="AG22" t="s">
        <v>1991</v>
      </c>
      <c r="AH22" t="s">
        <v>1940</v>
      </c>
      <c r="AI22" t="s">
        <v>1991</v>
      </c>
      <c r="AJ22" t="s">
        <v>1991</v>
      </c>
      <c r="AK22" t="s">
        <v>1991</v>
      </c>
      <c r="AL22" t="s">
        <v>1991</v>
      </c>
      <c r="AM22" t="s">
        <v>1940</v>
      </c>
      <c r="AN22" t="s">
        <v>1991</v>
      </c>
      <c r="AO22" t="s">
        <v>1940</v>
      </c>
      <c r="AP22" t="s">
        <v>1940</v>
      </c>
      <c r="AQ22" t="s">
        <v>1940</v>
      </c>
      <c r="AR22" t="s">
        <v>1940</v>
      </c>
      <c r="AS22" t="s">
        <v>1991</v>
      </c>
      <c r="AT22" t="s">
        <v>1991</v>
      </c>
      <c r="AU22" t="s">
        <v>1991</v>
      </c>
      <c r="AV22" t="s">
        <v>1991</v>
      </c>
      <c r="AW22" t="s">
        <v>1991</v>
      </c>
      <c r="AX22" t="s">
        <v>1991</v>
      </c>
      <c r="AY22" t="s">
        <v>1991</v>
      </c>
      <c r="AZ22" t="s">
        <v>1991</v>
      </c>
      <c r="BA22" t="s">
        <v>1991</v>
      </c>
      <c r="BB22" t="s">
        <v>1991</v>
      </c>
      <c r="BC22" t="s">
        <v>1991</v>
      </c>
      <c r="BD22" t="s">
        <v>1991</v>
      </c>
      <c r="BE22" t="s">
        <v>1991</v>
      </c>
      <c r="BF22" t="s">
        <v>1991</v>
      </c>
      <c r="BG22" t="s">
        <v>1991</v>
      </c>
      <c r="BH22" t="s">
        <v>1991</v>
      </c>
      <c r="BI22" t="s">
        <v>1991</v>
      </c>
      <c r="BJ22" t="s">
        <v>1991</v>
      </c>
      <c r="BK22" t="s">
        <v>1991</v>
      </c>
      <c r="BL22" t="s">
        <v>1991</v>
      </c>
      <c r="BM22" t="s">
        <v>1991</v>
      </c>
      <c r="BN22" t="s">
        <v>1991</v>
      </c>
      <c r="BO22" t="s">
        <v>1991</v>
      </c>
      <c r="BP22" t="s">
        <v>1991</v>
      </c>
      <c r="BQ22" t="s">
        <v>1991</v>
      </c>
      <c r="BR22" t="s">
        <v>1991</v>
      </c>
      <c r="BS22" t="s">
        <v>1991</v>
      </c>
      <c r="BT22" t="s">
        <v>1991</v>
      </c>
      <c r="BU22" t="s">
        <v>1991</v>
      </c>
      <c r="BV22" t="s">
        <v>1991</v>
      </c>
      <c r="BW22" t="s">
        <v>1991</v>
      </c>
      <c r="BX22" t="s">
        <v>1991</v>
      </c>
      <c r="BY22" t="s">
        <v>1991</v>
      </c>
      <c r="BZ22" t="s">
        <v>1940</v>
      </c>
      <c r="CA22" t="s">
        <v>1940</v>
      </c>
      <c r="CB22" t="s">
        <v>1991</v>
      </c>
      <c r="CC22" t="s">
        <v>1991</v>
      </c>
      <c r="CD22" t="s">
        <v>1991</v>
      </c>
      <c r="CE22" t="s">
        <v>1940</v>
      </c>
      <c r="CF22" t="s">
        <v>1991</v>
      </c>
      <c r="CG22" t="s">
        <v>1991</v>
      </c>
      <c r="CH22" t="s">
        <v>1991</v>
      </c>
      <c r="CI22" t="s">
        <v>1991</v>
      </c>
      <c r="CJ22" t="s">
        <v>1991</v>
      </c>
      <c r="CK22" t="s">
        <v>1940</v>
      </c>
      <c r="CL22" t="s">
        <v>1940</v>
      </c>
      <c r="CM22" t="s">
        <v>1940</v>
      </c>
      <c r="CN22" t="s">
        <v>1940</v>
      </c>
      <c r="CO22" t="s">
        <v>1940</v>
      </c>
      <c r="CP22" t="s">
        <v>1940</v>
      </c>
      <c r="CQ22" t="s">
        <v>1940</v>
      </c>
      <c r="CR22" t="s">
        <v>1940</v>
      </c>
      <c r="CS22" t="s">
        <v>1991</v>
      </c>
      <c r="CT22" t="s">
        <v>1991</v>
      </c>
      <c r="CU22" t="s">
        <v>1940</v>
      </c>
      <c r="CV22" t="s">
        <v>1991</v>
      </c>
      <c r="CW22" t="s">
        <v>1991</v>
      </c>
      <c r="CX22" t="s">
        <v>1991</v>
      </c>
      <c r="CY22" t="s">
        <v>1991</v>
      </c>
      <c r="CZ22" t="s">
        <v>1940</v>
      </c>
      <c r="DA22" t="s">
        <v>1940</v>
      </c>
      <c r="DB22" t="s">
        <v>1940</v>
      </c>
      <c r="DC22" t="s">
        <v>1940</v>
      </c>
      <c r="DD22" t="s">
        <v>1991</v>
      </c>
      <c r="DE22" t="s">
        <v>1991</v>
      </c>
      <c r="DF22" t="s">
        <v>1991</v>
      </c>
      <c r="DG22" t="s">
        <v>1991</v>
      </c>
      <c r="DH22" t="s">
        <v>1991</v>
      </c>
      <c r="DI22" t="s">
        <v>1991</v>
      </c>
      <c r="DJ22" t="s">
        <v>1940</v>
      </c>
      <c r="DK22" t="s">
        <v>1940</v>
      </c>
      <c r="DL22" t="s">
        <v>1991</v>
      </c>
      <c r="DM22" t="s">
        <v>1991</v>
      </c>
      <c r="DN22" t="s">
        <v>1991</v>
      </c>
      <c r="DO22" t="s">
        <v>1940</v>
      </c>
      <c r="DP22" t="s">
        <v>1940</v>
      </c>
      <c r="DQ22" t="s">
        <v>1940</v>
      </c>
      <c r="DR22" t="s">
        <v>1940</v>
      </c>
      <c r="DS22" t="s">
        <v>1991</v>
      </c>
      <c r="DT22" t="s">
        <v>1940</v>
      </c>
      <c r="DU22" t="s">
        <v>1940</v>
      </c>
      <c r="DV22" t="s">
        <v>1940</v>
      </c>
      <c r="DW22" t="s">
        <v>1991</v>
      </c>
      <c r="DX22" t="s">
        <v>1991</v>
      </c>
      <c r="DY22" t="s">
        <v>1991</v>
      </c>
      <c r="DZ22" t="s">
        <v>1991</v>
      </c>
      <c r="EA22" t="s">
        <v>1940</v>
      </c>
      <c r="EB22" t="s">
        <v>1940</v>
      </c>
      <c r="EC22" t="s">
        <v>1940</v>
      </c>
      <c r="ED22" t="s">
        <v>1991</v>
      </c>
      <c r="EE22" t="s">
        <v>1991</v>
      </c>
      <c r="EF22" t="s">
        <v>1991</v>
      </c>
      <c r="EG22" t="s">
        <v>1940</v>
      </c>
      <c r="EH22" t="s">
        <v>1940</v>
      </c>
      <c r="EI22" t="s">
        <v>1940</v>
      </c>
      <c r="EJ22" t="s">
        <v>1940</v>
      </c>
      <c r="EK22" t="s">
        <v>1940</v>
      </c>
      <c r="EL22" t="s">
        <v>1940</v>
      </c>
      <c r="EM22" t="s">
        <v>1991</v>
      </c>
      <c r="EN22" t="s">
        <v>1991</v>
      </c>
      <c r="EO22" t="s">
        <v>1991</v>
      </c>
      <c r="ET22" t="s">
        <v>1991</v>
      </c>
      <c r="EU22" t="s">
        <v>1991</v>
      </c>
      <c r="EV22" t="s">
        <v>1991</v>
      </c>
      <c r="EW22" t="s">
        <v>1991</v>
      </c>
      <c r="EX22" t="s">
        <v>1991</v>
      </c>
      <c r="EY22" t="s">
        <v>1940</v>
      </c>
      <c r="EZ22" t="s">
        <v>1991</v>
      </c>
      <c r="FA22" t="s">
        <v>1940</v>
      </c>
      <c r="FB22" t="s">
        <v>1940</v>
      </c>
      <c r="FC22" t="s">
        <v>1940</v>
      </c>
      <c r="FD22" t="s">
        <v>1991</v>
      </c>
      <c r="FE22" t="s">
        <v>1991</v>
      </c>
      <c r="FF22" t="s">
        <v>1940</v>
      </c>
      <c r="FG22" t="s">
        <v>1940</v>
      </c>
      <c r="FH22" t="s">
        <v>1940</v>
      </c>
      <c r="FI22" t="s">
        <v>1940</v>
      </c>
      <c r="FJ22" t="s">
        <v>1991</v>
      </c>
      <c r="FK22" t="s">
        <v>1991</v>
      </c>
      <c r="FL22" t="s">
        <v>1991</v>
      </c>
      <c r="FM22" t="s">
        <v>1991</v>
      </c>
      <c r="FN22" t="s">
        <v>1991</v>
      </c>
      <c r="FO22" t="s">
        <v>1991</v>
      </c>
      <c r="FP22" t="s">
        <v>1991</v>
      </c>
      <c r="FQ22" t="s">
        <v>1991</v>
      </c>
      <c r="FR22" t="s">
        <v>1991</v>
      </c>
      <c r="FS22" t="s">
        <v>1991</v>
      </c>
      <c r="FT22" t="s">
        <v>1991</v>
      </c>
      <c r="FU22" t="s">
        <v>1991</v>
      </c>
      <c r="FV22" t="s">
        <v>1991</v>
      </c>
      <c r="FW22" t="s">
        <v>1991</v>
      </c>
      <c r="FX22" t="s">
        <v>1991</v>
      </c>
      <c r="FY22" t="s">
        <v>1940</v>
      </c>
      <c r="FZ22" t="s">
        <v>1940</v>
      </c>
      <c r="GA22" t="s">
        <v>1940</v>
      </c>
      <c r="GB22" t="s">
        <v>1991</v>
      </c>
      <c r="GC22" t="s">
        <v>1991</v>
      </c>
      <c r="GD22" t="s">
        <v>1991</v>
      </c>
      <c r="GE22" t="s">
        <v>1991</v>
      </c>
      <c r="GF22" t="s">
        <v>1991</v>
      </c>
      <c r="GG22" t="s">
        <v>1991</v>
      </c>
      <c r="GH22" t="s">
        <v>1991</v>
      </c>
      <c r="GI22" t="s">
        <v>1991</v>
      </c>
      <c r="GJ22" t="s">
        <v>1991</v>
      </c>
      <c r="GK22" t="s">
        <v>1991</v>
      </c>
      <c r="GL22" t="s">
        <v>1991</v>
      </c>
      <c r="GM22" t="s">
        <v>1991</v>
      </c>
      <c r="GN22" t="s">
        <v>1991</v>
      </c>
      <c r="GO22" t="s">
        <v>1991</v>
      </c>
      <c r="GP22" t="s">
        <v>1991</v>
      </c>
      <c r="GQ22" t="s">
        <v>1991</v>
      </c>
      <c r="GR22" t="s">
        <v>1991</v>
      </c>
      <c r="GS22" t="s">
        <v>1991</v>
      </c>
      <c r="GT22" t="s">
        <v>1991</v>
      </c>
      <c r="GU22" t="s">
        <v>1991</v>
      </c>
      <c r="GV22" t="s">
        <v>1991</v>
      </c>
      <c r="GW22" t="s">
        <v>1991</v>
      </c>
      <c r="GX22" t="s">
        <v>1991</v>
      </c>
      <c r="GY22" t="s">
        <v>1991</v>
      </c>
      <c r="GZ22" t="s">
        <v>1991</v>
      </c>
      <c r="HA22" t="s">
        <v>1991</v>
      </c>
      <c r="HB22" t="s">
        <v>1991</v>
      </c>
      <c r="HC22" t="s">
        <v>1991</v>
      </c>
      <c r="HD22" t="s">
        <v>1940</v>
      </c>
      <c r="HE22" t="s">
        <v>1991</v>
      </c>
      <c r="HF22" t="s">
        <v>1940</v>
      </c>
      <c r="HG22" t="s">
        <v>1991</v>
      </c>
      <c r="HH22" t="s">
        <v>1991</v>
      </c>
      <c r="HI22" t="s">
        <v>1991</v>
      </c>
      <c r="HJ22" t="s">
        <v>1991</v>
      </c>
      <c r="HK22" t="s">
        <v>1991</v>
      </c>
      <c r="HL22" t="s">
        <v>1991</v>
      </c>
      <c r="HM22" t="s">
        <v>1991</v>
      </c>
      <c r="HN22" t="s">
        <v>1991</v>
      </c>
      <c r="HO22" t="s">
        <v>1940</v>
      </c>
      <c r="HP22" t="s">
        <v>1991</v>
      </c>
      <c r="HQ22" t="s">
        <v>1940</v>
      </c>
      <c r="HR22" t="s">
        <v>1940</v>
      </c>
      <c r="HS22" t="s">
        <v>1940</v>
      </c>
      <c r="HT22" t="s">
        <v>1991</v>
      </c>
      <c r="HU22" t="s">
        <v>1991</v>
      </c>
      <c r="HV22" t="s">
        <v>1991</v>
      </c>
      <c r="HW22" t="s">
        <v>1991</v>
      </c>
      <c r="HX22" t="s">
        <v>1991</v>
      </c>
      <c r="HY22" t="s">
        <v>1991</v>
      </c>
      <c r="HZ22" t="s">
        <v>1991</v>
      </c>
      <c r="IA22" t="s">
        <v>1991</v>
      </c>
      <c r="IB22" t="s">
        <v>1991</v>
      </c>
      <c r="IC22" t="s">
        <v>1991</v>
      </c>
      <c r="ID22" t="s">
        <v>1991</v>
      </c>
      <c r="IE22" t="s">
        <v>1991</v>
      </c>
      <c r="IF22" t="s">
        <v>1940</v>
      </c>
      <c r="IG22" t="s">
        <v>1940</v>
      </c>
      <c r="IH22" t="s">
        <v>1940</v>
      </c>
      <c r="II22" t="s">
        <v>1940</v>
      </c>
      <c r="IJ22" t="s">
        <v>1940</v>
      </c>
      <c r="IK22" t="s">
        <v>1991</v>
      </c>
      <c r="IL22" t="s">
        <v>1991</v>
      </c>
      <c r="IM22" t="s">
        <v>1991</v>
      </c>
      <c r="IN22" t="s">
        <v>1991</v>
      </c>
      <c r="IO22" t="s">
        <v>1940</v>
      </c>
      <c r="IP22" t="s">
        <v>1991</v>
      </c>
      <c r="IQ22" t="s">
        <v>1991</v>
      </c>
      <c r="IR22" t="s">
        <v>1991</v>
      </c>
      <c r="IS22" t="s">
        <v>1991</v>
      </c>
      <c r="IT22" t="s">
        <v>1991</v>
      </c>
      <c r="IU22" t="s">
        <v>1991</v>
      </c>
      <c r="IV22" t="s">
        <v>1991</v>
      </c>
      <c r="IW22" t="s">
        <v>1991</v>
      </c>
      <c r="IX22" t="s">
        <v>1991</v>
      </c>
      <c r="IY22" t="s">
        <v>1991</v>
      </c>
      <c r="IZ22" t="s">
        <v>1991</v>
      </c>
      <c r="JA22" t="s">
        <v>1991</v>
      </c>
      <c r="JB22" t="s">
        <v>1940</v>
      </c>
      <c r="JC22" t="s">
        <v>1991</v>
      </c>
      <c r="JD22" t="s">
        <v>1991</v>
      </c>
      <c r="JE22" t="s">
        <v>1991</v>
      </c>
      <c r="JF22" t="s">
        <v>1991</v>
      </c>
      <c r="JG22" t="s">
        <v>1991</v>
      </c>
      <c r="JH22" t="s">
        <v>1991</v>
      </c>
      <c r="JI22" t="s">
        <v>1991</v>
      </c>
      <c r="JJ22" t="s">
        <v>1991</v>
      </c>
      <c r="JK22" t="s">
        <v>1991</v>
      </c>
      <c r="JL22" t="s">
        <v>1940</v>
      </c>
      <c r="JM22" t="s">
        <v>1991</v>
      </c>
      <c r="JN22" t="s">
        <v>1991</v>
      </c>
      <c r="JO22" t="s">
        <v>1991</v>
      </c>
      <c r="JP22" t="s">
        <v>1991</v>
      </c>
      <c r="JQ22" t="s">
        <v>1991</v>
      </c>
      <c r="JR22" t="s">
        <v>1991</v>
      </c>
      <c r="JS22" t="s">
        <v>1991</v>
      </c>
      <c r="JT22" t="s">
        <v>1940</v>
      </c>
      <c r="JU22" t="s">
        <v>1991</v>
      </c>
      <c r="JV22" t="s">
        <v>1940</v>
      </c>
      <c r="JW22" t="s">
        <v>1991</v>
      </c>
      <c r="JX22" t="s">
        <v>1991</v>
      </c>
      <c r="JY22" t="s">
        <v>1991</v>
      </c>
      <c r="JZ22" t="s">
        <v>1940</v>
      </c>
      <c r="KA22" t="s">
        <v>1991</v>
      </c>
      <c r="KB22" t="s">
        <v>1991</v>
      </c>
      <c r="KC22" t="s">
        <v>1991</v>
      </c>
      <c r="KD22" t="s">
        <v>1991</v>
      </c>
      <c r="KE22" t="s">
        <v>1991</v>
      </c>
      <c r="KF22" t="s">
        <v>1991</v>
      </c>
      <c r="KG22" t="s">
        <v>1991</v>
      </c>
      <c r="KH22" t="s">
        <v>1991</v>
      </c>
      <c r="KI22" t="s">
        <v>1991</v>
      </c>
      <c r="KJ22" t="s">
        <v>1991</v>
      </c>
      <c r="KK22" t="s">
        <v>1991</v>
      </c>
      <c r="KL22" t="s">
        <v>1991</v>
      </c>
      <c r="KM22" t="s">
        <v>1991</v>
      </c>
      <c r="KN22" t="s">
        <v>1940</v>
      </c>
      <c r="KO22" t="s">
        <v>1991</v>
      </c>
      <c r="KP22" t="s">
        <v>1991</v>
      </c>
      <c r="KQ22" t="s">
        <v>1991</v>
      </c>
      <c r="KR22" t="s">
        <v>1991</v>
      </c>
      <c r="KS22" t="s">
        <v>1991</v>
      </c>
      <c r="KT22" t="s">
        <v>1991</v>
      </c>
      <c r="KU22" t="s">
        <v>1991</v>
      </c>
      <c r="KV22" t="s">
        <v>1991</v>
      </c>
      <c r="KW22" t="s">
        <v>1991</v>
      </c>
      <c r="KX22" t="s">
        <v>1991</v>
      </c>
      <c r="KY22" t="s">
        <v>1991</v>
      </c>
      <c r="KZ22" t="s">
        <v>1991</v>
      </c>
      <c r="LA22" t="s">
        <v>1991</v>
      </c>
      <c r="LB22" t="s">
        <v>1991</v>
      </c>
      <c r="LC22" t="s">
        <v>1991</v>
      </c>
      <c r="LD22" t="s">
        <v>1991</v>
      </c>
      <c r="LE22" t="s">
        <v>1991</v>
      </c>
      <c r="LF22" t="s">
        <v>1991</v>
      </c>
      <c r="LG22" t="s">
        <v>1940</v>
      </c>
      <c r="LH22" t="s">
        <v>1940</v>
      </c>
      <c r="LI22" t="s">
        <v>1940</v>
      </c>
      <c r="LJ22" t="s">
        <v>1991</v>
      </c>
      <c r="LK22" t="s">
        <v>1940</v>
      </c>
      <c r="LL22" t="s">
        <v>1940</v>
      </c>
      <c r="LM22" t="s">
        <v>1991</v>
      </c>
      <c r="LN22" t="s">
        <v>1991</v>
      </c>
      <c r="LO22" t="s">
        <v>1940</v>
      </c>
      <c r="LP22" t="s">
        <v>1940</v>
      </c>
      <c r="LQ22" t="s">
        <v>1940</v>
      </c>
      <c r="LR22" t="s">
        <v>1940</v>
      </c>
      <c r="LS22" t="s">
        <v>1991</v>
      </c>
      <c r="LT22" t="s">
        <v>1991</v>
      </c>
      <c r="LU22" t="s">
        <v>1991</v>
      </c>
      <c r="LV22" t="s">
        <v>1991</v>
      </c>
      <c r="LW22" t="s">
        <v>1940</v>
      </c>
      <c r="LX22" t="s">
        <v>1991</v>
      </c>
      <c r="LY22" t="s">
        <v>1991</v>
      </c>
      <c r="LZ22" t="s">
        <v>1991</v>
      </c>
      <c r="MA22" t="s">
        <v>1991</v>
      </c>
      <c r="MB22" t="s">
        <v>1991</v>
      </c>
      <c r="MC22" t="s">
        <v>1991</v>
      </c>
      <c r="MD22" t="s">
        <v>1940</v>
      </c>
      <c r="ME22" t="s">
        <v>1991</v>
      </c>
      <c r="MF22" t="s">
        <v>1991</v>
      </c>
      <c r="MG22" t="s">
        <v>1940</v>
      </c>
      <c r="MH22" t="s">
        <v>1940</v>
      </c>
      <c r="MI22" t="s">
        <v>1940</v>
      </c>
      <c r="MJ22" t="s">
        <v>1991</v>
      </c>
      <c r="MK22" t="s">
        <v>1991</v>
      </c>
      <c r="ML22" t="s">
        <v>1991</v>
      </c>
      <c r="MM22" t="s">
        <v>1991</v>
      </c>
      <c r="MN22" t="s">
        <v>1991</v>
      </c>
      <c r="MO22" t="s">
        <v>1991</v>
      </c>
      <c r="MP22" t="s">
        <v>1991</v>
      </c>
      <c r="MQ22" t="s">
        <v>1991</v>
      </c>
      <c r="MR22" t="s">
        <v>1991</v>
      </c>
      <c r="MS22" t="s">
        <v>1991</v>
      </c>
      <c r="MT22" t="s">
        <v>1991</v>
      </c>
      <c r="MU22" t="s">
        <v>1991</v>
      </c>
      <c r="MV22" t="s">
        <v>1991</v>
      </c>
      <c r="MW22" t="s">
        <v>1991</v>
      </c>
      <c r="MX22" t="s">
        <v>1940</v>
      </c>
      <c r="MY22" t="s">
        <v>1991</v>
      </c>
      <c r="MZ22" t="s">
        <v>1940</v>
      </c>
      <c r="NA22" t="s">
        <v>1991</v>
      </c>
      <c r="NB22" t="s">
        <v>1991</v>
      </c>
      <c r="NC22" t="s">
        <v>1991</v>
      </c>
      <c r="ND22" t="s">
        <v>1991</v>
      </c>
      <c r="NG22" t="s">
        <v>1991</v>
      </c>
      <c r="NH22" t="s">
        <v>1991</v>
      </c>
      <c r="NI22" t="s">
        <v>1991</v>
      </c>
      <c r="NJ22" t="s">
        <v>1991</v>
      </c>
      <c r="NK22" t="s">
        <v>1991</v>
      </c>
      <c r="NL22" t="s">
        <v>1991</v>
      </c>
      <c r="NM22" t="s">
        <v>1991</v>
      </c>
      <c r="NN22" t="s">
        <v>1940</v>
      </c>
      <c r="NO22" t="s">
        <v>1992</v>
      </c>
      <c r="NP22" t="s">
        <v>1993</v>
      </c>
      <c r="NR22" t="s">
        <v>1478</v>
      </c>
      <c r="NS22" t="s">
        <v>1994</v>
      </c>
      <c r="NU22" t="s">
        <v>1853</v>
      </c>
      <c r="NV22" t="s">
        <v>1995</v>
      </c>
      <c r="NX22" t="s">
        <v>1996</v>
      </c>
      <c r="NY22" t="s">
        <v>1870</v>
      </c>
    </row>
    <row r="23" spans="1:389" ht="15" customHeight="1" x14ac:dyDescent="0.25">
      <c r="A23" t="s">
        <v>1997</v>
      </c>
      <c r="B23" t="s">
        <v>1998</v>
      </c>
      <c r="C23" t="s">
        <v>1850</v>
      </c>
      <c r="D23" t="s">
        <v>1479</v>
      </c>
      <c r="G23" t="s">
        <v>1997</v>
      </c>
      <c r="H23" t="s">
        <v>1999</v>
      </c>
      <c r="I23" t="s">
        <v>1999</v>
      </c>
      <c r="J23" t="s">
        <v>1999</v>
      </c>
      <c r="K23" t="s">
        <v>1997</v>
      </c>
      <c r="L23" t="s">
        <v>1997</v>
      </c>
      <c r="M23" t="s">
        <v>1997</v>
      </c>
      <c r="N23" t="s">
        <v>1997</v>
      </c>
      <c r="O23" t="s">
        <v>1999</v>
      </c>
      <c r="P23" t="s">
        <v>1997</v>
      </c>
      <c r="Q23" t="s">
        <v>1999</v>
      </c>
      <c r="R23" t="s">
        <v>1997</v>
      </c>
      <c r="S23" t="s">
        <v>1997</v>
      </c>
      <c r="T23" t="s">
        <v>1999</v>
      </c>
      <c r="U23" t="s">
        <v>1999</v>
      </c>
      <c r="V23" t="s">
        <v>1999</v>
      </c>
      <c r="W23" t="s">
        <v>1999</v>
      </c>
      <c r="X23" t="s">
        <v>1999</v>
      </c>
      <c r="Y23" t="s">
        <v>1999</v>
      </c>
      <c r="AA23" t="s">
        <v>1999</v>
      </c>
      <c r="AB23" t="s">
        <v>1999</v>
      </c>
      <c r="AC23" t="s">
        <v>1999</v>
      </c>
      <c r="AD23" t="s">
        <v>1999</v>
      </c>
      <c r="AE23" t="s">
        <v>1999</v>
      </c>
      <c r="AF23" t="s">
        <v>1999</v>
      </c>
      <c r="AG23" t="s">
        <v>1999</v>
      </c>
      <c r="AH23" t="s">
        <v>1997</v>
      </c>
      <c r="AI23" t="s">
        <v>1999</v>
      </c>
      <c r="AJ23" t="s">
        <v>1999</v>
      </c>
      <c r="AK23" t="s">
        <v>1999</v>
      </c>
      <c r="AL23" t="s">
        <v>1999</v>
      </c>
      <c r="AM23" t="s">
        <v>1997</v>
      </c>
      <c r="AN23" t="s">
        <v>1999</v>
      </c>
      <c r="AO23" t="s">
        <v>1997</v>
      </c>
      <c r="AP23" t="s">
        <v>1997</v>
      </c>
      <c r="AQ23" t="s">
        <v>1997</v>
      </c>
      <c r="AR23" t="s">
        <v>1997</v>
      </c>
      <c r="AS23" t="s">
        <v>1999</v>
      </c>
      <c r="AT23" t="s">
        <v>1999</v>
      </c>
      <c r="AU23" t="s">
        <v>1999</v>
      </c>
      <c r="AV23" t="s">
        <v>1999</v>
      </c>
      <c r="AW23" t="s">
        <v>1999</v>
      </c>
      <c r="AX23" t="s">
        <v>1999</v>
      </c>
      <c r="AY23" t="s">
        <v>1999</v>
      </c>
      <c r="AZ23" t="s">
        <v>1999</v>
      </c>
      <c r="BA23" t="s">
        <v>1999</v>
      </c>
      <c r="BB23" t="s">
        <v>1999</v>
      </c>
      <c r="BC23" t="s">
        <v>1999</v>
      </c>
      <c r="BD23" t="s">
        <v>1999</v>
      </c>
      <c r="BE23" t="s">
        <v>1999</v>
      </c>
      <c r="BF23" t="s">
        <v>1999</v>
      </c>
      <c r="BG23" t="s">
        <v>1999</v>
      </c>
      <c r="BH23" t="s">
        <v>1999</v>
      </c>
      <c r="BI23" t="s">
        <v>1999</v>
      </c>
      <c r="BJ23" t="s">
        <v>1999</v>
      </c>
      <c r="BK23" t="s">
        <v>1999</v>
      </c>
      <c r="BL23" t="s">
        <v>1999</v>
      </c>
      <c r="BM23" t="s">
        <v>1999</v>
      </c>
      <c r="BN23" t="s">
        <v>1999</v>
      </c>
      <c r="BO23" t="s">
        <v>1999</v>
      </c>
      <c r="BP23" t="s">
        <v>1999</v>
      </c>
      <c r="BQ23" t="s">
        <v>1999</v>
      </c>
      <c r="BR23" t="s">
        <v>1999</v>
      </c>
      <c r="BS23" t="s">
        <v>1999</v>
      </c>
      <c r="BT23" t="s">
        <v>1999</v>
      </c>
      <c r="BU23" t="s">
        <v>1999</v>
      </c>
      <c r="BV23" t="s">
        <v>1999</v>
      </c>
      <c r="BW23" t="s">
        <v>1999</v>
      </c>
      <c r="BX23" t="s">
        <v>1999</v>
      </c>
      <c r="BY23" t="s">
        <v>1999</v>
      </c>
      <c r="BZ23" t="s">
        <v>1997</v>
      </c>
      <c r="CA23" t="s">
        <v>1997</v>
      </c>
      <c r="CB23" t="s">
        <v>1999</v>
      </c>
      <c r="CC23" t="s">
        <v>1999</v>
      </c>
      <c r="CD23" t="s">
        <v>1999</v>
      </c>
      <c r="CE23" t="s">
        <v>1997</v>
      </c>
      <c r="CF23" t="s">
        <v>1999</v>
      </c>
      <c r="CG23" t="s">
        <v>1999</v>
      </c>
      <c r="CH23" t="s">
        <v>1999</v>
      </c>
      <c r="CI23" t="s">
        <v>1999</v>
      </c>
      <c r="CJ23" t="s">
        <v>1999</v>
      </c>
      <c r="CK23" t="s">
        <v>1997</v>
      </c>
      <c r="CL23" t="s">
        <v>1997</v>
      </c>
      <c r="CM23" t="s">
        <v>1997</v>
      </c>
      <c r="CN23" t="s">
        <v>1997</v>
      </c>
      <c r="CO23" t="s">
        <v>1997</v>
      </c>
      <c r="CP23" t="s">
        <v>1997</v>
      </c>
      <c r="CQ23" t="s">
        <v>1997</v>
      </c>
      <c r="CR23" t="s">
        <v>1997</v>
      </c>
      <c r="CS23" t="s">
        <v>1999</v>
      </c>
      <c r="CT23" t="s">
        <v>1999</v>
      </c>
      <c r="CU23" t="s">
        <v>1997</v>
      </c>
      <c r="CV23" t="s">
        <v>1999</v>
      </c>
      <c r="CW23" t="s">
        <v>1999</v>
      </c>
      <c r="CX23" t="s">
        <v>1999</v>
      </c>
      <c r="CY23" t="s">
        <v>1999</v>
      </c>
      <c r="CZ23" t="s">
        <v>1997</v>
      </c>
      <c r="DA23" t="s">
        <v>1997</v>
      </c>
      <c r="DB23" t="s">
        <v>1997</v>
      </c>
      <c r="DC23" t="s">
        <v>1997</v>
      </c>
      <c r="DD23" t="s">
        <v>1999</v>
      </c>
      <c r="DE23" t="s">
        <v>1999</v>
      </c>
      <c r="DF23" t="s">
        <v>1999</v>
      </c>
      <c r="DG23" t="s">
        <v>1999</v>
      </c>
      <c r="DH23" t="s">
        <v>1999</v>
      </c>
      <c r="DI23" t="s">
        <v>1999</v>
      </c>
      <c r="DJ23" t="s">
        <v>1997</v>
      </c>
      <c r="DK23" t="s">
        <v>1997</v>
      </c>
      <c r="DL23" t="s">
        <v>1999</v>
      </c>
      <c r="DM23" t="s">
        <v>1999</v>
      </c>
      <c r="DN23" t="s">
        <v>1999</v>
      </c>
      <c r="DO23" t="s">
        <v>1997</v>
      </c>
      <c r="DP23" t="s">
        <v>1997</v>
      </c>
      <c r="DQ23" t="s">
        <v>1997</v>
      </c>
      <c r="DR23" t="s">
        <v>1997</v>
      </c>
      <c r="DS23" t="s">
        <v>1999</v>
      </c>
      <c r="DT23" t="s">
        <v>1997</v>
      </c>
      <c r="DU23" t="s">
        <v>1997</v>
      </c>
      <c r="DV23" t="s">
        <v>1997</v>
      </c>
      <c r="DW23" t="s">
        <v>1999</v>
      </c>
      <c r="DX23" t="s">
        <v>1999</v>
      </c>
      <c r="DY23" t="s">
        <v>1999</v>
      </c>
      <c r="DZ23" t="s">
        <v>1999</v>
      </c>
      <c r="EA23" t="s">
        <v>1997</v>
      </c>
      <c r="EB23" t="s">
        <v>1997</v>
      </c>
      <c r="EC23" t="s">
        <v>1997</v>
      </c>
      <c r="ED23" t="s">
        <v>1999</v>
      </c>
      <c r="EE23" t="s">
        <v>1999</v>
      </c>
      <c r="EF23" t="s">
        <v>1999</v>
      </c>
      <c r="EG23" t="s">
        <v>1997</v>
      </c>
      <c r="EH23" t="s">
        <v>1997</v>
      </c>
      <c r="EI23" t="s">
        <v>1997</v>
      </c>
      <c r="EJ23" t="s">
        <v>1997</v>
      </c>
      <c r="EK23" t="s">
        <v>1997</v>
      </c>
      <c r="EL23" t="s">
        <v>1997</v>
      </c>
      <c r="EM23" t="s">
        <v>1999</v>
      </c>
      <c r="EN23" t="s">
        <v>1999</v>
      </c>
      <c r="EO23" t="s">
        <v>1999</v>
      </c>
      <c r="ET23" t="s">
        <v>1999</v>
      </c>
      <c r="EU23" t="s">
        <v>1999</v>
      </c>
      <c r="EV23" t="s">
        <v>1999</v>
      </c>
      <c r="EW23" t="s">
        <v>1999</v>
      </c>
      <c r="EX23" t="s">
        <v>1999</v>
      </c>
      <c r="EY23" t="s">
        <v>1997</v>
      </c>
      <c r="EZ23" t="s">
        <v>1999</v>
      </c>
      <c r="FA23" t="s">
        <v>1997</v>
      </c>
      <c r="FB23" t="s">
        <v>1997</v>
      </c>
      <c r="FC23" t="s">
        <v>1997</v>
      </c>
      <c r="FD23" t="s">
        <v>1999</v>
      </c>
      <c r="FE23" t="s">
        <v>1999</v>
      </c>
      <c r="FF23" t="s">
        <v>1997</v>
      </c>
      <c r="FG23" t="s">
        <v>1997</v>
      </c>
      <c r="FH23" t="s">
        <v>1997</v>
      </c>
      <c r="FI23" t="s">
        <v>1997</v>
      </c>
      <c r="FJ23" t="s">
        <v>1999</v>
      </c>
      <c r="FK23" t="s">
        <v>1999</v>
      </c>
      <c r="FL23" t="s">
        <v>1999</v>
      </c>
      <c r="FM23" t="s">
        <v>1999</v>
      </c>
      <c r="FN23" t="s">
        <v>1999</v>
      </c>
      <c r="FO23" t="s">
        <v>1999</v>
      </c>
      <c r="FP23" t="s">
        <v>1999</v>
      </c>
      <c r="FQ23" t="s">
        <v>1999</v>
      </c>
      <c r="FR23" t="s">
        <v>1999</v>
      </c>
      <c r="FS23" t="s">
        <v>1999</v>
      </c>
      <c r="FT23" t="s">
        <v>1999</v>
      </c>
      <c r="FU23" t="s">
        <v>1999</v>
      </c>
      <c r="FV23" t="s">
        <v>1999</v>
      </c>
      <c r="FW23" t="s">
        <v>1999</v>
      </c>
      <c r="FX23" t="s">
        <v>1999</v>
      </c>
      <c r="FY23" t="s">
        <v>1997</v>
      </c>
      <c r="FZ23" t="s">
        <v>1997</v>
      </c>
      <c r="GA23" t="s">
        <v>1997</v>
      </c>
      <c r="GB23" t="s">
        <v>1999</v>
      </c>
      <c r="GC23" t="s">
        <v>1999</v>
      </c>
      <c r="GD23" t="s">
        <v>1999</v>
      </c>
      <c r="GE23" t="s">
        <v>1999</v>
      </c>
      <c r="GF23" t="s">
        <v>1999</v>
      </c>
      <c r="GG23" t="s">
        <v>1999</v>
      </c>
      <c r="GH23" t="s">
        <v>1999</v>
      </c>
      <c r="GI23" t="s">
        <v>1999</v>
      </c>
      <c r="GJ23" t="s">
        <v>1999</v>
      </c>
      <c r="GK23" t="s">
        <v>1999</v>
      </c>
      <c r="GL23" t="s">
        <v>1999</v>
      </c>
      <c r="GM23" t="s">
        <v>1999</v>
      </c>
      <c r="GN23" t="s">
        <v>1999</v>
      </c>
      <c r="GO23" t="s">
        <v>1999</v>
      </c>
      <c r="GP23" t="s">
        <v>1999</v>
      </c>
      <c r="GQ23" t="s">
        <v>1999</v>
      </c>
      <c r="GR23" t="s">
        <v>1999</v>
      </c>
      <c r="GS23" t="s">
        <v>1999</v>
      </c>
      <c r="GT23" t="s">
        <v>1999</v>
      </c>
      <c r="GU23" t="s">
        <v>1999</v>
      </c>
      <c r="GV23" t="s">
        <v>1999</v>
      </c>
      <c r="GW23" t="s">
        <v>1999</v>
      </c>
      <c r="GX23" t="s">
        <v>1999</v>
      </c>
      <c r="GY23" t="s">
        <v>1999</v>
      </c>
      <c r="GZ23" t="s">
        <v>1999</v>
      </c>
      <c r="HA23" t="s">
        <v>1999</v>
      </c>
      <c r="HB23" t="s">
        <v>1999</v>
      </c>
      <c r="HC23" t="s">
        <v>1999</v>
      </c>
      <c r="HD23" t="s">
        <v>1997</v>
      </c>
      <c r="HE23" t="s">
        <v>1999</v>
      </c>
      <c r="HF23" t="s">
        <v>1997</v>
      </c>
      <c r="HG23" t="s">
        <v>1999</v>
      </c>
      <c r="HH23" t="s">
        <v>1999</v>
      </c>
      <c r="HI23" t="s">
        <v>1999</v>
      </c>
      <c r="HJ23" t="s">
        <v>1999</v>
      </c>
      <c r="HK23" t="s">
        <v>1999</v>
      </c>
      <c r="HL23" t="s">
        <v>1999</v>
      </c>
      <c r="HM23" t="s">
        <v>1999</v>
      </c>
      <c r="HN23" t="s">
        <v>1999</v>
      </c>
      <c r="HO23" t="s">
        <v>1997</v>
      </c>
      <c r="HP23" t="s">
        <v>1999</v>
      </c>
      <c r="HQ23" t="s">
        <v>1997</v>
      </c>
      <c r="HR23" t="s">
        <v>1997</v>
      </c>
      <c r="HS23" t="s">
        <v>1997</v>
      </c>
      <c r="HT23" t="s">
        <v>1999</v>
      </c>
      <c r="HU23" t="s">
        <v>1999</v>
      </c>
      <c r="HV23" t="s">
        <v>1999</v>
      </c>
      <c r="HW23" t="s">
        <v>1999</v>
      </c>
      <c r="HX23" t="s">
        <v>1999</v>
      </c>
      <c r="HY23" t="s">
        <v>1999</v>
      </c>
      <c r="HZ23" t="s">
        <v>1999</v>
      </c>
      <c r="IA23" t="s">
        <v>1999</v>
      </c>
      <c r="IB23" t="s">
        <v>1999</v>
      </c>
      <c r="IC23" t="s">
        <v>1999</v>
      </c>
      <c r="ID23" t="s">
        <v>1999</v>
      </c>
      <c r="IE23" t="s">
        <v>1999</v>
      </c>
      <c r="IF23" t="s">
        <v>1997</v>
      </c>
      <c r="IG23" t="s">
        <v>1997</v>
      </c>
      <c r="IH23" t="s">
        <v>1997</v>
      </c>
      <c r="II23" t="s">
        <v>1997</v>
      </c>
      <c r="IJ23" t="s">
        <v>1997</v>
      </c>
      <c r="IK23" t="s">
        <v>1999</v>
      </c>
      <c r="IL23" t="s">
        <v>1999</v>
      </c>
      <c r="IM23" t="s">
        <v>1999</v>
      </c>
      <c r="IN23" t="s">
        <v>1999</v>
      </c>
      <c r="IO23" t="s">
        <v>1997</v>
      </c>
      <c r="IP23" t="s">
        <v>1999</v>
      </c>
      <c r="IQ23" t="s">
        <v>1999</v>
      </c>
      <c r="IR23" t="s">
        <v>1999</v>
      </c>
      <c r="IS23" t="s">
        <v>1999</v>
      </c>
      <c r="IT23" t="s">
        <v>1999</v>
      </c>
      <c r="IU23" t="s">
        <v>1999</v>
      </c>
      <c r="IV23" t="s">
        <v>1999</v>
      </c>
      <c r="IW23" t="s">
        <v>1999</v>
      </c>
      <c r="IX23" t="s">
        <v>1999</v>
      </c>
      <c r="IY23" t="s">
        <v>1999</v>
      </c>
      <c r="IZ23" t="s">
        <v>1999</v>
      </c>
      <c r="JA23" t="s">
        <v>1999</v>
      </c>
      <c r="JB23" t="s">
        <v>1997</v>
      </c>
      <c r="JC23" t="s">
        <v>1999</v>
      </c>
      <c r="JD23" t="s">
        <v>1999</v>
      </c>
      <c r="JE23" t="s">
        <v>1999</v>
      </c>
      <c r="JF23" t="s">
        <v>1999</v>
      </c>
      <c r="JG23" t="s">
        <v>1999</v>
      </c>
      <c r="JH23" t="s">
        <v>1999</v>
      </c>
      <c r="JI23" t="s">
        <v>1999</v>
      </c>
      <c r="JJ23" t="s">
        <v>1999</v>
      </c>
      <c r="JK23" t="s">
        <v>1999</v>
      </c>
      <c r="JL23" t="s">
        <v>1997</v>
      </c>
      <c r="JM23" t="s">
        <v>1999</v>
      </c>
      <c r="JN23" t="s">
        <v>1999</v>
      </c>
      <c r="JO23" t="s">
        <v>1999</v>
      </c>
      <c r="JP23" t="s">
        <v>1999</v>
      </c>
      <c r="JQ23" t="s">
        <v>1999</v>
      </c>
      <c r="JR23" t="s">
        <v>1999</v>
      </c>
      <c r="JS23" t="s">
        <v>1999</v>
      </c>
      <c r="JT23" t="s">
        <v>1997</v>
      </c>
      <c r="JU23" t="s">
        <v>1999</v>
      </c>
      <c r="JV23" t="s">
        <v>1997</v>
      </c>
      <c r="JW23" t="s">
        <v>1999</v>
      </c>
      <c r="JX23" t="s">
        <v>1999</v>
      </c>
      <c r="JY23" t="s">
        <v>1999</v>
      </c>
      <c r="JZ23" t="s">
        <v>1997</v>
      </c>
      <c r="KA23" t="s">
        <v>1999</v>
      </c>
      <c r="KB23" t="s">
        <v>1999</v>
      </c>
      <c r="KC23" t="s">
        <v>1999</v>
      </c>
      <c r="KD23" t="s">
        <v>1999</v>
      </c>
      <c r="KE23" t="s">
        <v>1999</v>
      </c>
      <c r="KF23" t="s">
        <v>1999</v>
      </c>
      <c r="KG23" t="s">
        <v>1999</v>
      </c>
      <c r="KH23" t="s">
        <v>1999</v>
      </c>
      <c r="KI23" t="s">
        <v>1999</v>
      </c>
      <c r="KJ23" t="s">
        <v>1999</v>
      </c>
      <c r="KK23" t="s">
        <v>1999</v>
      </c>
      <c r="KL23" t="s">
        <v>1999</v>
      </c>
      <c r="KM23" t="s">
        <v>1999</v>
      </c>
      <c r="KN23" t="s">
        <v>1997</v>
      </c>
      <c r="KO23" t="s">
        <v>1999</v>
      </c>
      <c r="KP23" t="s">
        <v>1999</v>
      </c>
      <c r="KQ23" t="s">
        <v>1999</v>
      </c>
      <c r="KR23" t="s">
        <v>1999</v>
      </c>
      <c r="KS23" t="s">
        <v>1999</v>
      </c>
      <c r="KT23" t="s">
        <v>1999</v>
      </c>
      <c r="KU23" t="s">
        <v>1999</v>
      </c>
      <c r="KV23" t="s">
        <v>1999</v>
      </c>
      <c r="KW23" t="s">
        <v>1999</v>
      </c>
      <c r="KX23" t="s">
        <v>1999</v>
      </c>
      <c r="KY23" t="s">
        <v>1999</v>
      </c>
      <c r="KZ23" t="s">
        <v>1999</v>
      </c>
      <c r="LA23" t="s">
        <v>1999</v>
      </c>
      <c r="LB23" t="s">
        <v>1999</v>
      </c>
      <c r="LC23" t="s">
        <v>1999</v>
      </c>
      <c r="LD23" t="s">
        <v>1999</v>
      </c>
      <c r="LE23" t="s">
        <v>1999</v>
      </c>
      <c r="LF23" t="s">
        <v>1999</v>
      </c>
      <c r="LG23" t="s">
        <v>1997</v>
      </c>
      <c r="LH23" t="s">
        <v>1997</v>
      </c>
      <c r="LI23" t="s">
        <v>1997</v>
      </c>
      <c r="LJ23" t="s">
        <v>1999</v>
      </c>
      <c r="LK23" t="s">
        <v>1997</v>
      </c>
      <c r="LL23" t="s">
        <v>1997</v>
      </c>
      <c r="LM23" t="s">
        <v>1999</v>
      </c>
      <c r="LN23" t="s">
        <v>1999</v>
      </c>
      <c r="LO23" t="s">
        <v>1997</v>
      </c>
      <c r="LP23" t="s">
        <v>1997</v>
      </c>
      <c r="LQ23" t="s">
        <v>1997</v>
      </c>
      <c r="LR23" t="s">
        <v>1997</v>
      </c>
      <c r="LS23" t="s">
        <v>1999</v>
      </c>
      <c r="LT23" t="s">
        <v>1999</v>
      </c>
      <c r="LU23" t="s">
        <v>1999</v>
      </c>
      <c r="LV23" t="s">
        <v>1999</v>
      </c>
      <c r="LW23" t="s">
        <v>1997</v>
      </c>
      <c r="LX23" t="s">
        <v>1999</v>
      </c>
      <c r="LY23" t="s">
        <v>1999</v>
      </c>
      <c r="LZ23" t="s">
        <v>1999</v>
      </c>
      <c r="MA23" t="s">
        <v>1999</v>
      </c>
      <c r="MB23" t="s">
        <v>1999</v>
      </c>
      <c r="MC23" t="s">
        <v>1999</v>
      </c>
      <c r="MD23" t="s">
        <v>1997</v>
      </c>
      <c r="ME23" t="s">
        <v>1999</v>
      </c>
      <c r="MF23" t="s">
        <v>1999</v>
      </c>
      <c r="MG23" t="s">
        <v>1997</v>
      </c>
      <c r="MH23" t="s">
        <v>1997</v>
      </c>
      <c r="MI23" t="s">
        <v>1997</v>
      </c>
      <c r="MJ23" t="s">
        <v>1999</v>
      </c>
      <c r="MK23" t="s">
        <v>1999</v>
      </c>
      <c r="ML23" t="s">
        <v>1999</v>
      </c>
      <c r="MM23" t="s">
        <v>1999</v>
      </c>
      <c r="MN23" t="s">
        <v>1999</v>
      </c>
      <c r="MO23" t="s">
        <v>1999</v>
      </c>
      <c r="MP23" t="s">
        <v>1999</v>
      </c>
      <c r="MQ23" t="s">
        <v>1999</v>
      </c>
      <c r="MR23" t="s">
        <v>1999</v>
      </c>
      <c r="MS23" t="s">
        <v>1999</v>
      </c>
      <c r="MT23" t="s">
        <v>1999</v>
      </c>
      <c r="MU23" t="s">
        <v>1999</v>
      </c>
      <c r="MV23" t="s">
        <v>1999</v>
      </c>
      <c r="MW23" t="s">
        <v>1999</v>
      </c>
      <c r="MX23" t="s">
        <v>1997</v>
      </c>
      <c r="MY23" t="s">
        <v>1999</v>
      </c>
      <c r="MZ23" t="s">
        <v>1997</v>
      </c>
      <c r="NA23" t="s">
        <v>1999</v>
      </c>
      <c r="NB23" t="s">
        <v>1999</v>
      </c>
      <c r="NC23" t="s">
        <v>1999</v>
      </c>
      <c r="ND23" t="s">
        <v>1999</v>
      </c>
      <c r="NG23" t="s">
        <v>1999</v>
      </c>
      <c r="NH23" t="s">
        <v>1999</v>
      </c>
      <c r="NI23" t="s">
        <v>1999</v>
      </c>
      <c r="NJ23" t="s">
        <v>1999</v>
      </c>
      <c r="NK23" t="s">
        <v>1999</v>
      </c>
      <c r="NL23" t="s">
        <v>1999</v>
      </c>
      <c r="NM23" t="s">
        <v>1999</v>
      </c>
      <c r="NN23" t="s">
        <v>1997</v>
      </c>
      <c r="NO23" t="s">
        <v>2000</v>
      </c>
      <c r="NP23" t="s">
        <v>2001</v>
      </c>
      <c r="NR23" t="s">
        <v>1479</v>
      </c>
      <c r="NS23" t="s">
        <v>2002</v>
      </c>
      <c r="NX23" t="s">
        <v>2003</v>
      </c>
      <c r="NY23" t="s">
        <v>1870</v>
      </c>
    </row>
    <row r="24" spans="1:389" ht="15" customHeight="1" x14ac:dyDescent="0.25">
      <c r="A24" t="s">
        <v>1842</v>
      </c>
      <c r="B24" t="s">
        <v>1851</v>
      </c>
      <c r="C24" t="s">
        <v>1850</v>
      </c>
      <c r="D24" t="s">
        <v>1480</v>
      </c>
      <c r="G24" t="s">
        <v>1842</v>
      </c>
      <c r="H24" t="s">
        <v>2004</v>
      </c>
      <c r="I24" t="s">
        <v>2004</v>
      </c>
      <c r="J24" t="s">
        <v>2004</v>
      </c>
      <c r="K24" t="s">
        <v>1842</v>
      </c>
      <c r="L24" t="s">
        <v>1842</v>
      </c>
      <c r="M24" t="s">
        <v>1842</v>
      </c>
      <c r="N24" t="s">
        <v>1842</v>
      </c>
      <c r="O24" t="s">
        <v>2004</v>
      </c>
      <c r="P24" t="s">
        <v>1842</v>
      </c>
      <c r="Q24" t="s">
        <v>2004</v>
      </c>
      <c r="R24" t="s">
        <v>1842</v>
      </c>
      <c r="S24" t="s">
        <v>1842</v>
      </c>
      <c r="T24" t="s">
        <v>2004</v>
      </c>
      <c r="U24" t="s">
        <v>2004</v>
      </c>
      <c r="V24" t="s">
        <v>2004</v>
      </c>
      <c r="W24" t="s">
        <v>2004</v>
      </c>
      <c r="X24" t="s">
        <v>2004</v>
      </c>
      <c r="Y24" t="s">
        <v>2004</v>
      </c>
      <c r="AA24" t="s">
        <v>2004</v>
      </c>
      <c r="AB24" t="s">
        <v>2004</v>
      </c>
      <c r="AC24" t="s">
        <v>2004</v>
      </c>
      <c r="AD24" t="s">
        <v>2004</v>
      </c>
      <c r="AE24" t="s">
        <v>2004</v>
      </c>
      <c r="AF24" t="s">
        <v>2004</v>
      </c>
      <c r="AG24" t="s">
        <v>2004</v>
      </c>
      <c r="AH24" t="s">
        <v>1842</v>
      </c>
      <c r="AI24" t="s">
        <v>2004</v>
      </c>
      <c r="AJ24" t="s">
        <v>2004</v>
      </c>
      <c r="AK24" t="s">
        <v>2004</v>
      </c>
      <c r="AL24" t="s">
        <v>2004</v>
      </c>
      <c r="AM24" t="s">
        <v>1842</v>
      </c>
      <c r="AN24" t="s">
        <v>2004</v>
      </c>
      <c r="AO24" t="s">
        <v>1842</v>
      </c>
      <c r="AP24" t="s">
        <v>1842</v>
      </c>
      <c r="AQ24" t="s">
        <v>1842</v>
      </c>
      <c r="AR24" t="s">
        <v>1842</v>
      </c>
      <c r="AS24" t="s">
        <v>2004</v>
      </c>
      <c r="AT24" t="s">
        <v>2004</v>
      </c>
      <c r="AU24" t="s">
        <v>2004</v>
      </c>
      <c r="AV24" t="s">
        <v>2004</v>
      </c>
      <c r="AW24" t="s">
        <v>2004</v>
      </c>
      <c r="AX24" t="s">
        <v>2004</v>
      </c>
      <c r="AY24" t="s">
        <v>2004</v>
      </c>
      <c r="AZ24" t="s">
        <v>2004</v>
      </c>
      <c r="BA24" t="s">
        <v>2004</v>
      </c>
      <c r="BB24" t="s">
        <v>2004</v>
      </c>
      <c r="BC24" t="s">
        <v>2004</v>
      </c>
      <c r="BD24" t="s">
        <v>2004</v>
      </c>
      <c r="BE24" t="s">
        <v>2004</v>
      </c>
      <c r="BF24" t="s">
        <v>2004</v>
      </c>
      <c r="BG24" t="s">
        <v>2004</v>
      </c>
      <c r="BH24" t="s">
        <v>2004</v>
      </c>
      <c r="BI24" t="s">
        <v>2004</v>
      </c>
      <c r="BJ24" t="s">
        <v>2004</v>
      </c>
      <c r="BK24" t="s">
        <v>2004</v>
      </c>
      <c r="BL24" t="s">
        <v>2004</v>
      </c>
      <c r="BM24" t="s">
        <v>2004</v>
      </c>
      <c r="BN24" t="s">
        <v>2004</v>
      </c>
      <c r="BO24" t="s">
        <v>2004</v>
      </c>
      <c r="BP24" t="s">
        <v>2004</v>
      </c>
      <c r="BQ24" t="s">
        <v>2004</v>
      </c>
      <c r="BR24" t="s">
        <v>2004</v>
      </c>
      <c r="BS24" t="s">
        <v>2004</v>
      </c>
      <c r="BT24" t="s">
        <v>2004</v>
      </c>
      <c r="BU24" t="s">
        <v>2004</v>
      </c>
      <c r="BV24" t="s">
        <v>2004</v>
      </c>
      <c r="BW24" t="s">
        <v>2004</v>
      </c>
      <c r="BX24" t="s">
        <v>2004</v>
      </c>
      <c r="BY24" t="s">
        <v>2004</v>
      </c>
      <c r="BZ24" t="s">
        <v>1842</v>
      </c>
      <c r="CA24" t="s">
        <v>1842</v>
      </c>
      <c r="CB24" t="s">
        <v>2004</v>
      </c>
      <c r="CC24" t="s">
        <v>2004</v>
      </c>
      <c r="CD24" t="s">
        <v>2004</v>
      </c>
      <c r="CE24" t="s">
        <v>1842</v>
      </c>
      <c r="CF24" t="s">
        <v>2004</v>
      </c>
      <c r="CG24" t="s">
        <v>2004</v>
      </c>
      <c r="CH24" t="s">
        <v>2004</v>
      </c>
      <c r="CI24" t="s">
        <v>2004</v>
      </c>
      <c r="CJ24" t="s">
        <v>2004</v>
      </c>
      <c r="CK24" t="s">
        <v>1842</v>
      </c>
      <c r="CL24" t="s">
        <v>1842</v>
      </c>
      <c r="CM24" t="s">
        <v>1842</v>
      </c>
      <c r="CN24" t="s">
        <v>1842</v>
      </c>
      <c r="CO24" t="s">
        <v>1842</v>
      </c>
      <c r="CP24" t="s">
        <v>1842</v>
      </c>
      <c r="CQ24" t="s">
        <v>1842</v>
      </c>
      <c r="CR24" t="s">
        <v>1842</v>
      </c>
      <c r="CS24" t="s">
        <v>2004</v>
      </c>
      <c r="CT24" t="s">
        <v>2004</v>
      </c>
      <c r="CU24" t="s">
        <v>1842</v>
      </c>
      <c r="CV24" t="s">
        <v>2004</v>
      </c>
      <c r="CW24" t="s">
        <v>2004</v>
      </c>
      <c r="CX24" t="s">
        <v>2004</v>
      </c>
      <c r="CY24" t="s">
        <v>2004</v>
      </c>
      <c r="CZ24" t="s">
        <v>1842</v>
      </c>
      <c r="DA24" t="s">
        <v>1842</v>
      </c>
      <c r="DB24" t="s">
        <v>1842</v>
      </c>
      <c r="DC24" t="s">
        <v>1842</v>
      </c>
      <c r="DD24" t="s">
        <v>2004</v>
      </c>
      <c r="DE24" t="s">
        <v>2004</v>
      </c>
      <c r="DF24" t="s">
        <v>2004</v>
      </c>
      <c r="DG24" t="s">
        <v>2004</v>
      </c>
      <c r="DH24" t="s">
        <v>2004</v>
      </c>
      <c r="DI24" t="s">
        <v>2004</v>
      </c>
      <c r="DJ24" t="s">
        <v>1842</v>
      </c>
      <c r="DK24" t="s">
        <v>1842</v>
      </c>
      <c r="DL24" t="s">
        <v>2004</v>
      </c>
      <c r="DM24" t="s">
        <v>2004</v>
      </c>
      <c r="DN24" t="s">
        <v>2004</v>
      </c>
      <c r="DO24" t="s">
        <v>1842</v>
      </c>
      <c r="DP24" t="s">
        <v>1842</v>
      </c>
      <c r="DQ24" t="s">
        <v>1842</v>
      </c>
      <c r="DR24" t="s">
        <v>1842</v>
      </c>
      <c r="DS24" t="s">
        <v>2004</v>
      </c>
      <c r="DT24" t="s">
        <v>1842</v>
      </c>
      <c r="DU24" t="s">
        <v>1842</v>
      </c>
      <c r="DV24" t="s">
        <v>1842</v>
      </c>
      <c r="DW24" t="s">
        <v>2004</v>
      </c>
      <c r="DX24" t="s">
        <v>2004</v>
      </c>
      <c r="DY24" t="s">
        <v>2004</v>
      </c>
      <c r="DZ24" t="s">
        <v>2004</v>
      </c>
      <c r="EA24" t="s">
        <v>1842</v>
      </c>
      <c r="EB24" t="s">
        <v>1842</v>
      </c>
      <c r="EC24" t="s">
        <v>1842</v>
      </c>
      <c r="ED24" t="s">
        <v>2004</v>
      </c>
      <c r="EE24" t="s">
        <v>2004</v>
      </c>
      <c r="EF24" t="s">
        <v>2004</v>
      </c>
      <c r="EG24" t="s">
        <v>1842</v>
      </c>
      <c r="EH24" t="s">
        <v>1842</v>
      </c>
      <c r="EI24" t="s">
        <v>1842</v>
      </c>
      <c r="EJ24" t="s">
        <v>1842</v>
      </c>
      <c r="EK24" t="s">
        <v>1842</v>
      </c>
      <c r="EL24" t="s">
        <v>1842</v>
      </c>
      <c r="EM24" t="s">
        <v>2004</v>
      </c>
      <c r="EN24" t="s">
        <v>2004</v>
      </c>
      <c r="EO24" t="s">
        <v>2004</v>
      </c>
      <c r="ET24" t="s">
        <v>2004</v>
      </c>
      <c r="EU24" t="s">
        <v>2004</v>
      </c>
      <c r="EV24" t="s">
        <v>2004</v>
      </c>
      <c r="EW24" t="s">
        <v>2004</v>
      </c>
      <c r="EX24" t="s">
        <v>2004</v>
      </c>
      <c r="EY24" t="s">
        <v>1842</v>
      </c>
      <c r="EZ24" t="s">
        <v>2004</v>
      </c>
      <c r="FA24" t="s">
        <v>1842</v>
      </c>
      <c r="FB24" t="s">
        <v>1842</v>
      </c>
      <c r="FC24" t="s">
        <v>1842</v>
      </c>
      <c r="FD24" t="s">
        <v>2004</v>
      </c>
      <c r="FE24" t="s">
        <v>2004</v>
      </c>
      <c r="FF24" t="s">
        <v>1842</v>
      </c>
      <c r="FG24" t="s">
        <v>1842</v>
      </c>
      <c r="FH24" t="s">
        <v>1842</v>
      </c>
      <c r="FI24" t="s">
        <v>1842</v>
      </c>
      <c r="FJ24" t="s">
        <v>2004</v>
      </c>
      <c r="FK24" t="s">
        <v>2004</v>
      </c>
      <c r="FL24" t="s">
        <v>2004</v>
      </c>
      <c r="FM24" t="s">
        <v>2004</v>
      </c>
      <c r="FN24" t="s">
        <v>2004</v>
      </c>
      <c r="FO24" t="s">
        <v>2004</v>
      </c>
      <c r="FP24" t="s">
        <v>2004</v>
      </c>
      <c r="FQ24" t="s">
        <v>2004</v>
      </c>
      <c r="FR24" t="s">
        <v>2004</v>
      </c>
      <c r="FS24" t="s">
        <v>2004</v>
      </c>
      <c r="FT24" t="s">
        <v>2004</v>
      </c>
      <c r="FU24" t="s">
        <v>2004</v>
      </c>
      <c r="FV24" t="s">
        <v>2004</v>
      </c>
      <c r="FW24" t="s">
        <v>2004</v>
      </c>
      <c r="FX24" t="s">
        <v>2004</v>
      </c>
      <c r="FY24" t="s">
        <v>1842</v>
      </c>
      <c r="FZ24" t="s">
        <v>1842</v>
      </c>
      <c r="GA24" t="s">
        <v>1842</v>
      </c>
      <c r="GB24" t="s">
        <v>2004</v>
      </c>
      <c r="GC24" t="s">
        <v>2004</v>
      </c>
      <c r="GD24" t="s">
        <v>2004</v>
      </c>
      <c r="GE24" t="s">
        <v>2004</v>
      </c>
      <c r="GF24" t="s">
        <v>2004</v>
      </c>
      <c r="GG24" t="s">
        <v>2004</v>
      </c>
      <c r="GH24" t="s">
        <v>2004</v>
      </c>
      <c r="GI24" t="s">
        <v>2004</v>
      </c>
      <c r="GJ24" t="s">
        <v>2004</v>
      </c>
      <c r="GK24" t="s">
        <v>2004</v>
      </c>
      <c r="GL24" t="s">
        <v>2004</v>
      </c>
      <c r="GM24" t="s">
        <v>2004</v>
      </c>
      <c r="GN24" t="s">
        <v>2004</v>
      </c>
      <c r="GO24" t="s">
        <v>2004</v>
      </c>
      <c r="GP24" t="s">
        <v>2004</v>
      </c>
      <c r="GQ24" t="s">
        <v>2004</v>
      </c>
      <c r="GR24" t="s">
        <v>2004</v>
      </c>
      <c r="GS24" t="s">
        <v>2004</v>
      </c>
      <c r="GT24" t="s">
        <v>2004</v>
      </c>
      <c r="GU24" t="s">
        <v>2004</v>
      </c>
      <c r="GV24" t="s">
        <v>2004</v>
      </c>
      <c r="GW24" t="s">
        <v>2004</v>
      </c>
      <c r="GX24" t="s">
        <v>2004</v>
      </c>
      <c r="GY24" t="s">
        <v>2004</v>
      </c>
      <c r="GZ24" t="s">
        <v>2004</v>
      </c>
      <c r="HA24" t="s">
        <v>2004</v>
      </c>
      <c r="HB24" t="s">
        <v>2004</v>
      </c>
      <c r="HC24" t="s">
        <v>2004</v>
      </c>
      <c r="HD24" t="s">
        <v>1842</v>
      </c>
      <c r="HE24" t="s">
        <v>2004</v>
      </c>
      <c r="HF24" t="s">
        <v>1842</v>
      </c>
      <c r="HG24" t="s">
        <v>2004</v>
      </c>
      <c r="HH24" t="s">
        <v>2004</v>
      </c>
      <c r="HI24" t="s">
        <v>2004</v>
      </c>
      <c r="HJ24" t="s">
        <v>2004</v>
      </c>
      <c r="HK24" t="s">
        <v>2004</v>
      </c>
      <c r="HL24" t="s">
        <v>2004</v>
      </c>
      <c r="HM24" t="s">
        <v>2004</v>
      </c>
      <c r="HN24" t="s">
        <v>2004</v>
      </c>
      <c r="HO24" t="s">
        <v>1842</v>
      </c>
      <c r="HP24" t="s">
        <v>2004</v>
      </c>
      <c r="HQ24" t="s">
        <v>1842</v>
      </c>
      <c r="HR24" t="s">
        <v>1842</v>
      </c>
      <c r="HS24" t="s">
        <v>1842</v>
      </c>
      <c r="HT24" t="s">
        <v>2004</v>
      </c>
      <c r="HU24" t="s">
        <v>2004</v>
      </c>
      <c r="HV24" t="s">
        <v>2004</v>
      </c>
      <c r="HW24" t="s">
        <v>2004</v>
      </c>
      <c r="HX24" t="s">
        <v>2004</v>
      </c>
      <c r="HY24" t="s">
        <v>2004</v>
      </c>
      <c r="HZ24" t="s">
        <v>2004</v>
      </c>
      <c r="IA24" t="s">
        <v>2004</v>
      </c>
      <c r="IB24" t="s">
        <v>2004</v>
      </c>
      <c r="IC24" t="s">
        <v>2004</v>
      </c>
      <c r="ID24" t="s">
        <v>2004</v>
      </c>
      <c r="IE24" t="s">
        <v>2004</v>
      </c>
      <c r="IF24" t="s">
        <v>1842</v>
      </c>
      <c r="IG24" t="s">
        <v>1842</v>
      </c>
      <c r="IH24" t="s">
        <v>1842</v>
      </c>
      <c r="II24" t="s">
        <v>1842</v>
      </c>
      <c r="IJ24" t="s">
        <v>1842</v>
      </c>
      <c r="IK24" t="s">
        <v>2004</v>
      </c>
      <c r="IL24" t="s">
        <v>2004</v>
      </c>
      <c r="IM24" t="s">
        <v>2004</v>
      </c>
      <c r="IN24" t="s">
        <v>2004</v>
      </c>
      <c r="IO24" t="s">
        <v>1842</v>
      </c>
      <c r="IP24" t="s">
        <v>2004</v>
      </c>
      <c r="IQ24" t="s">
        <v>2004</v>
      </c>
      <c r="IR24" t="s">
        <v>2004</v>
      </c>
      <c r="IS24" t="s">
        <v>2004</v>
      </c>
      <c r="IT24" t="s">
        <v>2004</v>
      </c>
      <c r="IU24" t="s">
        <v>2004</v>
      </c>
      <c r="IV24" t="s">
        <v>2004</v>
      </c>
      <c r="IW24" t="s">
        <v>2004</v>
      </c>
      <c r="IX24" t="s">
        <v>2004</v>
      </c>
      <c r="IY24" t="s">
        <v>2004</v>
      </c>
      <c r="IZ24" t="s">
        <v>2004</v>
      </c>
      <c r="JA24" t="s">
        <v>2004</v>
      </c>
      <c r="JB24" t="s">
        <v>1842</v>
      </c>
      <c r="JC24" t="s">
        <v>2004</v>
      </c>
      <c r="JD24" t="s">
        <v>2004</v>
      </c>
      <c r="JE24" t="s">
        <v>2004</v>
      </c>
      <c r="JF24" t="s">
        <v>2004</v>
      </c>
      <c r="JG24" t="s">
        <v>2004</v>
      </c>
      <c r="JH24" t="s">
        <v>2004</v>
      </c>
      <c r="JI24" t="s">
        <v>2004</v>
      </c>
      <c r="JJ24" t="s">
        <v>2004</v>
      </c>
      <c r="JK24" t="s">
        <v>2004</v>
      </c>
      <c r="JL24" t="s">
        <v>1842</v>
      </c>
      <c r="JM24" t="s">
        <v>2004</v>
      </c>
      <c r="JN24" t="s">
        <v>2004</v>
      </c>
      <c r="JO24" t="s">
        <v>2004</v>
      </c>
      <c r="JP24" t="s">
        <v>2004</v>
      </c>
      <c r="JQ24" t="s">
        <v>2004</v>
      </c>
      <c r="JR24" t="s">
        <v>2004</v>
      </c>
      <c r="JS24" t="s">
        <v>2004</v>
      </c>
      <c r="JT24" t="s">
        <v>1842</v>
      </c>
      <c r="JU24" t="s">
        <v>2004</v>
      </c>
      <c r="JV24" t="s">
        <v>1842</v>
      </c>
      <c r="JW24" t="s">
        <v>2004</v>
      </c>
      <c r="JX24" t="s">
        <v>2004</v>
      </c>
      <c r="JY24" t="s">
        <v>2004</v>
      </c>
      <c r="JZ24" t="s">
        <v>1842</v>
      </c>
      <c r="KA24" t="s">
        <v>2004</v>
      </c>
      <c r="KB24" t="s">
        <v>2004</v>
      </c>
      <c r="KC24" t="s">
        <v>2004</v>
      </c>
      <c r="KD24" t="s">
        <v>2004</v>
      </c>
      <c r="KE24" t="s">
        <v>2004</v>
      </c>
      <c r="KF24" t="s">
        <v>2004</v>
      </c>
      <c r="KG24" t="s">
        <v>2004</v>
      </c>
      <c r="KH24" t="s">
        <v>2004</v>
      </c>
      <c r="KI24" t="s">
        <v>2004</v>
      </c>
      <c r="KJ24" t="s">
        <v>2004</v>
      </c>
      <c r="KK24" t="s">
        <v>2004</v>
      </c>
      <c r="KL24" t="s">
        <v>2004</v>
      </c>
      <c r="KM24" t="s">
        <v>2004</v>
      </c>
      <c r="KN24" t="s">
        <v>1842</v>
      </c>
      <c r="KO24" t="s">
        <v>2004</v>
      </c>
      <c r="KP24" t="s">
        <v>2004</v>
      </c>
      <c r="KQ24" t="s">
        <v>2004</v>
      </c>
      <c r="KR24" t="s">
        <v>2004</v>
      </c>
      <c r="KS24" t="s">
        <v>2004</v>
      </c>
      <c r="KT24" t="s">
        <v>2004</v>
      </c>
      <c r="KU24" t="s">
        <v>2004</v>
      </c>
      <c r="KV24" t="s">
        <v>2004</v>
      </c>
      <c r="KW24" t="s">
        <v>2004</v>
      </c>
      <c r="KX24" t="s">
        <v>2004</v>
      </c>
      <c r="KY24" t="s">
        <v>2004</v>
      </c>
      <c r="KZ24" t="s">
        <v>2004</v>
      </c>
      <c r="LA24" t="s">
        <v>2004</v>
      </c>
      <c r="LB24" t="s">
        <v>2004</v>
      </c>
      <c r="LC24" t="s">
        <v>2004</v>
      </c>
      <c r="LD24" t="s">
        <v>2004</v>
      </c>
      <c r="LE24" t="s">
        <v>2004</v>
      </c>
      <c r="LF24" t="s">
        <v>2004</v>
      </c>
      <c r="LG24" t="s">
        <v>1842</v>
      </c>
      <c r="LH24" t="s">
        <v>1842</v>
      </c>
      <c r="LI24" t="s">
        <v>1842</v>
      </c>
      <c r="LJ24" t="s">
        <v>2004</v>
      </c>
      <c r="LK24" t="s">
        <v>1842</v>
      </c>
      <c r="LL24" t="s">
        <v>1842</v>
      </c>
      <c r="LM24" t="s">
        <v>2004</v>
      </c>
      <c r="LN24" t="s">
        <v>2004</v>
      </c>
      <c r="LO24" t="s">
        <v>1842</v>
      </c>
      <c r="LP24" t="s">
        <v>1842</v>
      </c>
      <c r="LQ24" t="s">
        <v>1842</v>
      </c>
      <c r="LR24" t="s">
        <v>1842</v>
      </c>
      <c r="LS24" t="s">
        <v>2004</v>
      </c>
      <c r="LT24" t="s">
        <v>2004</v>
      </c>
      <c r="LU24" t="s">
        <v>2004</v>
      </c>
      <c r="LV24" t="s">
        <v>2004</v>
      </c>
      <c r="LW24" t="s">
        <v>1842</v>
      </c>
      <c r="LX24" t="s">
        <v>2004</v>
      </c>
      <c r="LY24" t="s">
        <v>2004</v>
      </c>
      <c r="LZ24" t="s">
        <v>2004</v>
      </c>
      <c r="MA24" t="s">
        <v>2004</v>
      </c>
      <c r="MB24" t="s">
        <v>2004</v>
      </c>
      <c r="MC24" t="s">
        <v>2004</v>
      </c>
      <c r="MD24" t="s">
        <v>1842</v>
      </c>
      <c r="ME24" t="s">
        <v>2004</v>
      </c>
      <c r="MF24" t="s">
        <v>2004</v>
      </c>
      <c r="MG24" t="s">
        <v>1842</v>
      </c>
      <c r="MH24" t="s">
        <v>1842</v>
      </c>
      <c r="MI24" t="s">
        <v>1842</v>
      </c>
      <c r="MJ24" t="s">
        <v>2004</v>
      </c>
      <c r="MK24" t="s">
        <v>2004</v>
      </c>
      <c r="ML24" t="s">
        <v>2004</v>
      </c>
      <c r="MM24" t="s">
        <v>2004</v>
      </c>
      <c r="MN24" t="s">
        <v>2004</v>
      </c>
      <c r="MO24" t="s">
        <v>2004</v>
      </c>
      <c r="MP24" t="s">
        <v>2004</v>
      </c>
      <c r="MQ24" t="s">
        <v>2004</v>
      </c>
      <c r="MR24" t="s">
        <v>2004</v>
      </c>
      <c r="MS24" t="s">
        <v>2004</v>
      </c>
      <c r="MT24" t="s">
        <v>2004</v>
      </c>
      <c r="MU24" t="s">
        <v>2004</v>
      </c>
      <c r="MV24" t="s">
        <v>2004</v>
      </c>
      <c r="MW24" t="s">
        <v>2004</v>
      </c>
      <c r="MX24" t="s">
        <v>1842</v>
      </c>
      <c r="MY24" t="s">
        <v>2004</v>
      </c>
      <c r="MZ24" t="s">
        <v>1842</v>
      </c>
      <c r="NA24" t="s">
        <v>2004</v>
      </c>
      <c r="NB24" t="s">
        <v>2004</v>
      </c>
      <c r="NC24" t="s">
        <v>2004</v>
      </c>
      <c r="ND24" t="s">
        <v>2004</v>
      </c>
      <c r="NG24" t="s">
        <v>2004</v>
      </c>
      <c r="NH24" t="s">
        <v>2004</v>
      </c>
      <c r="NI24" t="s">
        <v>2004</v>
      </c>
      <c r="NJ24" t="s">
        <v>2004</v>
      </c>
      <c r="NK24" t="s">
        <v>2004</v>
      </c>
      <c r="NL24" t="s">
        <v>2004</v>
      </c>
      <c r="NM24" t="s">
        <v>2004</v>
      </c>
      <c r="NN24" t="s">
        <v>1842</v>
      </c>
      <c r="NO24" t="s">
        <v>2005</v>
      </c>
      <c r="NP24" t="s">
        <v>2006</v>
      </c>
      <c r="NR24" t="s">
        <v>1480</v>
      </c>
      <c r="NS24" t="s">
        <v>2007</v>
      </c>
      <c r="NX24" t="s">
        <v>2008</v>
      </c>
      <c r="NY24" t="s">
        <v>1870</v>
      </c>
    </row>
    <row r="25" spans="1:389" ht="15" customHeight="1" x14ac:dyDescent="0.25">
      <c r="A25" t="s">
        <v>2009</v>
      </c>
      <c r="B25" t="s">
        <v>2010</v>
      </c>
      <c r="C25" t="s">
        <v>1841</v>
      </c>
      <c r="D25" t="s">
        <v>1481</v>
      </c>
      <c r="G25" t="s">
        <v>2009</v>
      </c>
      <c r="H25" t="s">
        <v>2011</v>
      </c>
      <c r="I25" t="s">
        <v>2011</v>
      </c>
      <c r="J25" t="s">
        <v>2011</v>
      </c>
      <c r="K25" t="s">
        <v>2009</v>
      </c>
      <c r="L25" t="s">
        <v>2009</v>
      </c>
      <c r="M25" t="s">
        <v>2009</v>
      </c>
      <c r="N25" t="s">
        <v>2009</v>
      </c>
      <c r="O25" t="s">
        <v>2011</v>
      </c>
      <c r="P25" t="s">
        <v>2009</v>
      </c>
      <c r="Q25" t="s">
        <v>2011</v>
      </c>
      <c r="R25" t="s">
        <v>2009</v>
      </c>
      <c r="S25" t="s">
        <v>2009</v>
      </c>
      <c r="T25" t="s">
        <v>2011</v>
      </c>
      <c r="U25" t="s">
        <v>2011</v>
      </c>
      <c r="V25" t="s">
        <v>2011</v>
      </c>
      <c r="W25" t="s">
        <v>2011</v>
      </c>
      <c r="X25" t="s">
        <v>2011</v>
      </c>
      <c r="Y25" t="s">
        <v>2011</v>
      </c>
      <c r="AA25" t="s">
        <v>2011</v>
      </c>
      <c r="AB25" t="s">
        <v>2011</v>
      </c>
      <c r="AC25" t="s">
        <v>2011</v>
      </c>
      <c r="AD25" t="s">
        <v>2011</v>
      </c>
      <c r="AE25" t="s">
        <v>2011</v>
      </c>
      <c r="AF25" t="s">
        <v>2011</v>
      </c>
      <c r="AG25" t="s">
        <v>2011</v>
      </c>
      <c r="AH25" t="s">
        <v>2009</v>
      </c>
      <c r="AI25" t="s">
        <v>2011</v>
      </c>
      <c r="AJ25" t="s">
        <v>2011</v>
      </c>
      <c r="AK25" t="s">
        <v>2011</v>
      </c>
      <c r="AL25" t="s">
        <v>2011</v>
      </c>
      <c r="AM25" t="s">
        <v>2009</v>
      </c>
      <c r="AN25" t="s">
        <v>2011</v>
      </c>
      <c r="AO25" t="s">
        <v>2009</v>
      </c>
      <c r="AP25" t="s">
        <v>2009</v>
      </c>
      <c r="AQ25" t="s">
        <v>2009</v>
      </c>
      <c r="AR25" t="s">
        <v>2009</v>
      </c>
      <c r="AS25" t="s">
        <v>2011</v>
      </c>
      <c r="AT25" t="s">
        <v>2011</v>
      </c>
      <c r="AU25" t="s">
        <v>2011</v>
      </c>
      <c r="AV25" t="s">
        <v>2011</v>
      </c>
      <c r="AW25" t="s">
        <v>2011</v>
      </c>
      <c r="AX25" t="s">
        <v>2011</v>
      </c>
      <c r="AY25" t="s">
        <v>2011</v>
      </c>
      <c r="AZ25" t="s">
        <v>2011</v>
      </c>
      <c r="BA25" t="s">
        <v>2011</v>
      </c>
      <c r="BB25" t="s">
        <v>2011</v>
      </c>
      <c r="BC25" t="s">
        <v>2011</v>
      </c>
      <c r="BD25" t="s">
        <v>2011</v>
      </c>
      <c r="BE25" t="s">
        <v>2011</v>
      </c>
      <c r="BF25" t="s">
        <v>2011</v>
      </c>
      <c r="BG25" t="s">
        <v>2011</v>
      </c>
      <c r="BH25" t="s">
        <v>2011</v>
      </c>
      <c r="BI25" t="s">
        <v>2011</v>
      </c>
      <c r="BJ25" t="s">
        <v>2011</v>
      </c>
      <c r="BK25" t="s">
        <v>2011</v>
      </c>
      <c r="BL25" t="s">
        <v>2011</v>
      </c>
      <c r="BM25" t="s">
        <v>2011</v>
      </c>
      <c r="BN25" t="s">
        <v>2011</v>
      </c>
      <c r="BO25" t="s">
        <v>2011</v>
      </c>
      <c r="BP25" t="s">
        <v>2011</v>
      </c>
      <c r="BQ25" t="s">
        <v>2011</v>
      </c>
      <c r="BR25" t="s">
        <v>2011</v>
      </c>
      <c r="BS25" t="s">
        <v>2011</v>
      </c>
      <c r="BT25" t="s">
        <v>2011</v>
      </c>
      <c r="BU25" t="s">
        <v>2011</v>
      </c>
      <c r="BV25" t="s">
        <v>2011</v>
      </c>
      <c r="BW25" t="s">
        <v>2011</v>
      </c>
      <c r="BX25" t="s">
        <v>2011</v>
      </c>
      <c r="BY25" t="s">
        <v>2011</v>
      </c>
      <c r="BZ25" t="s">
        <v>2009</v>
      </c>
      <c r="CA25" t="s">
        <v>2009</v>
      </c>
      <c r="CB25" t="s">
        <v>2011</v>
      </c>
      <c r="CC25" t="s">
        <v>2011</v>
      </c>
      <c r="CD25" t="s">
        <v>2011</v>
      </c>
      <c r="CE25" t="s">
        <v>2009</v>
      </c>
      <c r="CF25" t="s">
        <v>2011</v>
      </c>
      <c r="CG25" t="s">
        <v>2011</v>
      </c>
      <c r="CH25" t="s">
        <v>2011</v>
      </c>
      <c r="CI25" t="s">
        <v>2011</v>
      </c>
      <c r="CJ25" t="s">
        <v>2011</v>
      </c>
      <c r="CK25" t="s">
        <v>2009</v>
      </c>
      <c r="CL25" t="s">
        <v>2009</v>
      </c>
      <c r="CM25" t="s">
        <v>2009</v>
      </c>
      <c r="CN25" t="s">
        <v>2009</v>
      </c>
      <c r="CO25" t="s">
        <v>2009</v>
      </c>
      <c r="CP25" t="s">
        <v>2009</v>
      </c>
      <c r="CQ25" t="s">
        <v>2009</v>
      </c>
      <c r="CR25" t="s">
        <v>2009</v>
      </c>
      <c r="CS25" t="s">
        <v>2011</v>
      </c>
      <c r="CT25" t="s">
        <v>2011</v>
      </c>
      <c r="CU25" t="s">
        <v>2009</v>
      </c>
      <c r="CV25" t="s">
        <v>2011</v>
      </c>
      <c r="CW25" t="s">
        <v>2011</v>
      </c>
      <c r="CX25" t="s">
        <v>2011</v>
      </c>
      <c r="CY25" t="s">
        <v>2011</v>
      </c>
      <c r="CZ25" t="s">
        <v>2009</v>
      </c>
      <c r="DA25" t="s">
        <v>2009</v>
      </c>
      <c r="DB25" t="s">
        <v>2009</v>
      </c>
      <c r="DC25" t="s">
        <v>2009</v>
      </c>
      <c r="DD25" t="s">
        <v>2011</v>
      </c>
      <c r="DE25" t="s">
        <v>2011</v>
      </c>
      <c r="DF25" t="s">
        <v>2011</v>
      </c>
      <c r="DG25" t="s">
        <v>2011</v>
      </c>
      <c r="DH25" t="s">
        <v>2011</v>
      </c>
      <c r="DI25" t="s">
        <v>2011</v>
      </c>
      <c r="DJ25" t="s">
        <v>2009</v>
      </c>
      <c r="DK25" t="s">
        <v>2009</v>
      </c>
      <c r="DL25" t="s">
        <v>2011</v>
      </c>
      <c r="DM25" t="s">
        <v>2011</v>
      </c>
      <c r="DN25" t="s">
        <v>2011</v>
      </c>
      <c r="DO25" t="s">
        <v>2009</v>
      </c>
      <c r="DP25" t="s">
        <v>2009</v>
      </c>
      <c r="DQ25" t="s">
        <v>2009</v>
      </c>
      <c r="DR25" t="s">
        <v>2009</v>
      </c>
      <c r="DS25" t="s">
        <v>2011</v>
      </c>
      <c r="DT25" t="s">
        <v>2009</v>
      </c>
      <c r="DU25" t="s">
        <v>2009</v>
      </c>
      <c r="DV25" t="s">
        <v>2009</v>
      </c>
      <c r="DW25" t="s">
        <v>2011</v>
      </c>
      <c r="DX25" t="s">
        <v>2011</v>
      </c>
      <c r="DY25" t="s">
        <v>2011</v>
      </c>
      <c r="DZ25" t="s">
        <v>2011</v>
      </c>
      <c r="EA25" t="s">
        <v>2009</v>
      </c>
      <c r="EB25" t="s">
        <v>2009</v>
      </c>
      <c r="EC25" t="s">
        <v>2009</v>
      </c>
      <c r="ED25" t="s">
        <v>2011</v>
      </c>
      <c r="EE25" t="s">
        <v>2011</v>
      </c>
      <c r="EF25" t="s">
        <v>2011</v>
      </c>
      <c r="EG25" t="s">
        <v>2009</v>
      </c>
      <c r="EH25" t="s">
        <v>2009</v>
      </c>
      <c r="EI25" t="s">
        <v>2009</v>
      </c>
      <c r="EJ25" t="s">
        <v>2009</v>
      </c>
      <c r="EK25" t="s">
        <v>2009</v>
      </c>
      <c r="EL25" t="s">
        <v>2009</v>
      </c>
      <c r="EM25" t="s">
        <v>2011</v>
      </c>
      <c r="EN25" t="s">
        <v>2011</v>
      </c>
      <c r="EO25" t="s">
        <v>2011</v>
      </c>
      <c r="ET25" t="s">
        <v>2011</v>
      </c>
      <c r="EU25" t="s">
        <v>2011</v>
      </c>
      <c r="EV25" t="s">
        <v>2011</v>
      </c>
      <c r="EW25" t="s">
        <v>2011</v>
      </c>
      <c r="EX25" t="s">
        <v>2011</v>
      </c>
      <c r="EY25" t="s">
        <v>2009</v>
      </c>
      <c r="EZ25" t="s">
        <v>2011</v>
      </c>
      <c r="FA25" t="s">
        <v>2009</v>
      </c>
      <c r="FB25" t="s">
        <v>2009</v>
      </c>
      <c r="FC25" t="s">
        <v>2009</v>
      </c>
      <c r="FD25" t="s">
        <v>2011</v>
      </c>
      <c r="FE25" t="s">
        <v>2011</v>
      </c>
      <c r="FF25" t="s">
        <v>2009</v>
      </c>
      <c r="FG25" t="s">
        <v>2009</v>
      </c>
      <c r="FH25" t="s">
        <v>2009</v>
      </c>
      <c r="FI25" t="s">
        <v>2009</v>
      </c>
      <c r="FJ25" t="s">
        <v>2011</v>
      </c>
      <c r="FK25" t="s">
        <v>2011</v>
      </c>
      <c r="FL25" t="s">
        <v>2011</v>
      </c>
      <c r="FM25" t="s">
        <v>2011</v>
      </c>
      <c r="FN25" t="s">
        <v>2011</v>
      </c>
      <c r="FO25" t="s">
        <v>2011</v>
      </c>
      <c r="FP25" t="s">
        <v>2011</v>
      </c>
      <c r="FQ25" t="s">
        <v>2011</v>
      </c>
      <c r="FR25" t="s">
        <v>2011</v>
      </c>
      <c r="FS25" t="s">
        <v>2011</v>
      </c>
      <c r="FT25" t="s">
        <v>2011</v>
      </c>
      <c r="FU25" t="s">
        <v>2011</v>
      </c>
      <c r="FV25" t="s">
        <v>2011</v>
      </c>
      <c r="FW25" t="s">
        <v>2011</v>
      </c>
      <c r="FX25" t="s">
        <v>2011</v>
      </c>
      <c r="FY25" t="s">
        <v>2009</v>
      </c>
      <c r="FZ25" t="s">
        <v>2009</v>
      </c>
      <c r="GA25" t="s">
        <v>2009</v>
      </c>
      <c r="GB25" t="s">
        <v>2011</v>
      </c>
      <c r="GC25" t="s">
        <v>2011</v>
      </c>
      <c r="GD25" t="s">
        <v>2011</v>
      </c>
      <c r="GE25" t="s">
        <v>2011</v>
      </c>
      <c r="GF25" t="s">
        <v>2011</v>
      </c>
      <c r="GG25" t="s">
        <v>2011</v>
      </c>
      <c r="GH25" t="s">
        <v>2011</v>
      </c>
      <c r="GI25" t="s">
        <v>2011</v>
      </c>
      <c r="GJ25" t="s">
        <v>2011</v>
      </c>
      <c r="GK25" t="s">
        <v>2011</v>
      </c>
      <c r="GL25" t="s">
        <v>2011</v>
      </c>
      <c r="GM25" t="s">
        <v>2011</v>
      </c>
      <c r="GN25" t="s">
        <v>2011</v>
      </c>
      <c r="GO25" t="s">
        <v>2011</v>
      </c>
      <c r="GP25" t="s">
        <v>2011</v>
      </c>
      <c r="GQ25" t="s">
        <v>2011</v>
      </c>
      <c r="GR25" t="s">
        <v>2011</v>
      </c>
      <c r="GS25" t="s">
        <v>2011</v>
      </c>
      <c r="GT25" t="s">
        <v>2011</v>
      </c>
      <c r="GU25" t="s">
        <v>2011</v>
      </c>
      <c r="GV25" t="s">
        <v>2011</v>
      </c>
      <c r="GW25" t="s">
        <v>2011</v>
      </c>
      <c r="GX25" t="s">
        <v>2011</v>
      </c>
      <c r="GY25" t="s">
        <v>2011</v>
      </c>
      <c r="GZ25" t="s">
        <v>2011</v>
      </c>
      <c r="HA25" t="s">
        <v>2011</v>
      </c>
      <c r="HB25" t="s">
        <v>2011</v>
      </c>
      <c r="HC25" t="s">
        <v>2011</v>
      </c>
      <c r="HD25" t="s">
        <v>2009</v>
      </c>
      <c r="HE25" t="s">
        <v>2011</v>
      </c>
      <c r="HF25" t="s">
        <v>2009</v>
      </c>
      <c r="HG25" t="s">
        <v>2011</v>
      </c>
      <c r="HH25" t="s">
        <v>2011</v>
      </c>
      <c r="HI25" t="s">
        <v>2011</v>
      </c>
      <c r="HJ25" t="s">
        <v>2011</v>
      </c>
      <c r="HK25" t="s">
        <v>2011</v>
      </c>
      <c r="HL25" t="s">
        <v>2011</v>
      </c>
      <c r="HM25" t="s">
        <v>2011</v>
      </c>
      <c r="HN25" t="s">
        <v>2011</v>
      </c>
      <c r="HO25" t="s">
        <v>2009</v>
      </c>
      <c r="HP25" t="s">
        <v>2011</v>
      </c>
      <c r="HQ25" t="s">
        <v>2009</v>
      </c>
      <c r="HR25" t="s">
        <v>2009</v>
      </c>
      <c r="HS25" t="s">
        <v>2009</v>
      </c>
      <c r="HT25" t="s">
        <v>2011</v>
      </c>
      <c r="HU25" t="s">
        <v>2011</v>
      </c>
      <c r="HV25" t="s">
        <v>2011</v>
      </c>
      <c r="HW25" t="s">
        <v>2011</v>
      </c>
      <c r="HX25" t="s">
        <v>2011</v>
      </c>
      <c r="HY25" t="s">
        <v>2011</v>
      </c>
      <c r="HZ25" t="s">
        <v>2011</v>
      </c>
      <c r="IA25" t="s">
        <v>2011</v>
      </c>
      <c r="IB25" t="s">
        <v>2011</v>
      </c>
      <c r="IC25" t="s">
        <v>2011</v>
      </c>
      <c r="ID25" t="s">
        <v>2011</v>
      </c>
      <c r="IE25" t="s">
        <v>2011</v>
      </c>
      <c r="IF25" t="s">
        <v>2009</v>
      </c>
      <c r="IG25" t="s">
        <v>2009</v>
      </c>
      <c r="IH25" t="s">
        <v>2009</v>
      </c>
      <c r="II25" t="s">
        <v>2009</v>
      </c>
      <c r="IJ25" t="s">
        <v>2009</v>
      </c>
      <c r="IK25" t="s">
        <v>2011</v>
      </c>
      <c r="IL25" t="s">
        <v>2011</v>
      </c>
      <c r="IM25" t="s">
        <v>2011</v>
      </c>
      <c r="IN25" t="s">
        <v>2011</v>
      </c>
      <c r="IO25" t="s">
        <v>2009</v>
      </c>
      <c r="IP25" t="s">
        <v>2011</v>
      </c>
      <c r="IQ25" t="s">
        <v>2011</v>
      </c>
      <c r="IR25" t="s">
        <v>2011</v>
      </c>
      <c r="IS25" t="s">
        <v>2011</v>
      </c>
      <c r="IT25" t="s">
        <v>2011</v>
      </c>
      <c r="IU25" t="s">
        <v>2011</v>
      </c>
      <c r="IV25" t="s">
        <v>2011</v>
      </c>
      <c r="IW25" t="s">
        <v>2011</v>
      </c>
      <c r="IX25" t="s">
        <v>2011</v>
      </c>
      <c r="IY25" t="s">
        <v>2011</v>
      </c>
      <c r="IZ25" t="s">
        <v>2011</v>
      </c>
      <c r="JA25" t="s">
        <v>2011</v>
      </c>
      <c r="JB25" t="s">
        <v>2009</v>
      </c>
      <c r="JC25" t="s">
        <v>2011</v>
      </c>
      <c r="JD25" t="s">
        <v>2011</v>
      </c>
      <c r="JE25" t="s">
        <v>2011</v>
      </c>
      <c r="JF25" t="s">
        <v>2011</v>
      </c>
      <c r="JG25" t="s">
        <v>2011</v>
      </c>
      <c r="JH25" t="s">
        <v>2011</v>
      </c>
      <c r="JI25" t="s">
        <v>2011</v>
      </c>
      <c r="JJ25" t="s">
        <v>2011</v>
      </c>
      <c r="JK25" t="s">
        <v>2011</v>
      </c>
      <c r="JL25" t="s">
        <v>2009</v>
      </c>
      <c r="JM25" t="s">
        <v>2011</v>
      </c>
      <c r="JN25" t="s">
        <v>2011</v>
      </c>
      <c r="JO25" t="s">
        <v>2011</v>
      </c>
      <c r="JP25" t="s">
        <v>2011</v>
      </c>
      <c r="JQ25" t="s">
        <v>2011</v>
      </c>
      <c r="JR25" t="s">
        <v>2011</v>
      </c>
      <c r="JS25" t="s">
        <v>2011</v>
      </c>
      <c r="JT25" t="s">
        <v>2009</v>
      </c>
      <c r="JU25" t="s">
        <v>2011</v>
      </c>
      <c r="JV25" t="s">
        <v>2009</v>
      </c>
      <c r="JW25" t="s">
        <v>2011</v>
      </c>
      <c r="JX25" t="s">
        <v>2011</v>
      </c>
      <c r="JY25" t="s">
        <v>2011</v>
      </c>
      <c r="JZ25" t="s">
        <v>2009</v>
      </c>
      <c r="KA25" t="s">
        <v>2011</v>
      </c>
      <c r="KB25" t="s">
        <v>2011</v>
      </c>
      <c r="KC25" t="s">
        <v>2011</v>
      </c>
      <c r="KD25" t="s">
        <v>2011</v>
      </c>
      <c r="KE25" t="s">
        <v>2011</v>
      </c>
      <c r="KF25" t="s">
        <v>2011</v>
      </c>
      <c r="KG25" t="s">
        <v>2011</v>
      </c>
      <c r="KH25" t="s">
        <v>2011</v>
      </c>
      <c r="KI25" t="s">
        <v>2011</v>
      </c>
      <c r="KJ25" t="s">
        <v>2011</v>
      </c>
      <c r="KK25" t="s">
        <v>2011</v>
      </c>
      <c r="KL25" t="s">
        <v>2011</v>
      </c>
      <c r="KM25" t="s">
        <v>2011</v>
      </c>
      <c r="KN25" t="s">
        <v>2009</v>
      </c>
      <c r="KO25" t="s">
        <v>2011</v>
      </c>
      <c r="KP25" t="s">
        <v>2011</v>
      </c>
      <c r="KQ25" t="s">
        <v>2011</v>
      </c>
      <c r="KR25" t="s">
        <v>2011</v>
      </c>
      <c r="KS25" t="s">
        <v>2011</v>
      </c>
      <c r="KT25" t="s">
        <v>2011</v>
      </c>
      <c r="KU25" t="s">
        <v>2011</v>
      </c>
      <c r="KV25" t="s">
        <v>2011</v>
      </c>
      <c r="KW25" t="s">
        <v>2011</v>
      </c>
      <c r="KX25" t="s">
        <v>2011</v>
      </c>
      <c r="KY25" t="s">
        <v>2011</v>
      </c>
      <c r="KZ25" t="s">
        <v>2011</v>
      </c>
      <c r="LA25" t="s">
        <v>2011</v>
      </c>
      <c r="LB25" t="s">
        <v>2011</v>
      </c>
      <c r="LC25" t="s">
        <v>2011</v>
      </c>
      <c r="LD25" t="s">
        <v>2011</v>
      </c>
      <c r="LE25" t="s">
        <v>2011</v>
      </c>
      <c r="LF25" t="s">
        <v>2011</v>
      </c>
      <c r="LG25" t="s">
        <v>2009</v>
      </c>
      <c r="LH25" t="s">
        <v>2009</v>
      </c>
      <c r="LI25" t="s">
        <v>2009</v>
      </c>
      <c r="LJ25" t="s">
        <v>2011</v>
      </c>
      <c r="LK25" t="s">
        <v>2009</v>
      </c>
      <c r="LL25" t="s">
        <v>2009</v>
      </c>
      <c r="LM25" t="s">
        <v>2011</v>
      </c>
      <c r="LN25" t="s">
        <v>2011</v>
      </c>
      <c r="LO25" t="s">
        <v>2009</v>
      </c>
      <c r="LP25" t="s">
        <v>2009</v>
      </c>
      <c r="LQ25" t="s">
        <v>2009</v>
      </c>
      <c r="LR25" t="s">
        <v>2009</v>
      </c>
      <c r="LS25" t="s">
        <v>2011</v>
      </c>
      <c r="LT25" t="s">
        <v>2011</v>
      </c>
      <c r="LU25" t="s">
        <v>2011</v>
      </c>
      <c r="LV25" t="s">
        <v>2011</v>
      </c>
      <c r="LW25" t="s">
        <v>2009</v>
      </c>
      <c r="LX25" t="s">
        <v>2011</v>
      </c>
      <c r="LY25" t="s">
        <v>2011</v>
      </c>
      <c r="LZ25" t="s">
        <v>2011</v>
      </c>
      <c r="MA25" t="s">
        <v>2011</v>
      </c>
      <c r="MB25" t="s">
        <v>2011</v>
      </c>
      <c r="MC25" t="s">
        <v>2011</v>
      </c>
      <c r="MD25" t="s">
        <v>2009</v>
      </c>
      <c r="ME25" t="s">
        <v>2011</v>
      </c>
      <c r="MF25" t="s">
        <v>2011</v>
      </c>
      <c r="MG25" t="s">
        <v>2009</v>
      </c>
      <c r="MH25" t="s">
        <v>2009</v>
      </c>
      <c r="MI25" t="s">
        <v>2009</v>
      </c>
      <c r="MJ25" t="s">
        <v>2011</v>
      </c>
      <c r="MK25" t="s">
        <v>2011</v>
      </c>
      <c r="ML25" t="s">
        <v>2011</v>
      </c>
      <c r="MM25" t="s">
        <v>2011</v>
      </c>
      <c r="MN25" t="s">
        <v>2011</v>
      </c>
      <c r="MO25" t="s">
        <v>2011</v>
      </c>
      <c r="MP25" t="s">
        <v>2011</v>
      </c>
      <c r="MQ25" t="s">
        <v>2011</v>
      </c>
      <c r="MR25" t="s">
        <v>2011</v>
      </c>
      <c r="MS25" t="s">
        <v>2011</v>
      </c>
      <c r="MT25" t="s">
        <v>2011</v>
      </c>
      <c r="MU25" t="s">
        <v>2011</v>
      </c>
      <c r="MV25" t="s">
        <v>2011</v>
      </c>
      <c r="MW25" t="s">
        <v>2011</v>
      </c>
      <c r="MX25" t="s">
        <v>2009</v>
      </c>
      <c r="MY25" t="s">
        <v>2011</v>
      </c>
      <c r="MZ25" t="s">
        <v>2009</v>
      </c>
      <c r="NA25" t="s">
        <v>2011</v>
      </c>
      <c r="NB25" t="s">
        <v>2011</v>
      </c>
      <c r="NC25" t="s">
        <v>2011</v>
      </c>
      <c r="ND25" t="s">
        <v>2011</v>
      </c>
      <c r="NG25" t="s">
        <v>2011</v>
      </c>
      <c r="NH25" t="s">
        <v>2011</v>
      </c>
      <c r="NI25" t="s">
        <v>2011</v>
      </c>
      <c r="NJ25" t="s">
        <v>2011</v>
      </c>
      <c r="NK25" t="s">
        <v>2011</v>
      </c>
      <c r="NL25" t="s">
        <v>2011</v>
      </c>
      <c r="NM25" t="s">
        <v>2011</v>
      </c>
      <c r="NN25" t="s">
        <v>2009</v>
      </c>
      <c r="NO25" t="s">
        <v>2012</v>
      </c>
      <c r="NP25" t="s">
        <v>2013</v>
      </c>
      <c r="NR25" t="s">
        <v>1481</v>
      </c>
      <c r="NS25" t="s">
        <v>2014</v>
      </c>
      <c r="NX25" t="s">
        <v>2015</v>
      </c>
      <c r="NY25" t="s">
        <v>1870</v>
      </c>
    </row>
    <row r="26" spans="1:389" ht="15" customHeight="1" x14ac:dyDescent="0.25">
      <c r="A26" t="s">
        <v>1953</v>
      </c>
      <c r="B26" t="s">
        <v>1937</v>
      </c>
      <c r="C26" t="s">
        <v>1850</v>
      </c>
      <c r="D26" t="s">
        <v>1482</v>
      </c>
      <c r="G26" t="s">
        <v>1953</v>
      </c>
      <c r="H26" t="s">
        <v>2016</v>
      </c>
      <c r="I26" t="s">
        <v>2016</v>
      </c>
      <c r="J26" t="s">
        <v>2016</v>
      </c>
      <c r="K26" t="s">
        <v>1953</v>
      </c>
      <c r="L26" t="s">
        <v>1953</v>
      </c>
      <c r="M26" t="s">
        <v>1953</v>
      </c>
      <c r="N26" t="s">
        <v>1953</v>
      </c>
      <c r="O26" t="s">
        <v>2016</v>
      </c>
      <c r="P26" t="s">
        <v>1953</v>
      </c>
      <c r="Q26" t="s">
        <v>2016</v>
      </c>
      <c r="R26" t="s">
        <v>1953</v>
      </c>
      <c r="S26" t="s">
        <v>1953</v>
      </c>
      <c r="T26" t="s">
        <v>2016</v>
      </c>
      <c r="U26" t="s">
        <v>2016</v>
      </c>
      <c r="V26" t="s">
        <v>2016</v>
      </c>
      <c r="W26" t="s">
        <v>2016</v>
      </c>
      <c r="X26" t="s">
        <v>2016</v>
      </c>
      <c r="Y26" t="s">
        <v>2016</v>
      </c>
      <c r="AA26" t="s">
        <v>2016</v>
      </c>
      <c r="AB26" t="s">
        <v>2016</v>
      </c>
      <c r="AC26" t="s">
        <v>2016</v>
      </c>
      <c r="AD26" t="s">
        <v>2016</v>
      </c>
      <c r="AE26" t="s">
        <v>2016</v>
      </c>
      <c r="AF26" t="s">
        <v>2016</v>
      </c>
      <c r="AG26" t="s">
        <v>2016</v>
      </c>
      <c r="AH26" t="s">
        <v>1953</v>
      </c>
      <c r="AI26" t="s">
        <v>2016</v>
      </c>
      <c r="AJ26" t="s">
        <v>2016</v>
      </c>
      <c r="AK26" t="s">
        <v>2016</v>
      </c>
      <c r="AL26" t="s">
        <v>2016</v>
      </c>
      <c r="AM26" t="s">
        <v>1953</v>
      </c>
      <c r="AN26" t="s">
        <v>2016</v>
      </c>
      <c r="AO26" t="s">
        <v>1953</v>
      </c>
      <c r="AP26" t="s">
        <v>1953</v>
      </c>
      <c r="AQ26" t="s">
        <v>1953</v>
      </c>
      <c r="AR26" t="s">
        <v>1953</v>
      </c>
      <c r="AS26" t="s">
        <v>2016</v>
      </c>
      <c r="AT26" t="s">
        <v>2016</v>
      </c>
      <c r="AU26" t="s">
        <v>2016</v>
      </c>
      <c r="AV26" t="s">
        <v>2016</v>
      </c>
      <c r="AW26" t="s">
        <v>2016</v>
      </c>
      <c r="AX26" t="s">
        <v>2016</v>
      </c>
      <c r="AY26" t="s">
        <v>2016</v>
      </c>
      <c r="AZ26" t="s">
        <v>2016</v>
      </c>
      <c r="BA26" t="s">
        <v>2016</v>
      </c>
      <c r="BB26" t="s">
        <v>2016</v>
      </c>
      <c r="BC26" t="s">
        <v>2016</v>
      </c>
      <c r="BD26" t="s">
        <v>2016</v>
      </c>
      <c r="BE26" t="s">
        <v>2016</v>
      </c>
      <c r="BF26" t="s">
        <v>2016</v>
      </c>
      <c r="BG26" t="s">
        <v>2016</v>
      </c>
      <c r="BH26" t="s">
        <v>2016</v>
      </c>
      <c r="BI26" t="s">
        <v>2016</v>
      </c>
      <c r="BJ26" t="s">
        <v>2016</v>
      </c>
      <c r="BK26" t="s">
        <v>2016</v>
      </c>
      <c r="BL26" t="s">
        <v>2016</v>
      </c>
      <c r="BM26" t="s">
        <v>2016</v>
      </c>
      <c r="BN26" t="s">
        <v>2016</v>
      </c>
      <c r="BO26" t="s">
        <v>2016</v>
      </c>
      <c r="BP26" t="s">
        <v>2016</v>
      </c>
      <c r="BQ26" t="s">
        <v>2016</v>
      </c>
      <c r="BR26" t="s">
        <v>2016</v>
      </c>
      <c r="BS26" t="s">
        <v>2016</v>
      </c>
      <c r="BT26" t="s">
        <v>2016</v>
      </c>
      <c r="BU26" t="s">
        <v>2016</v>
      </c>
      <c r="BV26" t="s">
        <v>2016</v>
      </c>
      <c r="BW26" t="s">
        <v>2016</v>
      </c>
      <c r="BX26" t="s">
        <v>2016</v>
      </c>
      <c r="BY26" t="s">
        <v>2016</v>
      </c>
      <c r="BZ26" t="s">
        <v>1953</v>
      </c>
      <c r="CA26" t="s">
        <v>1953</v>
      </c>
      <c r="CB26" t="s">
        <v>2016</v>
      </c>
      <c r="CC26" t="s">
        <v>2016</v>
      </c>
      <c r="CD26" t="s">
        <v>2016</v>
      </c>
      <c r="CE26" t="s">
        <v>1953</v>
      </c>
      <c r="CF26" t="s">
        <v>2016</v>
      </c>
      <c r="CG26" t="s">
        <v>2016</v>
      </c>
      <c r="CH26" t="s">
        <v>2016</v>
      </c>
      <c r="CI26" t="s">
        <v>2016</v>
      </c>
      <c r="CJ26" t="s">
        <v>2016</v>
      </c>
      <c r="CK26" t="s">
        <v>1953</v>
      </c>
      <c r="CL26" t="s">
        <v>1953</v>
      </c>
      <c r="CM26" t="s">
        <v>1953</v>
      </c>
      <c r="CN26" t="s">
        <v>1953</v>
      </c>
      <c r="CO26" t="s">
        <v>1953</v>
      </c>
      <c r="CP26" t="s">
        <v>1953</v>
      </c>
      <c r="CQ26" t="s">
        <v>1953</v>
      </c>
      <c r="CR26" t="s">
        <v>1953</v>
      </c>
      <c r="CS26" t="s">
        <v>2016</v>
      </c>
      <c r="CT26" t="s">
        <v>2016</v>
      </c>
      <c r="CU26" t="s">
        <v>1953</v>
      </c>
      <c r="CV26" t="s">
        <v>2016</v>
      </c>
      <c r="CW26" t="s">
        <v>2016</v>
      </c>
      <c r="CX26" t="s">
        <v>2016</v>
      </c>
      <c r="CY26" t="s">
        <v>2016</v>
      </c>
      <c r="CZ26" t="s">
        <v>1953</v>
      </c>
      <c r="DA26" t="s">
        <v>1953</v>
      </c>
      <c r="DB26" t="s">
        <v>1953</v>
      </c>
      <c r="DC26" t="s">
        <v>1953</v>
      </c>
      <c r="DD26" t="s">
        <v>2016</v>
      </c>
      <c r="DE26" t="s">
        <v>2016</v>
      </c>
      <c r="DF26" t="s">
        <v>2016</v>
      </c>
      <c r="DG26" t="s">
        <v>2016</v>
      </c>
      <c r="DH26" t="s">
        <v>2016</v>
      </c>
      <c r="DI26" t="s">
        <v>2016</v>
      </c>
      <c r="DJ26" t="s">
        <v>1953</v>
      </c>
      <c r="DK26" t="s">
        <v>1953</v>
      </c>
      <c r="DL26" t="s">
        <v>2016</v>
      </c>
      <c r="DM26" t="s">
        <v>2016</v>
      </c>
      <c r="DN26" t="s">
        <v>2016</v>
      </c>
      <c r="DO26" t="s">
        <v>1953</v>
      </c>
      <c r="DP26" t="s">
        <v>1953</v>
      </c>
      <c r="DQ26" t="s">
        <v>1953</v>
      </c>
      <c r="DR26" t="s">
        <v>1953</v>
      </c>
      <c r="DS26" t="s">
        <v>2016</v>
      </c>
      <c r="DT26" t="s">
        <v>1953</v>
      </c>
      <c r="DU26" t="s">
        <v>1953</v>
      </c>
      <c r="DV26" t="s">
        <v>1953</v>
      </c>
      <c r="DW26" t="s">
        <v>2016</v>
      </c>
      <c r="DX26" t="s">
        <v>2016</v>
      </c>
      <c r="DY26" t="s">
        <v>2016</v>
      </c>
      <c r="DZ26" t="s">
        <v>2016</v>
      </c>
      <c r="EA26" t="s">
        <v>1953</v>
      </c>
      <c r="EB26" t="s">
        <v>1953</v>
      </c>
      <c r="EC26" t="s">
        <v>1953</v>
      </c>
      <c r="ED26" t="s">
        <v>2016</v>
      </c>
      <c r="EE26" t="s">
        <v>2016</v>
      </c>
      <c r="EF26" t="s">
        <v>2016</v>
      </c>
      <c r="EG26" t="s">
        <v>1953</v>
      </c>
      <c r="EH26" t="s">
        <v>1953</v>
      </c>
      <c r="EI26" t="s">
        <v>1953</v>
      </c>
      <c r="EJ26" t="s">
        <v>1953</v>
      </c>
      <c r="EK26" t="s">
        <v>1953</v>
      </c>
      <c r="EL26" t="s">
        <v>1953</v>
      </c>
      <c r="EM26" t="s">
        <v>2016</v>
      </c>
      <c r="EN26" t="s">
        <v>2016</v>
      </c>
      <c r="EO26" t="s">
        <v>2016</v>
      </c>
      <c r="ET26" t="s">
        <v>2016</v>
      </c>
      <c r="EU26" t="s">
        <v>2016</v>
      </c>
      <c r="EV26" t="s">
        <v>2016</v>
      </c>
      <c r="EW26" t="s">
        <v>2016</v>
      </c>
      <c r="EX26" t="s">
        <v>2016</v>
      </c>
      <c r="EY26" t="s">
        <v>1953</v>
      </c>
      <c r="EZ26" t="s">
        <v>2016</v>
      </c>
      <c r="FA26" t="s">
        <v>1953</v>
      </c>
      <c r="FB26" t="s">
        <v>1953</v>
      </c>
      <c r="FC26" t="s">
        <v>1953</v>
      </c>
      <c r="FD26" t="s">
        <v>2016</v>
      </c>
      <c r="FE26" t="s">
        <v>2016</v>
      </c>
      <c r="FF26" t="s">
        <v>1953</v>
      </c>
      <c r="FG26" t="s">
        <v>1953</v>
      </c>
      <c r="FH26" t="s">
        <v>1953</v>
      </c>
      <c r="FI26" t="s">
        <v>1953</v>
      </c>
      <c r="FJ26" t="s">
        <v>2016</v>
      </c>
      <c r="FK26" t="s">
        <v>2016</v>
      </c>
      <c r="FL26" t="s">
        <v>2016</v>
      </c>
      <c r="FM26" t="s">
        <v>2016</v>
      </c>
      <c r="FN26" t="s">
        <v>2016</v>
      </c>
      <c r="FO26" t="s">
        <v>2016</v>
      </c>
      <c r="FP26" t="s">
        <v>2016</v>
      </c>
      <c r="FQ26" t="s">
        <v>2016</v>
      </c>
      <c r="FR26" t="s">
        <v>2016</v>
      </c>
      <c r="FS26" t="s">
        <v>2016</v>
      </c>
      <c r="FT26" t="s">
        <v>2016</v>
      </c>
      <c r="FU26" t="s">
        <v>2016</v>
      </c>
      <c r="FV26" t="s">
        <v>2016</v>
      </c>
      <c r="FW26" t="s">
        <v>2016</v>
      </c>
      <c r="FX26" t="s">
        <v>2016</v>
      </c>
      <c r="FY26" t="s">
        <v>1953</v>
      </c>
      <c r="FZ26" t="s">
        <v>1953</v>
      </c>
      <c r="GA26" t="s">
        <v>1953</v>
      </c>
      <c r="GB26" t="s">
        <v>2016</v>
      </c>
      <c r="GC26" t="s">
        <v>2016</v>
      </c>
      <c r="GD26" t="s">
        <v>2016</v>
      </c>
      <c r="GE26" t="s">
        <v>2016</v>
      </c>
      <c r="GF26" t="s">
        <v>2016</v>
      </c>
      <c r="GG26" t="s">
        <v>2016</v>
      </c>
      <c r="GH26" t="s">
        <v>2016</v>
      </c>
      <c r="GI26" t="s">
        <v>2016</v>
      </c>
      <c r="GJ26" t="s">
        <v>2016</v>
      </c>
      <c r="GK26" t="s">
        <v>2016</v>
      </c>
      <c r="GL26" t="s">
        <v>2016</v>
      </c>
      <c r="GM26" t="s">
        <v>2016</v>
      </c>
      <c r="GN26" t="s">
        <v>2016</v>
      </c>
      <c r="GO26" t="s">
        <v>2016</v>
      </c>
      <c r="GP26" t="s">
        <v>2016</v>
      </c>
      <c r="GQ26" t="s">
        <v>2016</v>
      </c>
      <c r="GR26" t="s">
        <v>2016</v>
      </c>
      <c r="GS26" t="s">
        <v>2016</v>
      </c>
      <c r="GT26" t="s">
        <v>2016</v>
      </c>
      <c r="GU26" t="s">
        <v>2016</v>
      </c>
      <c r="GV26" t="s">
        <v>2016</v>
      </c>
      <c r="GW26" t="s">
        <v>2016</v>
      </c>
      <c r="GX26" t="s">
        <v>2016</v>
      </c>
      <c r="GY26" t="s">
        <v>2016</v>
      </c>
      <c r="GZ26" t="s">
        <v>2016</v>
      </c>
      <c r="HA26" t="s">
        <v>2016</v>
      </c>
      <c r="HB26" t="s">
        <v>2016</v>
      </c>
      <c r="HC26" t="s">
        <v>2016</v>
      </c>
      <c r="HD26" t="s">
        <v>1953</v>
      </c>
      <c r="HE26" t="s">
        <v>2016</v>
      </c>
      <c r="HF26" t="s">
        <v>1953</v>
      </c>
      <c r="HG26" t="s">
        <v>2016</v>
      </c>
      <c r="HH26" t="s">
        <v>2016</v>
      </c>
      <c r="HI26" t="s">
        <v>2016</v>
      </c>
      <c r="HJ26" t="s">
        <v>2016</v>
      </c>
      <c r="HK26" t="s">
        <v>2016</v>
      </c>
      <c r="HL26" t="s">
        <v>2016</v>
      </c>
      <c r="HM26" t="s">
        <v>2016</v>
      </c>
      <c r="HN26" t="s">
        <v>2016</v>
      </c>
      <c r="HO26" t="s">
        <v>1953</v>
      </c>
      <c r="HP26" t="s">
        <v>2016</v>
      </c>
      <c r="HQ26" t="s">
        <v>1953</v>
      </c>
      <c r="HR26" t="s">
        <v>1953</v>
      </c>
      <c r="HS26" t="s">
        <v>1953</v>
      </c>
      <c r="HT26" t="s">
        <v>2016</v>
      </c>
      <c r="HU26" t="s">
        <v>2016</v>
      </c>
      <c r="HV26" t="s">
        <v>2016</v>
      </c>
      <c r="HW26" t="s">
        <v>2016</v>
      </c>
      <c r="HX26" t="s">
        <v>2016</v>
      </c>
      <c r="HY26" t="s">
        <v>2016</v>
      </c>
      <c r="HZ26" t="s">
        <v>2016</v>
      </c>
      <c r="IA26" t="s">
        <v>2016</v>
      </c>
      <c r="IB26" t="s">
        <v>2016</v>
      </c>
      <c r="IC26" t="s">
        <v>2016</v>
      </c>
      <c r="ID26" t="s">
        <v>2016</v>
      </c>
      <c r="IE26" t="s">
        <v>2016</v>
      </c>
      <c r="IF26" t="s">
        <v>1953</v>
      </c>
      <c r="IG26" t="s">
        <v>1953</v>
      </c>
      <c r="IH26" t="s">
        <v>1953</v>
      </c>
      <c r="II26" t="s">
        <v>1953</v>
      </c>
      <c r="IJ26" t="s">
        <v>1953</v>
      </c>
      <c r="IK26" t="s">
        <v>2016</v>
      </c>
      <c r="IL26" t="s">
        <v>2016</v>
      </c>
      <c r="IM26" t="s">
        <v>2016</v>
      </c>
      <c r="IN26" t="s">
        <v>2016</v>
      </c>
      <c r="IO26" t="s">
        <v>1953</v>
      </c>
      <c r="IP26" t="s">
        <v>2016</v>
      </c>
      <c r="IQ26" t="s">
        <v>2016</v>
      </c>
      <c r="IR26" t="s">
        <v>2016</v>
      </c>
      <c r="IS26" t="s">
        <v>2016</v>
      </c>
      <c r="IT26" t="s">
        <v>2016</v>
      </c>
      <c r="IU26" t="s">
        <v>2016</v>
      </c>
      <c r="IV26" t="s">
        <v>2016</v>
      </c>
      <c r="IW26" t="s">
        <v>2016</v>
      </c>
      <c r="IX26" t="s">
        <v>2016</v>
      </c>
      <c r="IY26" t="s">
        <v>2016</v>
      </c>
      <c r="IZ26" t="s">
        <v>2016</v>
      </c>
      <c r="JA26" t="s">
        <v>2016</v>
      </c>
      <c r="JB26" t="s">
        <v>1953</v>
      </c>
      <c r="JC26" t="s">
        <v>2016</v>
      </c>
      <c r="JD26" t="s">
        <v>2016</v>
      </c>
      <c r="JE26" t="s">
        <v>2016</v>
      </c>
      <c r="JF26" t="s">
        <v>2016</v>
      </c>
      <c r="JG26" t="s">
        <v>2016</v>
      </c>
      <c r="JH26" t="s">
        <v>2016</v>
      </c>
      <c r="JI26" t="s">
        <v>2016</v>
      </c>
      <c r="JJ26" t="s">
        <v>2016</v>
      </c>
      <c r="JK26" t="s">
        <v>2016</v>
      </c>
      <c r="JL26" t="s">
        <v>1953</v>
      </c>
      <c r="JM26" t="s">
        <v>2016</v>
      </c>
      <c r="JN26" t="s">
        <v>2016</v>
      </c>
      <c r="JO26" t="s">
        <v>2016</v>
      </c>
      <c r="JP26" t="s">
        <v>2016</v>
      </c>
      <c r="JQ26" t="s">
        <v>2016</v>
      </c>
      <c r="JR26" t="s">
        <v>2016</v>
      </c>
      <c r="JS26" t="s">
        <v>2016</v>
      </c>
      <c r="JT26" t="s">
        <v>1953</v>
      </c>
      <c r="JU26" t="s">
        <v>2016</v>
      </c>
      <c r="JV26" t="s">
        <v>1953</v>
      </c>
      <c r="JW26" t="s">
        <v>2016</v>
      </c>
      <c r="JX26" t="s">
        <v>2016</v>
      </c>
      <c r="JY26" t="s">
        <v>2016</v>
      </c>
      <c r="JZ26" t="s">
        <v>1953</v>
      </c>
      <c r="KA26" t="s">
        <v>2016</v>
      </c>
      <c r="KB26" t="s">
        <v>2016</v>
      </c>
      <c r="KC26" t="s">
        <v>2016</v>
      </c>
      <c r="KD26" t="s">
        <v>2016</v>
      </c>
      <c r="KE26" t="s">
        <v>2016</v>
      </c>
      <c r="KF26" t="s">
        <v>2016</v>
      </c>
      <c r="KG26" t="s">
        <v>2016</v>
      </c>
      <c r="KH26" t="s">
        <v>2016</v>
      </c>
      <c r="KI26" t="s">
        <v>2016</v>
      </c>
      <c r="KJ26" t="s">
        <v>2016</v>
      </c>
      <c r="KK26" t="s">
        <v>2016</v>
      </c>
      <c r="KL26" t="s">
        <v>2016</v>
      </c>
      <c r="KM26" t="s">
        <v>2016</v>
      </c>
      <c r="KN26" t="s">
        <v>1953</v>
      </c>
      <c r="KO26" t="s">
        <v>2016</v>
      </c>
      <c r="KP26" t="s">
        <v>2016</v>
      </c>
      <c r="KQ26" t="s">
        <v>2016</v>
      </c>
      <c r="KR26" t="s">
        <v>2016</v>
      </c>
      <c r="KS26" t="s">
        <v>2016</v>
      </c>
      <c r="KT26" t="s">
        <v>2016</v>
      </c>
      <c r="KU26" t="s">
        <v>2016</v>
      </c>
      <c r="KV26" t="s">
        <v>2016</v>
      </c>
      <c r="KW26" t="s">
        <v>2016</v>
      </c>
      <c r="KX26" t="s">
        <v>2016</v>
      </c>
      <c r="KY26" t="s">
        <v>2016</v>
      </c>
      <c r="KZ26" t="s">
        <v>2016</v>
      </c>
      <c r="LA26" t="s">
        <v>2016</v>
      </c>
      <c r="LB26" t="s">
        <v>2016</v>
      </c>
      <c r="LC26" t="s">
        <v>2016</v>
      </c>
      <c r="LD26" t="s">
        <v>2016</v>
      </c>
      <c r="LE26" t="s">
        <v>2016</v>
      </c>
      <c r="LF26" t="s">
        <v>2016</v>
      </c>
      <c r="LG26" t="s">
        <v>1953</v>
      </c>
      <c r="LH26" t="s">
        <v>1953</v>
      </c>
      <c r="LI26" t="s">
        <v>1953</v>
      </c>
      <c r="LJ26" t="s">
        <v>2016</v>
      </c>
      <c r="LK26" t="s">
        <v>1953</v>
      </c>
      <c r="LL26" t="s">
        <v>1953</v>
      </c>
      <c r="LM26" t="s">
        <v>2016</v>
      </c>
      <c r="LN26" t="s">
        <v>2016</v>
      </c>
      <c r="LO26" t="s">
        <v>1953</v>
      </c>
      <c r="LP26" t="s">
        <v>1953</v>
      </c>
      <c r="LQ26" t="s">
        <v>1953</v>
      </c>
      <c r="LR26" t="s">
        <v>1953</v>
      </c>
      <c r="LS26" t="s">
        <v>2016</v>
      </c>
      <c r="LT26" t="s">
        <v>2016</v>
      </c>
      <c r="LU26" t="s">
        <v>2016</v>
      </c>
      <c r="LV26" t="s">
        <v>2016</v>
      </c>
      <c r="LW26" t="s">
        <v>1953</v>
      </c>
      <c r="LX26" t="s">
        <v>2016</v>
      </c>
      <c r="LY26" t="s">
        <v>2016</v>
      </c>
      <c r="LZ26" t="s">
        <v>2016</v>
      </c>
      <c r="MA26" t="s">
        <v>2016</v>
      </c>
      <c r="MB26" t="s">
        <v>2016</v>
      </c>
      <c r="MC26" t="s">
        <v>2016</v>
      </c>
      <c r="MD26" t="s">
        <v>1953</v>
      </c>
      <c r="ME26" t="s">
        <v>2016</v>
      </c>
      <c r="MF26" t="s">
        <v>2016</v>
      </c>
      <c r="MG26" t="s">
        <v>1953</v>
      </c>
      <c r="MH26" t="s">
        <v>1953</v>
      </c>
      <c r="MI26" t="s">
        <v>1953</v>
      </c>
      <c r="MJ26" t="s">
        <v>2016</v>
      </c>
      <c r="MK26" t="s">
        <v>2016</v>
      </c>
      <c r="ML26" t="s">
        <v>2016</v>
      </c>
      <c r="MM26" t="s">
        <v>2016</v>
      </c>
      <c r="MN26" t="s">
        <v>2016</v>
      </c>
      <c r="MO26" t="s">
        <v>2016</v>
      </c>
      <c r="MP26" t="s">
        <v>2016</v>
      </c>
      <c r="MQ26" t="s">
        <v>2016</v>
      </c>
      <c r="MR26" t="s">
        <v>2016</v>
      </c>
      <c r="MS26" t="s">
        <v>2016</v>
      </c>
      <c r="MT26" t="s">
        <v>2016</v>
      </c>
      <c r="MU26" t="s">
        <v>2016</v>
      </c>
      <c r="MV26" t="s">
        <v>2016</v>
      </c>
      <c r="MW26" t="s">
        <v>2016</v>
      </c>
      <c r="MX26" t="s">
        <v>1953</v>
      </c>
      <c r="MY26" t="s">
        <v>2016</v>
      </c>
      <c r="MZ26" t="s">
        <v>1953</v>
      </c>
      <c r="NA26" t="s">
        <v>2016</v>
      </c>
      <c r="NB26" t="s">
        <v>2016</v>
      </c>
      <c r="NC26" t="s">
        <v>2016</v>
      </c>
      <c r="ND26" t="s">
        <v>2016</v>
      </c>
      <c r="NG26" t="s">
        <v>2016</v>
      </c>
      <c r="NH26" t="s">
        <v>2016</v>
      </c>
      <c r="NI26" t="s">
        <v>2016</v>
      </c>
      <c r="NJ26" t="s">
        <v>2016</v>
      </c>
      <c r="NK26" t="s">
        <v>2016</v>
      </c>
      <c r="NL26" t="s">
        <v>2016</v>
      </c>
      <c r="NM26" t="s">
        <v>2016</v>
      </c>
      <c r="NN26" t="s">
        <v>1953</v>
      </c>
      <c r="NR26" t="s">
        <v>1482</v>
      </c>
      <c r="NS26" t="s">
        <v>2017</v>
      </c>
      <c r="NX26" t="s">
        <v>2018</v>
      </c>
      <c r="NY26" t="s">
        <v>1870</v>
      </c>
    </row>
    <row r="27" spans="1:389" ht="15" customHeight="1" x14ac:dyDescent="0.25">
      <c r="A27" t="s">
        <v>2019</v>
      </c>
      <c r="B27" t="s">
        <v>1944</v>
      </c>
      <c r="C27" t="s">
        <v>1841</v>
      </c>
      <c r="D27" t="s">
        <v>1483</v>
      </c>
      <c r="G27" t="s">
        <v>2019</v>
      </c>
      <c r="H27" t="s">
        <v>2020</v>
      </c>
      <c r="I27" t="s">
        <v>2020</v>
      </c>
      <c r="J27" t="s">
        <v>2020</v>
      </c>
      <c r="K27" t="s">
        <v>2019</v>
      </c>
      <c r="L27" t="s">
        <v>2019</v>
      </c>
      <c r="M27" t="s">
        <v>2019</v>
      </c>
      <c r="N27" t="s">
        <v>2019</v>
      </c>
      <c r="O27" t="s">
        <v>2020</v>
      </c>
      <c r="P27" t="s">
        <v>2019</v>
      </c>
      <c r="Q27" t="s">
        <v>2020</v>
      </c>
      <c r="R27" t="s">
        <v>2019</v>
      </c>
      <c r="S27" t="s">
        <v>2019</v>
      </c>
      <c r="T27" t="s">
        <v>2020</v>
      </c>
      <c r="U27" t="s">
        <v>2020</v>
      </c>
      <c r="V27" t="s">
        <v>2020</v>
      </c>
      <c r="W27" t="s">
        <v>2020</v>
      </c>
      <c r="X27" t="s">
        <v>2020</v>
      </c>
      <c r="Y27" t="s">
        <v>2020</v>
      </c>
      <c r="AA27" t="s">
        <v>2020</v>
      </c>
      <c r="AB27" t="s">
        <v>2020</v>
      </c>
      <c r="AC27" t="s">
        <v>2020</v>
      </c>
      <c r="AD27" t="s">
        <v>2020</v>
      </c>
      <c r="AE27" t="s">
        <v>2020</v>
      </c>
      <c r="AF27" t="s">
        <v>2020</v>
      </c>
      <c r="AG27" t="s">
        <v>2020</v>
      </c>
      <c r="AH27" t="s">
        <v>2019</v>
      </c>
      <c r="AI27" t="s">
        <v>2020</v>
      </c>
      <c r="AJ27" t="s">
        <v>2020</v>
      </c>
      <c r="AK27" t="s">
        <v>2020</v>
      </c>
      <c r="AL27" t="s">
        <v>2020</v>
      </c>
      <c r="AM27" t="s">
        <v>2019</v>
      </c>
      <c r="AN27" t="s">
        <v>2020</v>
      </c>
      <c r="AO27" t="s">
        <v>2019</v>
      </c>
      <c r="AP27" t="s">
        <v>2019</v>
      </c>
      <c r="AQ27" t="s">
        <v>2019</v>
      </c>
      <c r="AR27" t="s">
        <v>2019</v>
      </c>
      <c r="AS27" t="s">
        <v>2020</v>
      </c>
      <c r="AT27" t="s">
        <v>2020</v>
      </c>
      <c r="AU27" t="s">
        <v>2020</v>
      </c>
      <c r="AV27" t="s">
        <v>2020</v>
      </c>
      <c r="AW27" t="s">
        <v>2020</v>
      </c>
      <c r="AX27" t="s">
        <v>2020</v>
      </c>
      <c r="AY27" t="s">
        <v>2020</v>
      </c>
      <c r="AZ27" t="s">
        <v>2020</v>
      </c>
      <c r="BA27" t="s">
        <v>2020</v>
      </c>
      <c r="BB27" t="s">
        <v>2020</v>
      </c>
      <c r="BC27" t="s">
        <v>2020</v>
      </c>
      <c r="BD27" t="s">
        <v>2020</v>
      </c>
      <c r="BE27" t="s">
        <v>2020</v>
      </c>
      <c r="BF27" t="s">
        <v>2020</v>
      </c>
      <c r="BG27" t="s">
        <v>2020</v>
      </c>
      <c r="BH27" t="s">
        <v>2020</v>
      </c>
      <c r="BI27" t="s">
        <v>2020</v>
      </c>
      <c r="BJ27" t="s">
        <v>2020</v>
      </c>
      <c r="BK27" t="s">
        <v>2020</v>
      </c>
      <c r="BL27" t="s">
        <v>2020</v>
      </c>
      <c r="BM27" t="s">
        <v>2020</v>
      </c>
      <c r="BN27" t="s">
        <v>2020</v>
      </c>
      <c r="BO27" t="s">
        <v>2020</v>
      </c>
      <c r="BP27" t="s">
        <v>2020</v>
      </c>
      <c r="BQ27" t="s">
        <v>2020</v>
      </c>
      <c r="BR27" t="s">
        <v>2020</v>
      </c>
      <c r="BS27" t="s">
        <v>2020</v>
      </c>
      <c r="BT27" t="s">
        <v>2020</v>
      </c>
      <c r="BU27" t="s">
        <v>2020</v>
      </c>
      <c r="BV27" t="s">
        <v>2020</v>
      </c>
      <c r="BW27" t="s">
        <v>2020</v>
      </c>
      <c r="BX27" t="s">
        <v>2020</v>
      </c>
      <c r="BY27" t="s">
        <v>2020</v>
      </c>
      <c r="BZ27" t="s">
        <v>2019</v>
      </c>
      <c r="CA27" t="s">
        <v>2019</v>
      </c>
      <c r="CB27" t="s">
        <v>2020</v>
      </c>
      <c r="CC27" t="s">
        <v>2020</v>
      </c>
      <c r="CD27" t="s">
        <v>2020</v>
      </c>
      <c r="CE27" t="s">
        <v>2019</v>
      </c>
      <c r="CF27" t="s">
        <v>2020</v>
      </c>
      <c r="CG27" t="s">
        <v>2020</v>
      </c>
      <c r="CH27" t="s">
        <v>2020</v>
      </c>
      <c r="CI27" t="s">
        <v>2020</v>
      </c>
      <c r="CJ27" t="s">
        <v>2020</v>
      </c>
      <c r="CK27" t="s">
        <v>2019</v>
      </c>
      <c r="CL27" t="s">
        <v>2019</v>
      </c>
      <c r="CM27" t="s">
        <v>2019</v>
      </c>
      <c r="CN27" t="s">
        <v>2019</v>
      </c>
      <c r="CO27" t="s">
        <v>2019</v>
      </c>
      <c r="CP27" t="s">
        <v>2019</v>
      </c>
      <c r="CQ27" t="s">
        <v>2019</v>
      </c>
      <c r="CR27" t="s">
        <v>2019</v>
      </c>
      <c r="CS27" t="s">
        <v>2020</v>
      </c>
      <c r="CT27" t="s">
        <v>2020</v>
      </c>
      <c r="CU27" t="s">
        <v>2019</v>
      </c>
      <c r="CV27" t="s">
        <v>2020</v>
      </c>
      <c r="CW27" t="s">
        <v>2020</v>
      </c>
      <c r="CX27" t="s">
        <v>2020</v>
      </c>
      <c r="CY27" t="s">
        <v>2020</v>
      </c>
      <c r="CZ27" t="s">
        <v>2019</v>
      </c>
      <c r="DA27" t="s">
        <v>2019</v>
      </c>
      <c r="DB27" t="s">
        <v>2019</v>
      </c>
      <c r="DC27" t="s">
        <v>2019</v>
      </c>
      <c r="DD27" t="s">
        <v>2020</v>
      </c>
      <c r="DE27" t="s">
        <v>2020</v>
      </c>
      <c r="DF27" t="s">
        <v>2020</v>
      </c>
      <c r="DG27" t="s">
        <v>2020</v>
      </c>
      <c r="DH27" t="s">
        <v>2020</v>
      </c>
      <c r="DI27" t="s">
        <v>2020</v>
      </c>
      <c r="DJ27" t="s">
        <v>2019</v>
      </c>
      <c r="DK27" t="s">
        <v>2019</v>
      </c>
      <c r="DL27" t="s">
        <v>2020</v>
      </c>
      <c r="DM27" t="s">
        <v>2020</v>
      </c>
      <c r="DN27" t="s">
        <v>2020</v>
      </c>
      <c r="DO27" t="s">
        <v>2019</v>
      </c>
      <c r="DP27" t="s">
        <v>2019</v>
      </c>
      <c r="DQ27" t="s">
        <v>2019</v>
      </c>
      <c r="DR27" t="s">
        <v>2019</v>
      </c>
      <c r="DS27" t="s">
        <v>2020</v>
      </c>
      <c r="DT27" t="s">
        <v>2019</v>
      </c>
      <c r="DU27" t="s">
        <v>2019</v>
      </c>
      <c r="DV27" t="s">
        <v>2019</v>
      </c>
      <c r="DW27" t="s">
        <v>2020</v>
      </c>
      <c r="DX27" t="s">
        <v>2020</v>
      </c>
      <c r="DY27" t="s">
        <v>2020</v>
      </c>
      <c r="DZ27" t="s">
        <v>2020</v>
      </c>
      <c r="EA27" t="s">
        <v>2019</v>
      </c>
      <c r="EB27" t="s">
        <v>2019</v>
      </c>
      <c r="EC27" t="s">
        <v>2019</v>
      </c>
      <c r="ED27" t="s">
        <v>2020</v>
      </c>
      <c r="EE27" t="s">
        <v>2020</v>
      </c>
      <c r="EF27" t="s">
        <v>2020</v>
      </c>
      <c r="EG27" t="s">
        <v>2019</v>
      </c>
      <c r="EH27" t="s">
        <v>2019</v>
      </c>
      <c r="EI27" t="s">
        <v>2019</v>
      </c>
      <c r="EJ27" t="s">
        <v>2019</v>
      </c>
      <c r="EK27" t="s">
        <v>2019</v>
      </c>
      <c r="EL27" t="s">
        <v>2019</v>
      </c>
      <c r="EM27" t="s">
        <v>2020</v>
      </c>
      <c r="EN27" t="s">
        <v>2020</v>
      </c>
      <c r="EO27" t="s">
        <v>2020</v>
      </c>
      <c r="ET27" t="s">
        <v>2020</v>
      </c>
      <c r="EU27" t="s">
        <v>2020</v>
      </c>
      <c r="EV27" t="s">
        <v>2020</v>
      </c>
      <c r="EW27" t="s">
        <v>2020</v>
      </c>
      <c r="EX27" t="s">
        <v>2020</v>
      </c>
      <c r="EY27" t="s">
        <v>2019</v>
      </c>
      <c r="EZ27" t="s">
        <v>2020</v>
      </c>
      <c r="FA27" t="s">
        <v>2019</v>
      </c>
      <c r="FB27" t="s">
        <v>2019</v>
      </c>
      <c r="FC27" t="s">
        <v>2019</v>
      </c>
      <c r="FD27" t="s">
        <v>2020</v>
      </c>
      <c r="FE27" t="s">
        <v>2020</v>
      </c>
      <c r="FF27" t="s">
        <v>2019</v>
      </c>
      <c r="FG27" t="s">
        <v>2019</v>
      </c>
      <c r="FH27" t="s">
        <v>2019</v>
      </c>
      <c r="FI27" t="s">
        <v>2019</v>
      </c>
      <c r="FJ27" t="s">
        <v>2020</v>
      </c>
      <c r="FK27" t="s">
        <v>2020</v>
      </c>
      <c r="FL27" t="s">
        <v>2020</v>
      </c>
      <c r="FM27" t="s">
        <v>2020</v>
      </c>
      <c r="FN27" t="s">
        <v>2020</v>
      </c>
      <c r="FO27" t="s">
        <v>2020</v>
      </c>
      <c r="FP27" t="s">
        <v>2020</v>
      </c>
      <c r="FQ27" t="s">
        <v>2020</v>
      </c>
      <c r="FR27" t="s">
        <v>2020</v>
      </c>
      <c r="FS27" t="s">
        <v>2020</v>
      </c>
      <c r="FT27" t="s">
        <v>2020</v>
      </c>
      <c r="FU27" t="s">
        <v>2020</v>
      </c>
      <c r="FV27" t="s">
        <v>2020</v>
      </c>
      <c r="FW27" t="s">
        <v>2020</v>
      </c>
      <c r="FX27" t="s">
        <v>2020</v>
      </c>
      <c r="FY27" t="s">
        <v>2019</v>
      </c>
      <c r="FZ27" t="s">
        <v>2019</v>
      </c>
      <c r="GA27" t="s">
        <v>2019</v>
      </c>
      <c r="GB27" t="s">
        <v>2020</v>
      </c>
      <c r="GC27" t="s">
        <v>2020</v>
      </c>
      <c r="GD27" t="s">
        <v>2020</v>
      </c>
      <c r="GE27" t="s">
        <v>2020</v>
      </c>
      <c r="GF27" t="s">
        <v>2020</v>
      </c>
      <c r="GG27" t="s">
        <v>2020</v>
      </c>
      <c r="GH27" t="s">
        <v>2020</v>
      </c>
      <c r="GI27" t="s">
        <v>2020</v>
      </c>
      <c r="GJ27" t="s">
        <v>2020</v>
      </c>
      <c r="GK27" t="s">
        <v>2020</v>
      </c>
      <c r="GL27" t="s">
        <v>2020</v>
      </c>
      <c r="GM27" t="s">
        <v>2020</v>
      </c>
      <c r="GN27" t="s">
        <v>2020</v>
      </c>
      <c r="GO27" t="s">
        <v>2020</v>
      </c>
      <c r="GP27" t="s">
        <v>2020</v>
      </c>
      <c r="GQ27" t="s">
        <v>2020</v>
      </c>
      <c r="GR27" t="s">
        <v>2020</v>
      </c>
      <c r="GS27" t="s">
        <v>2020</v>
      </c>
      <c r="GT27" t="s">
        <v>2020</v>
      </c>
      <c r="GU27" t="s">
        <v>2020</v>
      </c>
      <c r="GV27" t="s">
        <v>2020</v>
      </c>
      <c r="GW27" t="s">
        <v>2020</v>
      </c>
      <c r="GX27" t="s">
        <v>2020</v>
      </c>
      <c r="GY27" t="s">
        <v>2020</v>
      </c>
      <c r="GZ27" t="s">
        <v>2020</v>
      </c>
      <c r="HA27" t="s">
        <v>2020</v>
      </c>
      <c r="HB27" t="s">
        <v>2020</v>
      </c>
      <c r="HC27" t="s">
        <v>2020</v>
      </c>
      <c r="HD27" t="s">
        <v>2019</v>
      </c>
      <c r="HE27" t="s">
        <v>2020</v>
      </c>
      <c r="HF27" t="s">
        <v>2019</v>
      </c>
      <c r="HG27" t="s">
        <v>2020</v>
      </c>
      <c r="HH27" t="s">
        <v>2020</v>
      </c>
      <c r="HI27" t="s">
        <v>2020</v>
      </c>
      <c r="HJ27" t="s">
        <v>2020</v>
      </c>
      <c r="HK27" t="s">
        <v>2020</v>
      </c>
      <c r="HL27" t="s">
        <v>2020</v>
      </c>
      <c r="HM27" t="s">
        <v>2020</v>
      </c>
      <c r="HN27" t="s">
        <v>2020</v>
      </c>
      <c r="HO27" t="s">
        <v>2019</v>
      </c>
      <c r="HP27" t="s">
        <v>2020</v>
      </c>
      <c r="HQ27" t="s">
        <v>2019</v>
      </c>
      <c r="HR27" t="s">
        <v>2019</v>
      </c>
      <c r="HS27" t="s">
        <v>2019</v>
      </c>
      <c r="HT27" t="s">
        <v>2020</v>
      </c>
      <c r="HU27" t="s">
        <v>2020</v>
      </c>
      <c r="HV27" t="s">
        <v>2020</v>
      </c>
      <c r="HW27" t="s">
        <v>2020</v>
      </c>
      <c r="HX27" t="s">
        <v>2020</v>
      </c>
      <c r="HY27" t="s">
        <v>2020</v>
      </c>
      <c r="HZ27" t="s">
        <v>2020</v>
      </c>
      <c r="IA27" t="s">
        <v>2020</v>
      </c>
      <c r="IB27" t="s">
        <v>2020</v>
      </c>
      <c r="IC27" t="s">
        <v>2020</v>
      </c>
      <c r="ID27" t="s">
        <v>2020</v>
      </c>
      <c r="IE27" t="s">
        <v>2020</v>
      </c>
      <c r="IF27" t="s">
        <v>2019</v>
      </c>
      <c r="IG27" t="s">
        <v>2019</v>
      </c>
      <c r="IH27" t="s">
        <v>2019</v>
      </c>
      <c r="II27" t="s">
        <v>2019</v>
      </c>
      <c r="IJ27" t="s">
        <v>2019</v>
      </c>
      <c r="IK27" t="s">
        <v>2020</v>
      </c>
      <c r="IL27" t="s">
        <v>2020</v>
      </c>
      <c r="IM27" t="s">
        <v>2020</v>
      </c>
      <c r="IN27" t="s">
        <v>2020</v>
      </c>
      <c r="IO27" t="s">
        <v>2019</v>
      </c>
      <c r="IP27" t="s">
        <v>2020</v>
      </c>
      <c r="IQ27" t="s">
        <v>2020</v>
      </c>
      <c r="IR27" t="s">
        <v>2020</v>
      </c>
      <c r="IS27" t="s">
        <v>2020</v>
      </c>
      <c r="IT27" t="s">
        <v>2020</v>
      </c>
      <c r="IU27" t="s">
        <v>2020</v>
      </c>
      <c r="IV27" t="s">
        <v>2020</v>
      </c>
      <c r="IW27" t="s">
        <v>2020</v>
      </c>
      <c r="IX27" t="s">
        <v>2020</v>
      </c>
      <c r="IY27" t="s">
        <v>2020</v>
      </c>
      <c r="IZ27" t="s">
        <v>2020</v>
      </c>
      <c r="JA27" t="s">
        <v>2020</v>
      </c>
      <c r="JB27" t="s">
        <v>2019</v>
      </c>
      <c r="JC27" t="s">
        <v>2020</v>
      </c>
      <c r="JD27" t="s">
        <v>2020</v>
      </c>
      <c r="JE27" t="s">
        <v>2020</v>
      </c>
      <c r="JF27" t="s">
        <v>2020</v>
      </c>
      <c r="JG27" t="s">
        <v>2020</v>
      </c>
      <c r="JH27" t="s">
        <v>2020</v>
      </c>
      <c r="JI27" t="s">
        <v>2020</v>
      </c>
      <c r="JJ27" t="s">
        <v>2020</v>
      </c>
      <c r="JK27" t="s">
        <v>2020</v>
      </c>
      <c r="JL27" t="s">
        <v>2019</v>
      </c>
      <c r="JM27" t="s">
        <v>2020</v>
      </c>
      <c r="JN27" t="s">
        <v>2020</v>
      </c>
      <c r="JO27" t="s">
        <v>2020</v>
      </c>
      <c r="JP27" t="s">
        <v>2020</v>
      </c>
      <c r="JQ27" t="s">
        <v>2020</v>
      </c>
      <c r="JR27" t="s">
        <v>2020</v>
      </c>
      <c r="JS27" t="s">
        <v>2020</v>
      </c>
      <c r="JT27" t="s">
        <v>2019</v>
      </c>
      <c r="JU27" t="s">
        <v>2020</v>
      </c>
      <c r="JV27" t="s">
        <v>2019</v>
      </c>
      <c r="JW27" t="s">
        <v>2020</v>
      </c>
      <c r="JX27" t="s">
        <v>2020</v>
      </c>
      <c r="JY27" t="s">
        <v>2020</v>
      </c>
      <c r="JZ27" t="s">
        <v>2019</v>
      </c>
      <c r="KA27" t="s">
        <v>2020</v>
      </c>
      <c r="KB27" t="s">
        <v>2020</v>
      </c>
      <c r="KC27" t="s">
        <v>2020</v>
      </c>
      <c r="KD27" t="s">
        <v>2020</v>
      </c>
      <c r="KE27" t="s">
        <v>2020</v>
      </c>
      <c r="KF27" t="s">
        <v>2020</v>
      </c>
      <c r="KG27" t="s">
        <v>2020</v>
      </c>
      <c r="KH27" t="s">
        <v>2020</v>
      </c>
      <c r="KI27" t="s">
        <v>2020</v>
      </c>
      <c r="KJ27" t="s">
        <v>2020</v>
      </c>
      <c r="KK27" t="s">
        <v>2020</v>
      </c>
      <c r="KL27" t="s">
        <v>2020</v>
      </c>
      <c r="KM27" t="s">
        <v>2020</v>
      </c>
      <c r="KN27" t="s">
        <v>2019</v>
      </c>
      <c r="KO27" t="s">
        <v>2020</v>
      </c>
      <c r="KP27" t="s">
        <v>2020</v>
      </c>
      <c r="KQ27" t="s">
        <v>2020</v>
      </c>
      <c r="KR27" t="s">
        <v>2020</v>
      </c>
      <c r="KS27" t="s">
        <v>2020</v>
      </c>
      <c r="KT27" t="s">
        <v>2020</v>
      </c>
      <c r="KU27" t="s">
        <v>2020</v>
      </c>
      <c r="KV27" t="s">
        <v>2020</v>
      </c>
      <c r="KW27" t="s">
        <v>2020</v>
      </c>
      <c r="KX27" t="s">
        <v>2020</v>
      </c>
      <c r="KY27" t="s">
        <v>2020</v>
      </c>
      <c r="KZ27" t="s">
        <v>2020</v>
      </c>
      <c r="LA27" t="s">
        <v>2020</v>
      </c>
      <c r="LB27" t="s">
        <v>2020</v>
      </c>
      <c r="LC27" t="s">
        <v>2020</v>
      </c>
      <c r="LD27" t="s">
        <v>2020</v>
      </c>
      <c r="LE27" t="s">
        <v>2020</v>
      </c>
      <c r="LF27" t="s">
        <v>2020</v>
      </c>
      <c r="LG27" t="s">
        <v>2019</v>
      </c>
      <c r="LH27" t="s">
        <v>2019</v>
      </c>
      <c r="LI27" t="s">
        <v>2019</v>
      </c>
      <c r="LJ27" t="s">
        <v>2020</v>
      </c>
      <c r="LK27" t="s">
        <v>2019</v>
      </c>
      <c r="LL27" t="s">
        <v>2019</v>
      </c>
      <c r="LM27" t="s">
        <v>2020</v>
      </c>
      <c r="LN27" t="s">
        <v>2020</v>
      </c>
      <c r="LO27" t="s">
        <v>2019</v>
      </c>
      <c r="LP27" t="s">
        <v>2019</v>
      </c>
      <c r="LQ27" t="s">
        <v>2019</v>
      </c>
      <c r="LR27" t="s">
        <v>2019</v>
      </c>
      <c r="LS27" t="s">
        <v>2020</v>
      </c>
      <c r="LT27" t="s">
        <v>2020</v>
      </c>
      <c r="LU27" t="s">
        <v>2020</v>
      </c>
      <c r="LV27" t="s">
        <v>2020</v>
      </c>
      <c r="LW27" t="s">
        <v>2019</v>
      </c>
      <c r="LX27" t="s">
        <v>2020</v>
      </c>
      <c r="LY27" t="s">
        <v>2020</v>
      </c>
      <c r="LZ27" t="s">
        <v>2020</v>
      </c>
      <c r="MA27" t="s">
        <v>2020</v>
      </c>
      <c r="MB27" t="s">
        <v>2020</v>
      </c>
      <c r="MC27" t="s">
        <v>2020</v>
      </c>
      <c r="MD27" t="s">
        <v>2019</v>
      </c>
      <c r="ME27" t="s">
        <v>2020</v>
      </c>
      <c r="MF27" t="s">
        <v>2020</v>
      </c>
      <c r="MG27" t="s">
        <v>2019</v>
      </c>
      <c r="MH27" t="s">
        <v>2019</v>
      </c>
      <c r="MI27" t="s">
        <v>2019</v>
      </c>
      <c r="MJ27" t="s">
        <v>2020</v>
      </c>
      <c r="MK27" t="s">
        <v>2020</v>
      </c>
      <c r="ML27" t="s">
        <v>2020</v>
      </c>
      <c r="MM27" t="s">
        <v>2020</v>
      </c>
      <c r="MN27" t="s">
        <v>2020</v>
      </c>
      <c r="MO27" t="s">
        <v>2020</v>
      </c>
      <c r="MP27" t="s">
        <v>2020</v>
      </c>
      <c r="MQ27" t="s">
        <v>2020</v>
      </c>
      <c r="MR27" t="s">
        <v>2020</v>
      </c>
      <c r="MS27" t="s">
        <v>2020</v>
      </c>
      <c r="MT27" t="s">
        <v>2020</v>
      </c>
      <c r="MU27" t="s">
        <v>2020</v>
      </c>
      <c r="MV27" t="s">
        <v>2020</v>
      </c>
      <c r="MW27" t="s">
        <v>2020</v>
      </c>
      <c r="MX27" t="s">
        <v>2019</v>
      </c>
      <c r="MY27" t="s">
        <v>2020</v>
      </c>
      <c r="MZ27" t="s">
        <v>2019</v>
      </c>
      <c r="NA27" t="s">
        <v>2020</v>
      </c>
      <c r="NB27" t="s">
        <v>2020</v>
      </c>
      <c r="NC27" t="s">
        <v>2020</v>
      </c>
      <c r="ND27" t="s">
        <v>2020</v>
      </c>
      <c r="NG27" t="s">
        <v>2020</v>
      </c>
      <c r="NH27" t="s">
        <v>2020</v>
      </c>
      <c r="NI27" t="s">
        <v>2020</v>
      </c>
      <c r="NJ27" t="s">
        <v>2020</v>
      </c>
      <c r="NK27" t="s">
        <v>2020</v>
      </c>
      <c r="NL27" t="s">
        <v>2020</v>
      </c>
      <c r="NM27" t="s">
        <v>2020</v>
      </c>
      <c r="NN27" t="s">
        <v>2019</v>
      </c>
      <c r="NR27" t="s">
        <v>1483</v>
      </c>
      <c r="NS27" t="s">
        <v>2021</v>
      </c>
      <c r="NX27" t="s">
        <v>2022</v>
      </c>
      <c r="NY27" t="s">
        <v>1870</v>
      </c>
    </row>
    <row r="28" spans="1:389" ht="15" customHeight="1" x14ac:dyDescent="0.25">
      <c r="A28" t="s">
        <v>2023</v>
      </c>
      <c r="B28" t="s">
        <v>2024</v>
      </c>
      <c r="C28" t="s">
        <v>1841</v>
      </c>
      <c r="D28" t="s">
        <v>1484</v>
      </c>
      <c r="G28" t="s">
        <v>2023</v>
      </c>
      <c r="H28" t="s">
        <v>2025</v>
      </c>
      <c r="I28" t="s">
        <v>2025</v>
      </c>
      <c r="J28" t="s">
        <v>2025</v>
      </c>
      <c r="K28" t="s">
        <v>2023</v>
      </c>
      <c r="L28" t="s">
        <v>2023</v>
      </c>
      <c r="M28" t="s">
        <v>2023</v>
      </c>
      <c r="N28" t="s">
        <v>2023</v>
      </c>
      <c r="O28" t="s">
        <v>2025</v>
      </c>
      <c r="P28" t="s">
        <v>2023</v>
      </c>
      <c r="Q28" t="s">
        <v>2025</v>
      </c>
      <c r="R28" t="s">
        <v>2023</v>
      </c>
      <c r="S28" t="s">
        <v>2023</v>
      </c>
      <c r="T28" t="s">
        <v>2025</v>
      </c>
      <c r="U28" t="s">
        <v>2025</v>
      </c>
      <c r="V28" t="s">
        <v>2025</v>
      </c>
      <c r="W28" t="s">
        <v>2025</v>
      </c>
      <c r="X28" t="s">
        <v>2025</v>
      </c>
      <c r="Y28" t="s">
        <v>2025</v>
      </c>
      <c r="AA28" t="s">
        <v>2025</v>
      </c>
      <c r="AB28" t="s">
        <v>2025</v>
      </c>
      <c r="AC28" t="s">
        <v>2025</v>
      </c>
      <c r="AD28" t="s">
        <v>2025</v>
      </c>
      <c r="AE28" t="s">
        <v>2025</v>
      </c>
      <c r="AF28" t="s">
        <v>2025</v>
      </c>
      <c r="AG28" t="s">
        <v>2025</v>
      </c>
      <c r="AH28" t="s">
        <v>2023</v>
      </c>
      <c r="AI28" t="s">
        <v>2025</v>
      </c>
      <c r="AJ28" t="s">
        <v>2025</v>
      </c>
      <c r="AK28" t="s">
        <v>2025</v>
      </c>
      <c r="AL28" t="s">
        <v>2025</v>
      </c>
      <c r="AM28" t="s">
        <v>2023</v>
      </c>
      <c r="AN28" t="s">
        <v>2025</v>
      </c>
      <c r="AO28" t="s">
        <v>2023</v>
      </c>
      <c r="AP28" t="s">
        <v>2023</v>
      </c>
      <c r="AQ28" t="s">
        <v>2023</v>
      </c>
      <c r="AR28" t="s">
        <v>2023</v>
      </c>
      <c r="AS28" t="s">
        <v>2025</v>
      </c>
      <c r="AT28" t="s">
        <v>2025</v>
      </c>
      <c r="AU28" t="s">
        <v>2025</v>
      </c>
      <c r="AV28" t="s">
        <v>2025</v>
      </c>
      <c r="AW28" t="s">
        <v>2025</v>
      </c>
      <c r="AX28" t="s">
        <v>2025</v>
      </c>
      <c r="AY28" t="s">
        <v>2025</v>
      </c>
      <c r="AZ28" t="s">
        <v>2025</v>
      </c>
      <c r="BA28" t="s">
        <v>2025</v>
      </c>
      <c r="BB28" t="s">
        <v>2025</v>
      </c>
      <c r="BC28" t="s">
        <v>2025</v>
      </c>
      <c r="BD28" t="s">
        <v>2025</v>
      </c>
      <c r="BE28" t="s">
        <v>2025</v>
      </c>
      <c r="BF28" t="s">
        <v>2025</v>
      </c>
      <c r="BG28" t="s">
        <v>2025</v>
      </c>
      <c r="BH28" t="s">
        <v>2025</v>
      </c>
      <c r="BI28" t="s">
        <v>2025</v>
      </c>
      <c r="BJ28" t="s">
        <v>2025</v>
      </c>
      <c r="BK28" t="s">
        <v>2025</v>
      </c>
      <c r="BL28" t="s">
        <v>2025</v>
      </c>
      <c r="BM28" t="s">
        <v>2025</v>
      </c>
      <c r="BN28" t="s">
        <v>2025</v>
      </c>
      <c r="BO28" t="s">
        <v>2025</v>
      </c>
      <c r="BP28" t="s">
        <v>2025</v>
      </c>
      <c r="BQ28" t="s">
        <v>2025</v>
      </c>
      <c r="BR28" t="s">
        <v>2025</v>
      </c>
      <c r="BS28" t="s">
        <v>2025</v>
      </c>
      <c r="BT28" t="s">
        <v>2025</v>
      </c>
      <c r="BU28" t="s">
        <v>2025</v>
      </c>
      <c r="BV28" t="s">
        <v>2025</v>
      </c>
      <c r="BW28" t="s">
        <v>2025</v>
      </c>
      <c r="BX28" t="s">
        <v>2025</v>
      </c>
      <c r="BY28" t="s">
        <v>2025</v>
      </c>
      <c r="BZ28" t="s">
        <v>2023</v>
      </c>
      <c r="CA28" t="s">
        <v>2023</v>
      </c>
      <c r="CB28" t="s">
        <v>2025</v>
      </c>
      <c r="CC28" t="s">
        <v>2025</v>
      </c>
      <c r="CD28" t="s">
        <v>2025</v>
      </c>
      <c r="CE28" t="s">
        <v>2023</v>
      </c>
      <c r="CF28" t="s">
        <v>2025</v>
      </c>
      <c r="CG28" t="s">
        <v>2025</v>
      </c>
      <c r="CH28" t="s">
        <v>2025</v>
      </c>
      <c r="CI28" t="s">
        <v>2025</v>
      </c>
      <c r="CJ28" t="s">
        <v>2025</v>
      </c>
      <c r="CK28" t="s">
        <v>2023</v>
      </c>
      <c r="CL28" t="s">
        <v>2023</v>
      </c>
      <c r="CM28" t="s">
        <v>2023</v>
      </c>
      <c r="CN28" t="s">
        <v>2023</v>
      </c>
      <c r="CO28" t="s">
        <v>2023</v>
      </c>
      <c r="CP28" t="s">
        <v>2023</v>
      </c>
      <c r="CQ28" t="s">
        <v>2023</v>
      </c>
      <c r="CR28" t="s">
        <v>2023</v>
      </c>
      <c r="CS28" t="s">
        <v>2025</v>
      </c>
      <c r="CT28" t="s">
        <v>2025</v>
      </c>
      <c r="CU28" t="s">
        <v>2023</v>
      </c>
      <c r="CV28" t="s">
        <v>2025</v>
      </c>
      <c r="CW28" t="s">
        <v>2025</v>
      </c>
      <c r="CX28" t="s">
        <v>2025</v>
      </c>
      <c r="CY28" t="s">
        <v>2025</v>
      </c>
      <c r="CZ28" t="s">
        <v>2023</v>
      </c>
      <c r="DA28" t="s">
        <v>2023</v>
      </c>
      <c r="DB28" t="s">
        <v>2023</v>
      </c>
      <c r="DC28" t="s">
        <v>2023</v>
      </c>
      <c r="DD28" t="s">
        <v>2025</v>
      </c>
      <c r="DE28" t="s">
        <v>2025</v>
      </c>
      <c r="DF28" t="s">
        <v>2025</v>
      </c>
      <c r="DG28" t="s">
        <v>2025</v>
      </c>
      <c r="DH28" t="s">
        <v>2025</v>
      </c>
      <c r="DI28" t="s">
        <v>2025</v>
      </c>
      <c r="DJ28" t="s">
        <v>2023</v>
      </c>
      <c r="DK28" t="s">
        <v>2023</v>
      </c>
      <c r="DL28" t="s">
        <v>2025</v>
      </c>
      <c r="DM28" t="s">
        <v>2025</v>
      </c>
      <c r="DN28" t="s">
        <v>2025</v>
      </c>
      <c r="DO28" t="s">
        <v>2023</v>
      </c>
      <c r="DP28" t="s">
        <v>2023</v>
      </c>
      <c r="DQ28" t="s">
        <v>2023</v>
      </c>
      <c r="DR28" t="s">
        <v>2023</v>
      </c>
      <c r="DS28" t="s">
        <v>2025</v>
      </c>
      <c r="DT28" t="s">
        <v>2023</v>
      </c>
      <c r="DU28" t="s">
        <v>2023</v>
      </c>
      <c r="DV28" t="s">
        <v>2023</v>
      </c>
      <c r="DW28" t="s">
        <v>2025</v>
      </c>
      <c r="DX28" t="s">
        <v>2025</v>
      </c>
      <c r="DY28" t="s">
        <v>2025</v>
      </c>
      <c r="DZ28" t="s">
        <v>2025</v>
      </c>
      <c r="EA28" t="s">
        <v>2023</v>
      </c>
      <c r="EB28" t="s">
        <v>2023</v>
      </c>
      <c r="EC28" t="s">
        <v>2023</v>
      </c>
      <c r="ED28" t="s">
        <v>2025</v>
      </c>
      <c r="EE28" t="s">
        <v>2025</v>
      </c>
      <c r="EF28" t="s">
        <v>2025</v>
      </c>
      <c r="EG28" t="s">
        <v>2023</v>
      </c>
      <c r="EH28" t="s">
        <v>2023</v>
      </c>
      <c r="EI28" t="s">
        <v>2023</v>
      </c>
      <c r="EJ28" t="s">
        <v>2023</v>
      </c>
      <c r="EK28" t="s">
        <v>2023</v>
      </c>
      <c r="EL28" t="s">
        <v>2023</v>
      </c>
      <c r="EM28" t="s">
        <v>2025</v>
      </c>
      <c r="EN28" t="s">
        <v>2025</v>
      </c>
      <c r="EO28" t="s">
        <v>2025</v>
      </c>
      <c r="ET28" t="s">
        <v>2025</v>
      </c>
      <c r="EU28" t="s">
        <v>2025</v>
      </c>
      <c r="EV28" t="s">
        <v>2025</v>
      </c>
      <c r="EW28" t="s">
        <v>2025</v>
      </c>
      <c r="EX28" t="s">
        <v>2025</v>
      </c>
      <c r="EY28" t="s">
        <v>2023</v>
      </c>
      <c r="EZ28" t="s">
        <v>2025</v>
      </c>
      <c r="FA28" t="s">
        <v>2023</v>
      </c>
      <c r="FB28" t="s">
        <v>2023</v>
      </c>
      <c r="FC28" t="s">
        <v>2023</v>
      </c>
      <c r="FD28" t="s">
        <v>2025</v>
      </c>
      <c r="FE28" t="s">
        <v>2025</v>
      </c>
      <c r="FF28" t="s">
        <v>2023</v>
      </c>
      <c r="FG28" t="s">
        <v>2023</v>
      </c>
      <c r="FH28" t="s">
        <v>2023</v>
      </c>
      <c r="FI28" t="s">
        <v>2023</v>
      </c>
      <c r="FJ28" t="s">
        <v>2025</v>
      </c>
      <c r="FK28" t="s">
        <v>2025</v>
      </c>
      <c r="FL28" t="s">
        <v>2025</v>
      </c>
      <c r="FM28" t="s">
        <v>2025</v>
      </c>
      <c r="FN28" t="s">
        <v>2025</v>
      </c>
      <c r="FO28" t="s">
        <v>2025</v>
      </c>
      <c r="FP28" t="s">
        <v>2025</v>
      </c>
      <c r="FQ28" t="s">
        <v>2025</v>
      </c>
      <c r="FR28" t="s">
        <v>2025</v>
      </c>
      <c r="FS28" t="s">
        <v>2025</v>
      </c>
      <c r="FT28" t="s">
        <v>2025</v>
      </c>
      <c r="FU28" t="s">
        <v>2025</v>
      </c>
      <c r="FV28" t="s">
        <v>2025</v>
      </c>
      <c r="FW28" t="s">
        <v>2025</v>
      </c>
      <c r="FX28" t="s">
        <v>2025</v>
      </c>
      <c r="FY28" t="s">
        <v>2023</v>
      </c>
      <c r="FZ28" t="s">
        <v>2023</v>
      </c>
      <c r="GA28" t="s">
        <v>2023</v>
      </c>
      <c r="GB28" t="s">
        <v>2025</v>
      </c>
      <c r="GC28" t="s">
        <v>2025</v>
      </c>
      <c r="GD28" t="s">
        <v>2025</v>
      </c>
      <c r="GE28" t="s">
        <v>2025</v>
      </c>
      <c r="GF28" t="s">
        <v>2025</v>
      </c>
      <c r="GG28" t="s">
        <v>2025</v>
      </c>
      <c r="GH28" t="s">
        <v>2025</v>
      </c>
      <c r="GI28" t="s">
        <v>2025</v>
      </c>
      <c r="GJ28" t="s">
        <v>2025</v>
      </c>
      <c r="GK28" t="s">
        <v>2025</v>
      </c>
      <c r="GL28" t="s">
        <v>2025</v>
      </c>
      <c r="GM28" t="s">
        <v>2025</v>
      </c>
      <c r="GN28" t="s">
        <v>2025</v>
      </c>
      <c r="GO28" t="s">
        <v>2025</v>
      </c>
      <c r="GP28" t="s">
        <v>2025</v>
      </c>
      <c r="GQ28" t="s">
        <v>2025</v>
      </c>
      <c r="GR28" t="s">
        <v>2025</v>
      </c>
      <c r="GS28" t="s">
        <v>2025</v>
      </c>
      <c r="GT28" t="s">
        <v>2025</v>
      </c>
      <c r="GU28" t="s">
        <v>2025</v>
      </c>
      <c r="GV28" t="s">
        <v>2025</v>
      </c>
      <c r="GW28" t="s">
        <v>2025</v>
      </c>
      <c r="GX28" t="s">
        <v>2025</v>
      </c>
      <c r="GY28" t="s">
        <v>2025</v>
      </c>
      <c r="GZ28" t="s">
        <v>2025</v>
      </c>
      <c r="HA28" t="s">
        <v>2025</v>
      </c>
      <c r="HB28" t="s">
        <v>2025</v>
      </c>
      <c r="HC28" t="s">
        <v>2025</v>
      </c>
      <c r="HD28" t="s">
        <v>2023</v>
      </c>
      <c r="HE28" t="s">
        <v>2025</v>
      </c>
      <c r="HF28" t="s">
        <v>2023</v>
      </c>
      <c r="HG28" t="s">
        <v>2025</v>
      </c>
      <c r="HH28" t="s">
        <v>2025</v>
      </c>
      <c r="HI28" t="s">
        <v>2025</v>
      </c>
      <c r="HJ28" t="s">
        <v>2025</v>
      </c>
      <c r="HK28" t="s">
        <v>2025</v>
      </c>
      <c r="HL28" t="s">
        <v>2025</v>
      </c>
      <c r="HM28" t="s">
        <v>2025</v>
      </c>
      <c r="HN28" t="s">
        <v>2025</v>
      </c>
      <c r="HO28" t="s">
        <v>2023</v>
      </c>
      <c r="HP28" t="s">
        <v>2025</v>
      </c>
      <c r="HQ28" t="s">
        <v>2023</v>
      </c>
      <c r="HR28" t="s">
        <v>2023</v>
      </c>
      <c r="HS28" t="s">
        <v>2023</v>
      </c>
      <c r="HT28" t="s">
        <v>2025</v>
      </c>
      <c r="HU28" t="s">
        <v>2025</v>
      </c>
      <c r="HV28" t="s">
        <v>2025</v>
      </c>
      <c r="HW28" t="s">
        <v>2025</v>
      </c>
      <c r="HX28" t="s">
        <v>2025</v>
      </c>
      <c r="HY28" t="s">
        <v>2025</v>
      </c>
      <c r="HZ28" t="s">
        <v>2025</v>
      </c>
      <c r="IA28" t="s">
        <v>2025</v>
      </c>
      <c r="IB28" t="s">
        <v>2025</v>
      </c>
      <c r="IC28" t="s">
        <v>2025</v>
      </c>
      <c r="ID28" t="s">
        <v>2025</v>
      </c>
      <c r="IE28" t="s">
        <v>2025</v>
      </c>
      <c r="IF28" t="s">
        <v>2023</v>
      </c>
      <c r="IG28" t="s">
        <v>2023</v>
      </c>
      <c r="IH28" t="s">
        <v>2023</v>
      </c>
      <c r="II28" t="s">
        <v>2023</v>
      </c>
      <c r="IJ28" t="s">
        <v>2023</v>
      </c>
      <c r="IK28" t="s">
        <v>2025</v>
      </c>
      <c r="IL28" t="s">
        <v>2025</v>
      </c>
      <c r="IM28" t="s">
        <v>2025</v>
      </c>
      <c r="IN28" t="s">
        <v>2025</v>
      </c>
      <c r="IO28" t="s">
        <v>2023</v>
      </c>
      <c r="IP28" t="s">
        <v>2025</v>
      </c>
      <c r="IQ28" t="s">
        <v>2025</v>
      </c>
      <c r="IR28" t="s">
        <v>2025</v>
      </c>
      <c r="IS28" t="s">
        <v>2025</v>
      </c>
      <c r="IT28" t="s">
        <v>2025</v>
      </c>
      <c r="IU28" t="s">
        <v>2025</v>
      </c>
      <c r="IV28" t="s">
        <v>2025</v>
      </c>
      <c r="IW28" t="s">
        <v>2025</v>
      </c>
      <c r="IX28" t="s">
        <v>2025</v>
      </c>
      <c r="IY28" t="s">
        <v>2025</v>
      </c>
      <c r="IZ28" t="s">
        <v>2025</v>
      </c>
      <c r="JA28" t="s">
        <v>2025</v>
      </c>
      <c r="JB28" t="s">
        <v>2023</v>
      </c>
      <c r="JC28" t="s">
        <v>2025</v>
      </c>
      <c r="JD28" t="s">
        <v>2025</v>
      </c>
      <c r="JE28" t="s">
        <v>2025</v>
      </c>
      <c r="JF28" t="s">
        <v>2025</v>
      </c>
      <c r="JG28" t="s">
        <v>2025</v>
      </c>
      <c r="JH28" t="s">
        <v>2025</v>
      </c>
      <c r="JI28" t="s">
        <v>2025</v>
      </c>
      <c r="JJ28" t="s">
        <v>2025</v>
      </c>
      <c r="JK28" t="s">
        <v>2025</v>
      </c>
      <c r="JL28" t="s">
        <v>2023</v>
      </c>
      <c r="JM28" t="s">
        <v>2025</v>
      </c>
      <c r="JN28" t="s">
        <v>2025</v>
      </c>
      <c r="JO28" t="s">
        <v>2025</v>
      </c>
      <c r="JP28" t="s">
        <v>2025</v>
      </c>
      <c r="JQ28" t="s">
        <v>2025</v>
      </c>
      <c r="JR28" t="s">
        <v>2025</v>
      </c>
      <c r="JS28" t="s">
        <v>2025</v>
      </c>
      <c r="JT28" t="s">
        <v>2023</v>
      </c>
      <c r="JU28" t="s">
        <v>2025</v>
      </c>
      <c r="JV28" t="s">
        <v>2023</v>
      </c>
      <c r="JW28" t="s">
        <v>2025</v>
      </c>
      <c r="JX28" t="s">
        <v>2025</v>
      </c>
      <c r="JY28" t="s">
        <v>2025</v>
      </c>
      <c r="JZ28" t="s">
        <v>2023</v>
      </c>
      <c r="KA28" t="s">
        <v>2025</v>
      </c>
      <c r="KB28" t="s">
        <v>2025</v>
      </c>
      <c r="KC28" t="s">
        <v>2025</v>
      </c>
      <c r="KD28" t="s">
        <v>2025</v>
      </c>
      <c r="KE28" t="s">
        <v>2025</v>
      </c>
      <c r="KF28" t="s">
        <v>2025</v>
      </c>
      <c r="KG28" t="s">
        <v>2025</v>
      </c>
      <c r="KH28" t="s">
        <v>2025</v>
      </c>
      <c r="KI28" t="s">
        <v>2025</v>
      </c>
      <c r="KJ28" t="s">
        <v>2025</v>
      </c>
      <c r="KK28" t="s">
        <v>2025</v>
      </c>
      <c r="KL28" t="s">
        <v>2025</v>
      </c>
      <c r="KM28" t="s">
        <v>2025</v>
      </c>
      <c r="KN28" t="s">
        <v>2023</v>
      </c>
      <c r="KO28" t="s">
        <v>2025</v>
      </c>
      <c r="KP28" t="s">
        <v>2025</v>
      </c>
      <c r="KQ28" t="s">
        <v>2025</v>
      </c>
      <c r="KR28" t="s">
        <v>2025</v>
      </c>
      <c r="KS28" t="s">
        <v>2025</v>
      </c>
      <c r="KT28" t="s">
        <v>2025</v>
      </c>
      <c r="KU28" t="s">
        <v>2025</v>
      </c>
      <c r="KV28" t="s">
        <v>2025</v>
      </c>
      <c r="KW28" t="s">
        <v>2025</v>
      </c>
      <c r="KX28" t="s">
        <v>2025</v>
      </c>
      <c r="KY28" t="s">
        <v>2025</v>
      </c>
      <c r="KZ28" t="s">
        <v>2025</v>
      </c>
      <c r="LA28" t="s">
        <v>2025</v>
      </c>
      <c r="LB28" t="s">
        <v>2025</v>
      </c>
      <c r="LC28" t="s">
        <v>2025</v>
      </c>
      <c r="LD28" t="s">
        <v>2025</v>
      </c>
      <c r="LE28" t="s">
        <v>2025</v>
      </c>
      <c r="LF28" t="s">
        <v>2025</v>
      </c>
      <c r="LG28" t="s">
        <v>2023</v>
      </c>
      <c r="LH28" t="s">
        <v>2023</v>
      </c>
      <c r="LI28" t="s">
        <v>2023</v>
      </c>
      <c r="LJ28" t="s">
        <v>2025</v>
      </c>
      <c r="LK28" t="s">
        <v>2023</v>
      </c>
      <c r="LL28" t="s">
        <v>2023</v>
      </c>
      <c r="LM28" t="s">
        <v>2025</v>
      </c>
      <c r="LN28" t="s">
        <v>2025</v>
      </c>
      <c r="LO28" t="s">
        <v>2023</v>
      </c>
      <c r="LP28" t="s">
        <v>2023</v>
      </c>
      <c r="LQ28" t="s">
        <v>2023</v>
      </c>
      <c r="LR28" t="s">
        <v>2023</v>
      </c>
      <c r="LS28" t="s">
        <v>2025</v>
      </c>
      <c r="LT28" t="s">
        <v>2025</v>
      </c>
      <c r="LU28" t="s">
        <v>2025</v>
      </c>
      <c r="LV28" t="s">
        <v>2025</v>
      </c>
      <c r="LW28" t="s">
        <v>2023</v>
      </c>
      <c r="LX28" t="s">
        <v>2025</v>
      </c>
      <c r="LY28" t="s">
        <v>2025</v>
      </c>
      <c r="LZ28" t="s">
        <v>2025</v>
      </c>
      <c r="MA28" t="s">
        <v>2025</v>
      </c>
      <c r="MB28" t="s">
        <v>2025</v>
      </c>
      <c r="MC28" t="s">
        <v>2025</v>
      </c>
      <c r="MD28" t="s">
        <v>2023</v>
      </c>
      <c r="ME28" t="s">
        <v>2025</v>
      </c>
      <c r="MF28" t="s">
        <v>2025</v>
      </c>
      <c r="MG28" t="s">
        <v>2023</v>
      </c>
      <c r="MH28" t="s">
        <v>2023</v>
      </c>
      <c r="MI28" t="s">
        <v>2023</v>
      </c>
      <c r="MJ28" t="s">
        <v>2025</v>
      </c>
      <c r="MK28" t="s">
        <v>2025</v>
      </c>
      <c r="ML28" t="s">
        <v>2025</v>
      </c>
      <c r="MM28" t="s">
        <v>2025</v>
      </c>
      <c r="MN28" t="s">
        <v>2025</v>
      </c>
      <c r="MO28" t="s">
        <v>2025</v>
      </c>
      <c r="MP28" t="s">
        <v>2025</v>
      </c>
      <c r="MQ28" t="s">
        <v>2025</v>
      </c>
      <c r="MR28" t="s">
        <v>2025</v>
      </c>
      <c r="MS28" t="s">
        <v>2025</v>
      </c>
      <c r="MT28" t="s">
        <v>2025</v>
      </c>
      <c r="MU28" t="s">
        <v>2025</v>
      </c>
      <c r="MV28" t="s">
        <v>2025</v>
      </c>
      <c r="MW28" t="s">
        <v>2025</v>
      </c>
      <c r="MX28" t="s">
        <v>2023</v>
      </c>
      <c r="MY28" t="s">
        <v>2025</v>
      </c>
      <c r="MZ28" t="s">
        <v>2023</v>
      </c>
      <c r="NA28" t="s">
        <v>2025</v>
      </c>
      <c r="NB28" t="s">
        <v>2025</v>
      </c>
      <c r="NC28" t="s">
        <v>2025</v>
      </c>
      <c r="ND28" t="s">
        <v>2025</v>
      </c>
      <c r="NG28" t="s">
        <v>2025</v>
      </c>
      <c r="NH28" t="s">
        <v>2025</v>
      </c>
      <c r="NI28" t="s">
        <v>2025</v>
      </c>
      <c r="NJ28" t="s">
        <v>2025</v>
      </c>
      <c r="NK28" t="s">
        <v>2025</v>
      </c>
      <c r="NL28" t="s">
        <v>2025</v>
      </c>
      <c r="NM28" t="s">
        <v>2025</v>
      </c>
      <c r="NN28" t="s">
        <v>2023</v>
      </c>
      <c r="NR28" t="s">
        <v>1484</v>
      </c>
      <c r="NS28" t="s">
        <v>2026</v>
      </c>
      <c r="NX28" t="s">
        <v>2027</v>
      </c>
      <c r="NY28" t="s">
        <v>1870</v>
      </c>
    </row>
    <row r="29" spans="1:389" ht="15" customHeight="1" x14ac:dyDescent="0.25">
      <c r="A29" t="s">
        <v>2028</v>
      </c>
      <c r="B29" t="s">
        <v>2029</v>
      </c>
      <c r="C29" t="s">
        <v>1841</v>
      </c>
      <c r="D29" t="s">
        <v>1485</v>
      </c>
      <c r="G29" t="s">
        <v>2028</v>
      </c>
      <c r="H29" t="s">
        <v>2030</v>
      </c>
      <c r="I29" t="s">
        <v>2030</v>
      </c>
      <c r="J29" t="s">
        <v>2030</v>
      </c>
      <c r="K29" t="s">
        <v>2028</v>
      </c>
      <c r="L29" t="s">
        <v>2028</v>
      </c>
      <c r="M29" t="s">
        <v>2028</v>
      </c>
      <c r="N29" t="s">
        <v>2028</v>
      </c>
      <c r="O29" t="s">
        <v>2030</v>
      </c>
      <c r="P29" t="s">
        <v>2028</v>
      </c>
      <c r="Q29" t="s">
        <v>2030</v>
      </c>
      <c r="R29" t="s">
        <v>2028</v>
      </c>
      <c r="S29" t="s">
        <v>2028</v>
      </c>
      <c r="T29" t="s">
        <v>2030</v>
      </c>
      <c r="U29" t="s">
        <v>2030</v>
      </c>
      <c r="V29" t="s">
        <v>2030</v>
      </c>
      <c r="W29" t="s">
        <v>2030</v>
      </c>
      <c r="X29" t="s">
        <v>2030</v>
      </c>
      <c r="Y29" t="s">
        <v>2030</v>
      </c>
      <c r="AA29" t="s">
        <v>2030</v>
      </c>
      <c r="AB29" t="s">
        <v>2030</v>
      </c>
      <c r="AC29" t="s">
        <v>2030</v>
      </c>
      <c r="AD29" t="s">
        <v>2030</v>
      </c>
      <c r="AE29" t="s">
        <v>2030</v>
      </c>
      <c r="AF29" t="s">
        <v>2030</v>
      </c>
      <c r="AG29" t="s">
        <v>2030</v>
      </c>
      <c r="AH29" t="s">
        <v>2028</v>
      </c>
      <c r="AI29" t="s">
        <v>2030</v>
      </c>
      <c r="AJ29" t="s">
        <v>2030</v>
      </c>
      <c r="AK29" t="s">
        <v>2030</v>
      </c>
      <c r="AL29" t="s">
        <v>2030</v>
      </c>
      <c r="AM29" t="s">
        <v>2028</v>
      </c>
      <c r="AN29" t="s">
        <v>2030</v>
      </c>
      <c r="AO29" t="s">
        <v>2028</v>
      </c>
      <c r="AP29" t="s">
        <v>2028</v>
      </c>
      <c r="AQ29" t="s">
        <v>2028</v>
      </c>
      <c r="AR29" t="s">
        <v>2028</v>
      </c>
      <c r="AS29" t="s">
        <v>2030</v>
      </c>
      <c r="AT29" t="s">
        <v>2030</v>
      </c>
      <c r="AU29" t="s">
        <v>2030</v>
      </c>
      <c r="AV29" t="s">
        <v>2030</v>
      </c>
      <c r="AW29" t="s">
        <v>2030</v>
      </c>
      <c r="AX29" t="s">
        <v>2030</v>
      </c>
      <c r="AY29" t="s">
        <v>2030</v>
      </c>
      <c r="AZ29" t="s">
        <v>2030</v>
      </c>
      <c r="BA29" t="s">
        <v>2030</v>
      </c>
      <c r="BB29" t="s">
        <v>2030</v>
      </c>
      <c r="BC29" t="s">
        <v>2030</v>
      </c>
      <c r="BD29" t="s">
        <v>2030</v>
      </c>
      <c r="BE29" t="s">
        <v>2030</v>
      </c>
      <c r="BF29" t="s">
        <v>2030</v>
      </c>
      <c r="BG29" t="s">
        <v>2030</v>
      </c>
      <c r="BH29" t="s">
        <v>2030</v>
      </c>
      <c r="BI29" t="s">
        <v>2030</v>
      </c>
      <c r="BJ29" t="s">
        <v>2030</v>
      </c>
      <c r="BK29" t="s">
        <v>2030</v>
      </c>
      <c r="BL29" t="s">
        <v>2030</v>
      </c>
      <c r="BM29" t="s">
        <v>2030</v>
      </c>
      <c r="BN29" t="s">
        <v>2030</v>
      </c>
      <c r="BO29" t="s">
        <v>2030</v>
      </c>
      <c r="BP29" t="s">
        <v>2030</v>
      </c>
      <c r="BQ29" t="s">
        <v>2030</v>
      </c>
      <c r="BR29" t="s">
        <v>2030</v>
      </c>
      <c r="BS29" t="s">
        <v>2030</v>
      </c>
      <c r="BT29" t="s">
        <v>2030</v>
      </c>
      <c r="BU29" t="s">
        <v>2030</v>
      </c>
      <c r="BV29" t="s">
        <v>2030</v>
      </c>
      <c r="BW29" t="s">
        <v>2030</v>
      </c>
      <c r="BX29" t="s">
        <v>2030</v>
      </c>
      <c r="BY29" t="s">
        <v>2030</v>
      </c>
      <c r="BZ29" t="s">
        <v>2028</v>
      </c>
      <c r="CA29" t="s">
        <v>2028</v>
      </c>
      <c r="CB29" t="s">
        <v>2030</v>
      </c>
      <c r="CC29" t="s">
        <v>2030</v>
      </c>
      <c r="CD29" t="s">
        <v>2030</v>
      </c>
      <c r="CE29" t="s">
        <v>2028</v>
      </c>
      <c r="CF29" t="s">
        <v>2030</v>
      </c>
      <c r="CG29" t="s">
        <v>2030</v>
      </c>
      <c r="CH29" t="s">
        <v>2030</v>
      </c>
      <c r="CI29" t="s">
        <v>2030</v>
      </c>
      <c r="CJ29" t="s">
        <v>2030</v>
      </c>
      <c r="CK29" t="s">
        <v>2028</v>
      </c>
      <c r="CL29" t="s">
        <v>2028</v>
      </c>
      <c r="CM29" t="s">
        <v>2028</v>
      </c>
      <c r="CN29" t="s">
        <v>2028</v>
      </c>
      <c r="CO29" t="s">
        <v>2028</v>
      </c>
      <c r="CP29" t="s">
        <v>2028</v>
      </c>
      <c r="CQ29" t="s">
        <v>2028</v>
      </c>
      <c r="CR29" t="s">
        <v>2028</v>
      </c>
      <c r="CS29" t="s">
        <v>2030</v>
      </c>
      <c r="CT29" t="s">
        <v>2030</v>
      </c>
      <c r="CU29" t="s">
        <v>2028</v>
      </c>
      <c r="CV29" t="s">
        <v>2030</v>
      </c>
      <c r="CW29" t="s">
        <v>2030</v>
      </c>
      <c r="CX29" t="s">
        <v>2030</v>
      </c>
      <c r="CY29" t="s">
        <v>2030</v>
      </c>
      <c r="CZ29" t="s">
        <v>2028</v>
      </c>
      <c r="DA29" t="s">
        <v>2028</v>
      </c>
      <c r="DB29" t="s">
        <v>2028</v>
      </c>
      <c r="DC29" t="s">
        <v>2028</v>
      </c>
      <c r="DD29" t="s">
        <v>2030</v>
      </c>
      <c r="DE29" t="s">
        <v>2030</v>
      </c>
      <c r="DF29" t="s">
        <v>2030</v>
      </c>
      <c r="DG29" t="s">
        <v>2030</v>
      </c>
      <c r="DH29" t="s">
        <v>2030</v>
      </c>
      <c r="DI29" t="s">
        <v>2030</v>
      </c>
      <c r="DJ29" t="s">
        <v>2028</v>
      </c>
      <c r="DK29" t="s">
        <v>2028</v>
      </c>
      <c r="DL29" t="s">
        <v>2030</v>
      </c>
      <c r="DM29" t="s">
        <v>2030</v>
      </c>
      <c r="DN29" t="s">
        <v>2030</v>
      </c>
      <c r="DO29" t="s">
        <v>2028</v>
      </c>
      <c r="DP29" t="s">
        <v>2028</v>
      </c>
      <c r="DQ29" t="s">
        <v>2028</v>
      </c>
      <c r="DR29" t="s">
        <v>2028</v>
      </c>
      <c r="DS29" t="s">
        <v>2030</v>
      </c>
      <c r="DT29" t="s">
        <v>2028</v>
      </c>
      <c r="DU29" t="s">
        <v>2028</v>
      </c>
      <c r="DV29" t="s">
        <v>2028</v>
      </c>
      <c r="DW29" t="s">
        <v>2030</v>
      </c>
      <c r="DX29" t="s">
        <v>2030</v>
      </c>
      <c r="DY29" t="s">
        <v>2030</v>
      </c>
      <c r="DZ29" t="s">
        <v>2030</v>
      </c>
      <c r="EA29" t="s">
        <v>2028</v>
      </c>
      <c r="EB29" t="s">
        <v>2028</v>
      </c>
      <c r="EC29" t="s">
        <v>2028</v>
      </c>
      <c r="ED29" t="s">
        <v>2030</v>
      </c>
      <c r="EE29" t="s">
        <v>2030</v>
      </c>
      <c r="EF29" t="s">
        <v>2030</v>
      </c>
      <c r="EG29" t="s">
        <v>2028</v>
      </c>
      <c r="EH29" t="s">
        <v>2028</v>
      </c>
      <c r="EI29" t="s">
        <v>2028</v>
      </c>
      <c r="EJ29" t="s">
        <v>2028</v>
      </c>
      <c r="EK29" t="s">
        <v>2028</v>
      </c>
      <c r="EL29" t="s">
        <v>2028</v>
      </c>
      <c r="EM29" t="s">
        <v>2030</v>
      </c>
      <c r="EN29" t="s">
        <v>2030</v>
      </c>
      <c r="EO29" t="s">
        <v>2030</v>
      </c>
      <c r="ET29" t="s">
        <v>2030</v>
      </c>
      <c r="EU29" t="s">
        <v>2030</v>
      </c>
      <c r="EV29" t="s">
        <v>2030</v>
      </c>
      <c r="EW29" t="s">
        <v>2030</v>
      </c>
      <c r="EX29" t="s">
        <v>2030</v>
      </c>
      <c r="EY29" t="s">
        <v>2028</v>
      </c>
      <c r="EZ29" t="s">
        <v>2030</v>
      </c>
      <c r="FA29" t="s">
        <v>2028</v>
      </c>
      <c r="FB29" t="s">
        <v>2028</v>
      </c>
      <c r="FC29" t="s">
        <v>2028</v>
      </c>
      <c r="FD29" t="s">
        <v>2030</v>
      </c>
      <c r="FE29" t="s">
        <v>2030</v>
      </c>
      <c r="FF29" t="s">
        <v>2028</v>
      </c>
      <c r="FG29" t="s">
        <v>2028</v>
      </c>
      <c r="FH29" t="s">
        <v>2028</v>
      </c>
      <c r="FI29" t="s">
        <v>2028</v>
      </c>
      <c r="FJ29" t="s">
        <v>2030</v>
      </c>
      <c r="FK29" t="s">
        <v>2030</v>
      </c>
      <c r="FL29" t="s">
        <v>2030</v>
      </c>
      <c r="FM29" t="s">
        <v>2030</v>
      </c>
      <c r="FN29" t="s">
        <v>2030</v>
      </c>
      <c r="FO29" t="s">
        <v>2030</v>
      </c>
      <c r="FP29" t="s">
        <v>2030</v>
      </c>
      <c r="FQ29" t="s">
        <v>2030</v>
      </c>
      <c r="FR29" t="s">
        <v>2030</v>
      </c>
      <c r="FS29" t="s">
        <v>2030</v>
      </c>
      <c r="FT29" t="s">
        <v>2030</v>
      </c>
      <c r="FU29" t="s">
        <v>2030</v>
      </c>
      <c r="FV29" t="s">
        <v>2030</v>
      </c>
      <c r="FW29" t="s">
        <v>2030</v>
      </c>
      <c r="FX29" t="s">
        <v>2030</v>
      </c>
      <c r="FY29" t="s">
        <v>2028</v>
      </c>
      <c r="FZ29" t="s">
        <v>2028</v>
      </c>
      <c r="GA29" t="s">
        <v>2028</v>
      </c>
      <c r="GB29" t="s">
        <v>2030</v>
      </c>
      <c r="GC29" t="s">
        <v>2030</v>
      </c>
      <c r="GD29" t="s">
        <v>2030</v>
      </c>
      <c r="GE29" t="s">
        <v>2030</v>
      </c>
      <c r="GF29" t="s">
        <v>2030</v>
      </c>
      <c r="GG29" t="s">
        <v>2030</v>
      </c>
      <c r="GH29" t="s">
        <v>2030</v>
      </c>
      <c r="GI29" t="s">
        <v>2030</v>
      </c>
      <c r="GJ29" t="s">
        <v>2030</v>
      </c>
      <c r="GK29" t="s">
        <v>2030</v>
      </c>
      <c r="GL29" t="s">
        <v>2030</v>
      </c>
      <c r="GM29" t="s">
        <v>2030</v>
      </c>
      <c r="GN29" t="s">
        <v>2030</v>
      </c>
      <c r="GO29" t="s">
        <v>2030</v>
      </c>
      <c r="GP29" t="s">
        <v>2030</v>
      </c>
      <c r="GQ29" t="s">
        <v>2030</v>
      </c>
      <c r="GR29" t="s">
        <v>2030</v>
      </c>
      <c r="GS29" t="s">
        <v>2030</v>
      </c>
      <c r="GT29" t="s">
        <v>2030</v>
      </c>
      <c r="GU29" t="s">
        <v>2030</v>
      </c>
      <c r="GV29" t="s">
        <v>2030</v>
      </c>
      <c r="GW29" t="s">
        <v>2030</v>
      </c>
      <c r="GX29" t="s">
        <v>2030</v>
      </c>
      <c r="GY29" t="s">
        <v>2030</v>
      </c>
      <c r="GZ29" t="s">
        <v>2030</v>
      </c>
      <c r="HA29" t="s">
        <v>2030</v>
      </c>
      <c r="HB29" t="s">
        <v>2030</v>
      </c>
      <c r="HC29" t="s">
        <v>2030</v>
      </c>
      <c r="HD29" t="s">
        <v>2028</v>
      </c>
      <c r="HE29" t="s">
        <v>2030</v>
      </c>
      <c r="HF29" t="s">
        <v>2028</v>
      </c>
      <c r="HG29" t="s">
        <v>2030</v>
      </c>
      <c r="HH29" t="s">
        <v>2030</v>
      </c>
      <c r="HI29" t="s">
        <v>2030</v>
      </c>
      <c r="HJ29" t="s">
        <v>2030</v>
      </c>
      <c r="HK29" t="s">
        <v>2030</v>
      </c>
      <c r="HL29" t="s">
        <v>2030</v>
      </c>
      <c r="HM29" t="s">
        <v>2030</v>
      </c>
      <c r="HN29" t="s">
        <v>2030</v>
      </c>
      <c r="HO29" t="s">
        <v>2028</v>
      </c>
      <c r="HP29" t="s">
        <v>2030</v>
      </c>
      <c r="HQ29" t="s">
        <v>2028</v>
      </c>
      <c r="HR29" t="s">
        <v>2028</v>
      </c>
      <c r="HS29" t="s">
        <v>2028</v>
      </c>
      <c r="HT29" t="s">
        <v>2030</v>
      </c>
      <c r="HU29" t="s">
        <v>2030</v>
      </c>
      <c r="HV29" t="s">
        <v>2030</v>
      </c>
      <c r="HW29" t="s">
        <v>2030</v>
      </c>
      <c r="HX29" t="s">
        <v>2030</v>
      </c>
      <c r="HY29" t="s">
        <v>2030</v>
      </c>
      <c r="HZ29" t="s">
        <v>2030</v>
      </c>
      <c r="IA29" t="s">
        <v>2030</v>
      </c>
      <c r="IB29" t="s">
        <v>2030</v>
      </c>
      <c r="IC29" t="s">
        <v>2030</v>
      </c>
      <c r="ID29" t="s">
        <v>2030</v>
      </c>
      <c r="IE29" t="s">
        <v>2030</v>
      </c>
      <c r="IF29" t="s">
        <v>2028</v>
      </c>
      <c r="IG29" t="s">
        <v>2028</v>
      </c>
      <c r="IH29" t="s">
        <v>2028</v>
      </c>
      <c r="II29" t="s">
        <v>2028</v>
      </c>
      <c r="IJ29" t="s">
        <v>2028</v>
      </c>
      <c r="IK29" t="s">
        <v>2030</v>
      </c>
      <c r="IL29" t="s">
        <v>2030</v>
      </c>
      <c r="IM29" t="s">
        <v>2030</v>
      </c>
      <c r="IN29" t="s">
        <v>2030</v>
      </c>
      <c r="IO29" t="s">
        <v>2028</v>
      </c>
      <c r="IP29" t="s">
        <v>2030</v>
      </c>
      <c r="IQ29" t="s">
        <v>2030</v>
      </c>
      <c r="IR29" t="s">
        <v>2030</v>
      </c>
      <c r="IS29" t="s">
        <v>2030</v>
      </c>
      <c r="IT29" t="s">
        <v>2030</v>
      </c>
      <c r="IU29" t="s">
        <v>2030</v>
      </c>
      <c r="IV29" t="s">
        <v>2030</v>
      </c>
      <c r="IW29" t="s">
        <v>2030</v>
      </c>
      <c r="IX29" t="s">
        <v>2030</v>
      </c>
      <c r="IY29" t="s">
        <v>2030</v>
      </c>
      <c r="IZ29" t="s">
        <v>2030</v>
      </c>
      <c r="JA29" t="s">
        <v>2030</v>
      </c>
      <c r="JB29" t="s">
        <v>2028</v>
      </c>
      <c r="JC29" t="s">
        <v>2030</v>
      </c>
      <c r="JD29" t="s">
        <v>2030</v>
      </c>
      <c r="JE29" t="s">
        <v>2030</v>
      </c>
      <c r="JF29" t="s">
        <v>2030</v>
      </c>
      <c r="JG29" t="s">
        <v>2030</v>
      </c>
      <c r="JH29" t="s">
        <v>2030</v>
      </c>
      <c r="JI29" t="s">
        <v>2030</v>
      </c>
      <c r="JJ29" t="s">
        <v>2030</v>
      </c>
      <c r="JK29" t="s">
        <v>2030</v>
      </c>
      <c r="JL29" t="s">
        <v>2028</v>
      </c>
      <c r="JM29" t="s">
        <v>2030</v>
      </c>
      <c r="JN29" t="s">
        <v>2030</v>
      </c>
      <c r="JO29" t="s">
        <v>2030</v>
      </c>
      <c r="JP29" t="s">
        <v>2030</v>
      </c>
      <c r="JQ29" t="s">
        <v>2030</v>
      </c>
      <c r="JR29" t="s">
        <v>2030</v>
      </c>
      <c r="JS29" t="s">
        <v>2030</v>
      </c>
      <c r="JT29" t="s">
        <v>2028</v>
      </c>
      <c r="JU29" t="s">
        <v>2030</v>
      </c>
      <c r="JV29" t="s">
        <v>2028</v>
      </c>
      <c r="JW29" t="s">
        <v>2030</v>
      </c>
      <c r="JX29" t="s">
        <v>2030</v>
      </c>
      <c r="JY29" t="s">
        <v>2030</v>
      </c>
      <c r="JZ29" t="s">
        <v>2028</v>
      </c>
      <c r="KA29" t="s">
        <v>2030</v>
      </c>
      <c r="KB29" t="s">
        <v>2030</v>
      </c>
      <c r="KC29" t="s">
        <v>2030</v>
      </c>
      <c r="KD29" t="s">
        <v>2030</v>
      </c>
      <c r="KE29" t="s">
        <v>2030</v>
      </c>
      <c r="KF29" t="s">
        <v>2030</v>
      </c>
      <c r="KG29" t="s">
        <v>2030</v>
      </c>
      <c r="KH29" t="s">
        <v>2030</v>
      </c>
      <c r="KI29" t="s">
        <v>2030</v>
      </c>
      <c r="KJ29" t="s">
        <v>2030</v>
      </c>
      <c r="KK29" t="s">
        <v>2030</v>
      </c>
      <c r="KL29" t="s">
        <v>2030</v>
      </c>
      <c r="KM29" t="s">
        <v>2030</v>
      </c>
      <c r="KN29" t="s">
        <v>2028</v>
      </c>
      <c r="KO29" t="s">
        <v>2030</v>
      </c>
      <c r="KP29" t="s">
        <v>2030</v>
      </c>
      <c r="KQ29" t="s">
        <v>2030</v>
      </c>
      <c r="KR29" t="s">
        <v>2030</v>
      </c>
      <c r="KS29" t="s">
        <v>2030</v>
      </c>
      <c r="KT29" t="s">
        <v>2030</v>
      </c>
      <c r="KU29" t="s">
        <v>2030</v>
      </c>
      <c r="KV29" t="s">
        <v>2030</v>
      </c>
      <c r="KW29" t="s">
        <v>2030</v>
      </c>
      <c r="KX29" t="s">
        <v>2030</v>
      </c>
      <c r="KY29" t="s">
        <v>2030</v>
      </c>
      <c r="KZ29" t="s">
        <v>2030</v>
      </c>
      <c r="LA29" t="s">
        <v>2030</v>
      </c>
      <c r="LB29" t="s">
        <v>2030</v>
      </c>
      <c r="LC29" t="s">
        <v>2030</v>
      </c>
      <c r="LD29" t="s">
        <v>2030</v>
      </c>
      <c r="LE29" t="s">
        <v>2030</v>
      </c>
      <c r="LF29" t="s">
        <v>2030</v>
      </c>
      <c r="LG29" t="s">
        <v>2028</v>
      </c>
      <c r="LH29" t="s">
        <v>2028</v>
      </c>
      <c r="LI29" t="s">
        <v>2028</v>
      </c>
      <c r="LJ29" t="s">
        <v>2030</v>
      </c>
      <c r="LK29" t="s">
        <v>2028</v>
      </c>
      <c r="LL29" t="s">
        <v>2028</v>
      </c>
      <c r="LM29" t="s">
        <v>2030</v>
      </c>
      <c r="LN29" t="s">
        <v>2030</v>
      </c>
      <c r="LO29" t="s">
        <v>2028</v>
      </c>
      <c r="LP29" t="s">
        <v>2028</v>
      </c>
      <c r="LQ29" t="s">
        <v>2028</v>
      </c>
      <c r="LR29" t="s">
        <v>2028</v>
      </c>
      <c r="LS29" t="s">
        <v>2030</v>
      </c>
      <c r="LT29" t="s">
        <v>2030</v>
      </c>
      <c r="LU29" t="s">
        <v>2030</v>
      </c>
      <c r="LV29" t="s">
        <v>2030</v>
      </c>
      <c r="LW29" t="s">
        <v>2028</v>
      </c>
      <c r="LX29" t="s">
        <v>2030</v>
      </c>
      <c r="LY29" t="s">
        <v>2030</v>
      </c>
      <c r="LZ29" t="s">
        <v>2030</v>
      </c>
      <c r="MA29" t="s">
        <v>2030</v>
      </c>
      <c r="MB29" t="s">
        <v>2030</v>
      </c>
      <c r="MC29" t="s">
        <v>2030</v>
      </c>
      <c r="MD29" t="s">
        <v>2028</v>
      </c>
      <c r="ME29" t="s">
        <v>2030</v>
      </c>
      <c r="MF29" t="s">
        <v>2030</v>
      </c>
      <c r="MG29" t="s">
        <v>2028</v>
      </c>
      <c r="MH29" t="s">
        <v>2028</v>
      </c>
      <c r="MI29" t="s">
        <v>2028</v>
      </c>
      <c r="MJ29" t="s">
        <v>2030</v>
      </c>
      <c r="MK29" t="s">
        <v>2030</v>
      </c>
      <c r="ML29" t="s">
        <v>2030</v>
      </c>
      <c r="MM29" t="s">
        <v>2030</v>
      </c>
      <c r="MN29" t="s">
        <v>2030</v>
      </c>
      <c r="MO29" t="s">
        <v>2030</v>
      </c>
      <c r="MP29" t="s">
        <v>2030</v>
      </c>
      <c r="MQ29" t="s">
        <v>2030</v>
      </c>
      <c r="MR29" t="s">
        <v>2030</v>
      </c>
      <c r="MS29" t="s">
        <v>2030</v>
      </c>
      <c r="MT29" t="s">
        <v>2030</v>
      </c>
      <c r="MU29" t="s">
        <v>2030</v>
      </c>
      <c r="MV29" t="s">
        <v>2030</v>
      </c>
      <c r="MW29" t="s">
        <v>2030</v>
      </c>
      <c r="MX29" t="s">
        <v>2028</v>
      </c>
      <c r="MY29" t="s">
        <v>2030</v>
      </c>
      <c r="MZ29" t="s">
        <v>2028</v>
      </c>
      <c r="NA29" t="s">
        <v>2030</v>
      </c>
      <c r="NB29" t="s">
        <v>2030</v>
      </c>
      <c r="NC29" t="s">
        <v>2030</v>
      </c>
      <c r="ND29" t="s">
        <v>2030</v>
      </c>
      <c r="NG29" t="s">
        <v>2030</v>
      </c>
      <c r="NH29" t="s">
        <v>2030</v>
      </c>
      <c r="NI29" t="s">
        <v>2030</v>
      </c>
      <c r="NJ29" t="s">
        <v>2030</v>
      </c>
      <c r="NK29" t="s">
        <v>2030</v>
      </c>
      <c r="NL29" t="s">
        <v>2030</v>
      </c>
      <c r="NM29" t="s">
        <v>2030</v>
      </c>
      <c r="NN29" t="s">
        <v>2028</v>
      </c>
      <c r="NR29" t="s">
        <v>1485</v>
      </c>
      <c r="NS29" t="s">
        <v>2031</v>
      </c>
      <c r="NX29" t="s">
        <v>2032</v>
      </c>
      <c r="NY29" t="s">
        <v>1870</v>
      </c>
    </row>
    <row r="30" spans="1:389" ht="15" customHeight="1" x14ac:dyDescent="0.25">
      <c r="A30" t="s">
        <v>1958</v>
      </c>
      <c r="B30" t="s">
        <v>2033</v>
      </c>
      <c r="C30" t="s">
        <v>1850</v>
      </c>
      <c r="D30" t="s">
        <v>1486</v>
      </c>
      <c r="G30" t="s">
        <v>1958</v>
      </c>
      <c r="H30" t="s">
        <v>2034</v>
      </c>
      <c r="I30" t="s">
        <v>2034</v>
      </c>
      <c r="J30" t="s">
        <v>2034</v>
      </c>
      <c r="K30" t="s">
        <v>1958</v>
      </c>
      <c r="L30" t="s">
        <v>1958</v>
      </c>
      <c r="M30" t="s">
        <v>1958</v>
      </c>
      <c r="N30" t="s">
        <v>1958</v>
      </c>
      <c r="O30" t="s">
        <v>2034</v>
      </c>
      <c r="P30" t="s">
        <v>1958</v>
      </c>
      <c r="Q30" t="s">
        <v>2034</v>
      </c>
      <c r="R30" t="s">
        <v>1958</v>
      </c>
      <c r="S30" t="s">
        <v>1958</v>
      </c>
      <c r="T30" t="s">
        <v>2034</v>
      </c>
      <c r="U30" t="s">
        <v>2034</v>
      </c>
      <c r="V30" t="s">
        <v>2034</v>
      </c>
      <c r="W30" t="s">
        <v>2034</v>
      </c>
      <c r="X30" t="s">
        <v>2034</v>
      </c>
      <c r="Y30" t="s">
        <v>2034</v>
      </c>
      <c r="AA30" t="s">
        <v>2034</v>
      </c>
      <c r="AB30" t="s">
        <v>2034</v>
      </c>
      <c r="AC30" t="s">
        <v>2034</v>
      </c>
      <c r="AD30" t="s">
        <v>2034</v>
      </c>
      <c r="AE30" t="s">
        <v>2034</v>
      </c>
      <c r="AF30" t="s">
        <v>2034</v>
      </c>
      <c r="AG30" t="s">
        <v>2034</v>
      </c>
      <c r="AH30" t="s">
        <v>1958</v>
      </c>
      <c r="AI30" t="s">
        <v>2034</v>
      </c>
      <c r="AJ30" t="s">
        <v>2034</v>
      </c>
      <c r="AK30" t="s">
        <v>2034</v>
      </c>
      <c r="AL30" t="s">
        <v>2034</v>
      </c>
      <c r="AM30" t="s">
        <v>1958</v>
      </c>
      <c r="AN30" t="s">
        <v>2034</v>
      </c>
      <c r="AO30" t="s">
        <v>1958</v>
      </c>
      <c r="AP30" t="s">
        <v>1958</v>
      </c>
      <c r="AQ30" t="s">
        <v>1958</v>
      </c>
      <c r="AR30" t="s">
        <v>1958</v>
      </c>
      <c r="AS30" t="s">
        <v>2034</v>
      </c>
      <c r="AT30" t="s">
        <v>2034</v>
      </c>
      <c r="AU30" t="s">
        <v>2034</v>
      </c>
      <c r="AV30" t="s">
        <v>2034</v>
      </c>
      <c r="AW30" t="s">
        <v>2034</v>
      </c>
      <c r="AX30" t="s">
        <v>2034</v>
      </c>
      <c r="AY30" t="s">
        <v>2034</v>
      </c>
      <c r="AZ30" t="s">
        <v>2034</v>
      </c>
      <c r="BA30" t="s">
        <v>2034</v>
      </c>
      <c r="BB30" t="s">
        <v>2034</v>
      </c>
      <c r="BC30" t="s">
        <v>2034</v>
      </c>
      <c r="BD30" t="s">
        <v>2034</v>
      </c>
      <c r="BE30" t="s">
        <v>2034</v>
      </c>
      <c r="BF30" t="s">
        <v>2034</v>
      </c>
      <c r="BG30" t="s">
        <v>2034</v>
      </c>
      <c r="BH30" t="s">
        <v>2034</v>
      </c>
      <c r="BI30" t="s">
        <v>2034</v>
      </c>
      <c r="BJ30" t="s">
        <v>2034</v>
      </c>
      <c r="BK30" t="s">
        <v>2034</v>
      </c>
      <c r="BL30" t="s">
        <v>2034</v>
      </c>
      <c r="BM30" t="s">
        <v>2034</v>
      </c>
      <c r="BN30" t="s">
        <v>2034</v>
      </c>
      <c r="BO30" t="s">
        <v>2034</v>
      </c>
      <c r="BP30" t="s">
        <v>2034</v>
      </c>
      <c r="BQ30" t="s">
        <v>2034</v>
      </c>
      <c r="BR30" t="s">
        <v>2034</v>
      </c>
      <c r="BS30" t="s">
        <v>2034</v>
      </c>
      <c r="BT30" t="s">
        <v>2034</v>
      </c>
      <c r="BU30" t="s">
        <v>2034</v>
      </c>
      <c r="BV30" t="s">
        <v>2034</v>
      </c>
      <c r="BW30" t="s">
        <v>2034</v>
      </c>
      <c r="BX30" t="s">
        <v>2034</v>
      </c>
      <c r="BY30" t="s">
        <v>2034</v>
      </c>
      <c r="BZ30" t="s">
        <v>1958</v>
      </c>
      <c r="CA30" t="s">
        <v>1958</v>
      </c>
      <c r="CB30" t="s">
        <v>2034</v>
      </c>
      <c r="CC30" t="s">
        <v>2034</v>
      </c>
      <c r="CD30" t="s">
        <v>2034</v>
      </c>
      <c r="CE30" t="s">
        <v>1958</v>
      </c>
      <c r="CF30" t="s">
        <v>2034</v>
      </c>
      <c r="CG30" t="s">
        <v>2034</v>
      </c>
      <c r="CH30" t="s">
        <v>2034</v>
      </c>
      <c r="CI30" t="s">
        <v>2034</v>
      </c>
      <c r="CJ30" t="s">
        <v>2034</v>
      </c>
      <c r="CK30" t="s">
        <v>1958</v>
      </c>
      <c r="CL30" t="s">
        <v>1958</v>
      </c>
      <c r="CM30" t="s">
        <v>1958</v>
      </c>
      <c r="CN30" t="s">
        <v>1958</v>
      </c>
      <c r="CO30" t="s">
        <v>1958</v>
      </c>
      <c r="CP30" t="s">
        <v>1958</v>
      </c>
      <c r="CQ30" t="s">
        <v>1958</v>
      </c>
      <c r="CR30" t="s">
        <v>1958</v>
      </c>
      <c r="CS30" t="s">
        <v>2034</v>
      </c>
      <c r="CT30" t="s">
        <v>2034</v>
      </c>
      <c r="CU30" t="s">
        <v>1958</v>
      </c>
      <c r="CV30" t="s">
        <v>2034</v>
      </c>
      <c r="CW30" t="s">
        <v>2034</v>
      </c>
      <c r="CX30" t="s">
        <v>2034</v>
      </c>
      <c r="CY30" t="s">
        <v>2034</v>
      </c>
      <c r="CZ30" t="s">
        <v>1958</v>
      </c>
      <c r="DA30" t="s">
        <v>1958</v>
      </c>
      <c r="DB30" t="s">
        <v>1958</v>
      </c>
      <c r="DC30" t="s">
        <v>1958</v>
      </c>
      <c r="DD30" t="s">
        <v>2034</v>
      </c>
      <c r="DE30" t="s">
        <v>2034</v>
      </c>
      <c r="DF30" t="s">
        <v>2034</v>
      </c>
      <c r="DG30" t="s">
        <v>2034</v>
      </c>
      <c r="DH30" t="s">
        <v>2034</v>
      </c>
      <c r="DI30" t="s">
        <v>2034</v>
      </c>
      <c r="DJ30" t="s">
        <v>1958</v>
      </c>
      <c r="DK30" t="s">
        <v>1958</v>
      </c>
      <c r="DL30" t="s">
        <v>2034</v>
      </c>
      <c r="DM30" t="s">
        <v>2034</v>
      </c>
      <c r="DN30" t="s">
        <v>2034</v>
      </c>
      <c r="DO30" t="s">
        <v>1958</v>
      </c>
      <c r="DP30" t="s">
        <v>1958</v>
      </c>
      <c r="DQ30" t="s">
        <v>1958</v>
      </c>
      <c r="DR30" t="s">
        <v>1958</v>
      </c>
      <c r="DS30" t="s">
        <v>2034</v>
      </c>
      <c r="DT30" t="s">
        <v>1958</v>
      </c>
      <c r="DU30" t="s">
        <v>1958</v>
      </c>
      <c r="DV30" t="s">
        <v>1958</v>
      </c>
      <c r="DW30" t="s">
        <v>2034</v>
      </c>
      <c r="DX30" t="s">
        <v>2034</v>
      </c>
      <c r="DY30" t="s">
        <v>2034</v>
      </c>
      <c r="DZ30" t="s">
        <v>2034</v>
      </c>
      <c r="EA30" t="s">
        <v>1958</v>
      </c>
      <c r="EB30" t="s">
        <v>1958</v>
      </c>
      <c r="EC30" t="s">
        <v>1958</v>
      </c>
      <c r="ED30" t="s">
        <v>2034</v>
      </c>
      <c r="EE30" t="s">
        <v>2034</v>
      </c>
      <c r="EF30" t="s">
        <v>2034</v>
      </c>
      <c r="EG30" t="s">
        <v>1958</v>
      </c>
      <c r="EH30" t="s">
        <v>1958</v>
      </c>
      <c r="EI30" t="s">
        <v>1958</v>
      </c>
      <c r="EJ30" t="s">
        <v>1958</v>
      </c>
      <c r="EK30" t="s">
        <v>1958</v>
      </c>
      <c r="EL30" t="s">
        <v>1958</v>
      </c>
      <c r="EM30" t="s">
        <v>2034</v>
      </c>
      <c r="EN30" t="s">
        <v>2034</v>
      </c>
      <c r="EO30" t="s">
        <v>2034</v>
      </c>
      <c r="ET30" t="s">
        <v>2034</v>
      </c>
      <c r="EU30" t="s">
        <v>2034</v>
      </c>
      <c r="EV30" t="s">
        <v>2034</v>
      </c>
      <c r="EW30" t="s">
        <v>2034</v>
      </c>
      <c r="EX30" t="s">
        <v>2035</v>
      </c>
      <c r="EY30" t="s">
        <v>1958</v>
      </c>
      <c r="EZ30" t="s">
        <v>2034</v>
      </c>
      <c r="FA30" t="s">
        <v>1958</v>
      </c>
      <c r="FB30" t="s">
        <v>1958</v>
      </c>
      <c r="FC30" t="s">
        <v>1958</v>
      </c>
      <c r="FD30" t="s">
        <v>2034</v>
      </c>
      <c r="FE30" t="s">
        <v>2034</v>
      </c>
      <c r="FF30" t="s">
        <v>1958</v>
      </c>
      <c r="FG30" t="s">
        <v>1958</v>
      </c>
      <c r="FH30" t="s">
        <v>1958</v>
      </c>
      <c r="FI30" t="s">
        <v>1958</v>
      </c>
      <c r="FJ30" t="s">
        <v>2035</v>
      </c>
      <c r="FK30" t="s">
        <v>2034</v>
      </c>
      <c r="FL30" t="s">
        <v>2034</v>
      </c>
      <c r="FM30" t="s">
        <v>2034</v>
      </c>
      <c r="FN30" t="s">
        <v>2034</v>
      </c>
      <c r="FO30" t="s">
        <v>2034</v>
      </c>
      <c r="FP30" t="s">
        <v>2034</v>
      </c>
      <c r="FQ30" t="s">
        <v>2034</v>
      </c>
      <c r="FR30" t="s">
        <v>2034</v>
      </c>
      <c r="FS30" t="s">
        <v>2034</v>
      </c>
      <c r="FT30" t="s">
        <v>2034</v>
      </c>
      <c r="FU30" t="s">
        <v>2034</v>
      </c>
      <c r="FV30" t="s">
        <v>2034</v>
      </c>
      <c r="FW30" t="s">
        <v>2034</v>
      </c>
      <c r="FX30" t="s">
        <v>2034</v>
      </c>
      <c r="FY30" t="s">
        <v>1958</v>
      </c>
      <c r="FZ30" t="s">
        <v>1958</v>
      </c>
      <c r="GA30" t="s">
        <v>1958</v>
      </c>
      <c r="GB30" t="s">
        <v>2034</v>
      </c>
      <c r="GC30" t="s">
        <v>2034</v>
      </c>
      <c r="GD30" t="s">
        <v>2034</v>
      </c>
      <c r="GE30" t="s">
        <v>2034</v>
      </c>
      <c r="GF30" t="s">
        <v>2034</v>
      </c>
      <c r="GG30" t="s">
        <v>2034</v>
      </c>
      <c r="GH30" t="s">
        <v>2034</v>
      </c>
      <c r="GI30" t="s">
        <v>2034</v>
      </c>
      <c r="GJ30" t="s">
        <v>2034</v>
      </c>
      <c r="GK30" t="s">
        <v>2034</v>
      </c>
      <c r="GL30" t="s">
        <v>2034</v>
      </c>
      <c r="GM30" t="s">
        <v>2034</v>
      </c>
      <c r="GN30" t="s">
        <v>2034</v>
      </c>
      <c r="GO30" t="s">
        <v>2034</v>
      </c>
      <c r="GP30" t="s">
        <v>2034</v>
      </c>
      <c r="GQ30" t="s">
        <v>2034</v>
      </c>
      <c r="GR30" t="s">
        <v>2034</v>
      </c>
      <c r="GS30" t="s">
        <v>2034</v>
      </c>
      <c r="GT30" t="s">
        <v>2034</v>
      </c>
      <c r="GU30" t="s">
        <v>2034</v>
      </c>
      <c r="GV30" t="s">
        <v>2034</v>
      </c>
      <c r="GW30" t="s">
        <v>2034</v>
      </c>
      <c r="GX30" t="s">
        <v>2034</v>
      </c>
      <c r="GY30" t="s">
        <v>2034</v>
      </c>
      <c r="GZ30" t="s">
        <v>2034</v>
      </c>
      <c r="HA30" t="s">
        <v>2034</v>
      </c>
      <c r="HB30" t="s">
        <v>2034</v>
      </c>
      <c r="HC30" t="s">
        <v>2035</v>
      </c>
      <c r="HD30" t="s">
        <v>1958</v>
      </c>
      <c r="HE30" t="s">
        <v>2035</v>
      </c>
      <c r="HF30" t="s">
        <v>1958</v>
      </c>
      <c r="HG30" t="s">
        <v>2034</v>
      </c>
      <c r="HH30" t="s">
        <v>2035</v>
      </c>
      <c r="HI30" t="s">
        <v>2035</v>
      </c>
      <c r="HJ30" t="s">
        <v>2034</v>
      </c>
      <c r="HK30" t="s">
        <v>2034</v>
      </c>
      <c r="HL30" t="s">
        <v>2034</v>
      </c>
      <c r="HM30" t="s">
        <v>2035</v>
      </c>
      <c r="HN30" t="s">
        <v>2034</v>
      </c>
      <c r="HO30" t="s">
        <v>1958</v>
      </c>
      <c r="HP30" t="s">
        <v>2035</v>
      </c>
      <c r="HQ30" t="s">
        <v>1958</v>
      </c>
      <c r="HR30" t="s">
        <v>1958</v>
      </c>
      <c r="HS30" t="s">
        <v>1958</v>
      </c>
      <c r="HT30" t="s">
        <v>2034</v>
      </c>
      <c r="HU30" t="s">
        <v>2034</v>
      </c>
      <c r="HV30" t="s">
        <v>2034</v>
      </c>
      <c r="HW30" t="s">
        <v>2034</v>
      </c>
      <c r="HX30" t="s">
        <v>2034</v>
      </c>
      <c r="HY30" t="s">
        <v>2034</v>
      </c>
      <c r="HZ30" t="s">
        <v>2035</v>
      </c>
      <c r="IA30" t="s">
        <v>2034</v>
      </c>
      <c r="IB30" t="s">
        <v>2034</v>
      </c>
      <c r="IC30" t="s">
        <v>2035</v>
      </c>
      <c r="ID30" t="s">
        <v>2034</v>
      </c>
      <c r="IE30" t="s">
        <v>2034</v>
      </c>
      <c r="IF30" t="s">
        <v>1958</v>
      </c>
      <c r="IG30" t="s">
        <v>1958</v>
      </c>
      <c r="IH30" t="s">
        <v>1958</v>
      </c>
      <c r="II30" t="s">
        <v>1958</v>
      </c>
      <c r="IJ30" t="s">
        <v>1958</v>
      </c>
      <c r="IK30" t="s">
        <v>2034</v>
      </c>
      <c r="IL30" t="s">
        <v>2035</v>
      </c>
      <c r="IM30" t="s">
        <v>2034</v>
      </c>
      <c r="IN30" t="s">
        <v>2034</v>
      </c>
      <c r="IO30" t="s">
        <v>1958</v>
      </c>
      <c r="IP30" t="s">
        <v>2034</v>
      </c>
      <c r="IQ30" t="s">
        <v>2034</v>
      </c>
      <c r="IR30" t="s">
        <v>2035</v>
      </c>
      <c r="IS30" t="s">
        <v>2034</v>
      </c>
      <c r="IT30" t="s">
        <v>2034</v>
      </c>
      <c r="IU30" t="s">
        <v>2034</v>
      </c>
      <c r="IV30" t="s">
        <v>2034</v>
      </c>
      <c r="IW30" t="s">
        <v>2034</v>
      </c>
      <c r="IX30" t="s">
        <v>2034</v>
      </c>
      <c r="IY30" t="s">
        <v>2034</v>
      </c>
      <c r="IZ30" t="s">
        <v>2034</v>
      </c>
      <c r="JA30" t="s">
        <v>2034</v>
      </c>
      <c r="JB30" t="s">
        <v>1958</v>
      </c>
      <c r="JC30" t="s">
        <v>2034</v>
      </c>
      <c r="JD30" t="s">
        <v>2034</v>
      </c>
      <c r="JE30" t="s">
        <v>2034</v>
      </c>
      <c r="JF30" t="s">
        <v>2034</v>
      </c>
      <c r="JG30" t="s">
        <v>2034</v>
      </c>
      <c r="JH30" t="s">
        <v>2034</v>
      </c>
      <c r="JI30" t="s">
        <v>2034</v>
      </c>
      <c r="JJ30" t="s">
        <v>2034</v>
      </c>
      <c r="JK30" t="s">
        <v>2035</v>
      </c>
      <c r="JL30" t="s">
        <v>1958</v>
      </c>
      <c r="JM30" t="s">
        <v>2034</v>
      </c>
      <c r="JN30" t="s">
        <v>2034</v>
      </c>
      <c r="JO30" t="s">
        <v>2035</v>
      </c>
      <c r="JP30" t="s">
        <v>2035</v>
      </c>
      <c r="JQ30" t="s">
        <v>2034</v>
      </c>
      <c r="JR30" t="s">
        <v>2034</v>
      </c>
      <c r="JS30" t="s">
        <v>2035</v>
      </c>
      <c r="JT30" t="s">
        <v>1958</v>
      </c>
      <c r="JU30" t="s">
        <v>2035</v>
      </c>
      <c r="JV30" t="s">
        <v>1958</v>
      </c>
      <c r="JW30" t="s">
        <v>2034</v>
      </c>
      <c r="JX30" t="s">
        <v>2034</v>
      </c>
      <c r="JY30" t="s">
        <v>2034</v>
      </c>
      <c r="JZ30" t="s">
        <v>1958</v>
      </c>
      <c r="KA30" t="s">
        <v>2034</v>
      </c>
      <c r="KB30" t="s">
        <v>2034</v>
      </c>
      <c r="KC30" t="s">
        <v>2034</v>
      </c>
      <c r="KD30" t="s">
        <v>2034</v>
      </c>
      <c r="KE30" t="s">
        <v>2034</v>
      </c>
      <c r="KF30" t="s">
        <v>2034</v>
      </c>
      <c r="KG30" t="s">
        <v>2034</v>
      </c>
      <c r="KH30" t="s">
        <v>2034</v>
      </c>
      <c r="KI30" t="s">
        <v>2034</v>
      </c>
      <c r="KJ30" t="s">
        <v>2035</v>
      </c>
      <c r="KK30" t="s">
        <v>2034</v>
      </c>
      <c r="KL30" t="s">
        <v>2034</v>
      </c>
      <c r="KM30" t="s">
        <v>2034</v>
      </c>
      <c r="KN30" t="s">
        <v>1958</v>
      </c>
      <c r="KO30" t="s">
        <v>2034</v>
      </c>
      <c r="KP30" t="s">
        <v>2035</v>
      </c>
      <c r="KQ30" t="s">
        <v>2035</v>
      </c>
      <c r="KR30" t="s">
        <v>2034</v>
      </c>
      <c r="KS30" t="s">
        <v>2034</v>
      </c>
      <c r="KT30" t="s">
        <v>2034</v>
      </c>
      <c r="KU30" t="s">
        <v>2034</v>
      </c>
      <c r="KV30" t="s">
        <v>2034</v>
      </c>
      <c r="KW30" t="s">
        <v>2034</v>
      </c>
      <c r="KX30" t="s">
        <v>2034</v>
      </c>
      <c r="KY30" t="s">
        <v>2034</v>
      </c>
      <c r="KZ30" t="s">
        <v>2034</v>
      </c>
      <c r="LA30" t="s">
        <v>2034</v>
      </c>
      <c r="LB30" t="s">
        <v>2034</v>
      </c>
      <c r="LC30" t="s">
        <v>2034</v>
      </c>
      <c r="LD30" t="s">
        <v>2034</v>
      </c>
      <c r="LE30" t="s">
        <v>2034</v>
      </c>
      <c r="LF30" t="s">
        <v>2034</v>
      </c>
      <c r="LG30" t="s">
        <v>1958</v>
      </c>
      <c r="LH30" t="s">
        <v>1958</v>
      </c>
      <c r="LI30" t="s">
        <v>1958</v>
      </c>
      <c r="LJ30" t="s">
        <v>2034</v>
      </c>
      <c r="LK30" t="s">
        <v>1958</v>
      </c>
      <c r="LL30" t="s">
        <v>1958</v>
      </c>
      <c r="LM30" t="s">
        <v>2034</v>
      </c>
      <c r="LN30" t="s">
        <v>2034</v>
      </c>
      <c r="LO30" t="s">
        <v>1958</v>
      </c>
      <c r="LP30" t="s">
        <v>1958</v>
      </c>
      <c r="LQ30" t="s">
        <v>1958</v>
      </c>
      <c r="LR30" t="s">
        <v>1958</v>
      </c>
      <c r="LS30" t="s">
        <v>2035</v>
      </c>
      <c r="LT30" t="s">
        <v>2035</v>
      </c>
      <c r="LU30" t="s">
        <v>2034</v>
      </c>
      <c r="LV30" t="s">
        <v>2034</v>
      </c>
      <c r="LW30" t="s">
        <v>1958</v>
      </c>
      <c r="LX30" t="s">
        <v>2034</v>
      </c>
      <c r="LY30" t="s">
        <v>2034</v>
      </c>
      <c r="LZ30" t="s">
        <v>2034</v>
      </c>
      <c r="MA30" t="s">
        <v>2034</v>
      </c>
      <c r="MB30" t="s">
        <v>2034</v>
      </c>
      <c r="MC30" t="s">
        <v>2034</v>
      </c>
      <c r="MD30" t="s">
        <v>1958</v>
      </c>
      <c r="ME30" t="s">
        <v>2034</v>
      </c>
      <c r="MF30" t="s">
        <v>2034</v>
      </c>
      <c r="MG30" t="s">
        <v>1958</v>
      </c>
      <c r="MH30" t="s">
        <v>1958</v>
      </c>
      <c r="MI30" t="s">
        <v>1958</v>
      </c>
      <c r="MJ30" t="s">
        <v>2034</v>
      </c>
      <c r="MK30" t="s">
        <v>2034</v>
      </c>
      <c r="ML30" t="s">
        <v>2034</v>
      </c>
      <c r="MM30" t="s">
        <v>2034</v>
      </c>
      <c r="MN30" t="s">
        <v>2034</v>
      </c>
      <c r="MO30" t="s">
        <v>2034</v>
      </c>
      <c r="MP30" t="s">
        <v>2034</v>
      </c>
      <c r="MQ30" t="s">
        <v>2034</v>
      </c>
      <c r="MR30" t="s">
        <v>2034</v>
      </c>
      <c r="MS30" t="s">
        <v>2034</v>
      </c>
      <c r="MT30" t="s">
        <v>2034</v>
      </c>
      <c r="MU30" t="s">
        <v>2034</v>
      </c>
      <c r="MV30" t="s">
        <v>2034</v>
      </c>
      <c r="MW30" t="s">
        <v>2034</v>
      </c>
      <c r="MX30" t="s">
        <v>1958</v>
      </c>
      <c r="MY30" t="s">
        <v>2034</v>
      </c>
      <c r="MZ30" t="s">
        <v>1958</v>
      </c>
      <c r="NA30" t="s">
        <v>2034</v>
      </c>
      <c r="NB30" t="s">
        <v>2034</v>
      </c>
      <c r="NC30" t="s">
        <v>2034</v>
      </c>
      <c r="ND30" t="s">
        <v>2034</v>
      </c>
      <c r="NG30" t="s">
        <v>2034</v>
      </c>
      <c r="NH30" t="s">
        <v>2034</v>
      </c>
      <c r="NI30" t="s">
        <v>2034</v>
      </c>
      <c r="NJ30" t="s">
        <v>2034</v>
      </c>
      <c r="NK30" t="s">
        <v>2034</v>
      </c>
      <c r="NL30" t="s">
        <v>2034</v>
      </c>
      <c r="NM30" t="s">
        <v>2034</v>
      </c>
      <c r="NN30" t="s">
        <v>1958</v>
      </c>
      <c r="NR30" t="s">
        <v>1486</v>
      </c>
      <c r="NS30" t="s">
        <v>2036</v>
      </c>
      <c r="NX30" t="s">
        <v>2037</v>
      </c>
      <c r="NY30" t="s">
        <v>1878</v>
      </c>
    </row>
    <row r="31" spans="1:389" ht="15" customHeight="1" x14ac:dyDescent="0.25">
      <c r="A31" t="s">
        <v>2038</v>
      </c>
      <c r="B31" t="s">
        <v>2039</v>
      </c>
      <c r="C31" t="s">
        <v>1841</v>
      </c>
      <c r="D31" t="s">
        <v>1487</v>
      </c>
      <c r="G31" t="s">
        <v>2038</v>
      </c>
      <c r="H31" t="s">
        <v>1846</v>
      </c>
      <c r="I31" t="s">
        <v>1846</v>
      </c>
      <c r="J31" t="s">
        <v>1846</v>
      </c>
      <c r="K31" t="s">
        <v>2038</v>
      </c>
      <c r="L31" t="s">
        <v>2038</v>
      </c>
      <c r="M31" t="s">
        <v>2038</v>
      </c>
      <c r="N31" t="s">
        <v>2038</v>
      </c>
      <c r="O31" t="s">
        <v>1846</v>
      </c>
      <c r="P31" t="s">
        <v>2038</v>
      </c>
      <c r="Q31" t="s">
        <v>1846</v>
      </c>
      <c r="R31" t="s">
        <v>2038</v>
      </c>
      <c r="S31" t="s">
        <v>2038</v>
      </c>
      <c r="T31" t="s">
        <v>1846</v>
      </c>
      <c r="U31" t="s">
        <v>1846</v>
      </c>
      <c r="V31" t="s">
        <v>1846</v>
      </c>
      <c r="W31" t="s">
        <v>1846</v>
      </c>
      <c r="X31" t="s">
        <v>1846</v>
      </c>
      <c r="Y31" t="s">
        <v>1846</v>
      </c>
      <c r="AA31" t="s">
        <v>1846</v>
      </c>
      <c r="AB31" t="s">
        <v>1846</v>
      </c>
      <c r="AC31" t="s">
        <v>1846</v>
      </c>
      <c r="AD31" t="s">
        <v>1846</v>
      </c>
      <c r="AE31" t="s">
        <v>1846</v>
      </c>
      <c r="AF31" t="s">
        <v>1846</v>
      </c>
      <c r="AG31" t="s">
        <v>1846</v>
      </c>
      <c r="AH31" t="s">
        <v>2038</v>
      </c>
      <c r="AI31" t="s">
        <v>1846</v>
      </c>
      <c r="AJ31" t="s">
        <v>1846</v>
      </c>
      <c r="AK31" t="s">
        <v>1846</v>
      </c>
      <c r="AL31" t="s">
        <v>1846</v>
      </c>
      <c r="AM31" t="s">
        <v>2038</v>
      </c>
      <c r="AN31" t="s">
        <v>1846</v>
      </c>
      <c r="AO31" t="s">
        <v>2038</v>
      </c>
      <c r="AP31" t="s">
        <v>2038</v>
      </c>
      <c r="AQ31" t="s">
        <v>2038</v>
      </c>
      <c r="AR31" t="s">
        <v>2038</v>
      </c>
      <c r="AS31" t="s">
        <v>1846</v>
      </c>
      <c r="AT31" t="s">
        <v>1846</v>
      </c>
      <c r="AU31" t="s">
        <v>1846</v>
      </c>
      <c r="AV31" t="s">
        <v>1846</v>
      </c>
      <c r="AW31" t="s">
        <v>1846</v>
      </c>
      <c r="AX31" t="s">
        <v>1846</v>
      </c>
      <c r="AY31" t="s">
        <v>1846</v>
      </c>
      <c r="AZ31" t="s">
        <v>1846</v>
      </c>
      <c r="BA31" t="s">
        <v>1846</v>
      </c>
      <c r="BB31" t="s">
        <v>1846</v>
      </c>
      <c r="BC31" t="s">
        <v>1846</v>
      </c>
      <c r="BD31" t="s">
        <v>1846</v>
      </c>
      <c r="BE31" t="s">
        <v>1846</v>
      </c>
      <c r="BF31" t="s">
        <v>1846</v>
      </c>
      <c r="BG31" t="s">
        <v>1846</v>
      </c>
      <c r="BH31" t="s">
        <v>1846</v>
      </c>
      <c r="BI31" t="s">
        <v>1846</v>
      </c>
      <c r="BJ31" t="s">
        <v>1846</v>
      </c>
      <c r="BK31" t="s">
        <v>1846</v>
      </c>
      <c r="BL31" t="s">
        <v>1846</v>
      </c>
      <c r="BM31" t="s">
        <v>1846</v>
      </c>
      <c r="BN31" t="s">
        <v>1846</v>
      </c>
      <c r="BO31" t="s">
        <v>1846</v>
      </c>
      <c r="BP31" t="s">
        <v>1846</v>
      </c>
      <c r="BQ31" t="s">
        <v>1846</v>
      </c>
      <c r="BR31" t="s">
        <v>1846</v>
      </c>
      <c r="BS31" t="s">
        <v>1846</v>
      </c>
      <c r="BT31" t="s">
        <v>1846</v>
      </c>
      <c r="BU31" t="s">
        <v>1846</v>
      </c>
      <c r="BV31" t="s">
        <v>1846</v>
      </c>
      <c r="BW31" t="s">
        <v>1846</v>
      </c>
      <c r="BX31" t="s">
        <v>1846</v>
      </c>
      <c r="BY31" t="s">
        <v>1846</v>
      </c>
      <c r="BZ31" t="s">
        <v>2038</v>
      </c>
      <c r="CA31" t="s">
        <v>2038</v>
      </c>
      <c r="CB31" t="s">
        <v>1846</v>
      </c>
      <c r="CC31" t="s">
        <v>1846</v>
      </c>
      <c r="CD31" t="s">
        <v>1846</v>
      </c>
      <c r="CE31" t="s">
        <v>2038</v>
      </c>
      <c r="CF31" t="s">
        <v>1846</v>
      </c>
      <c r="CG31" t="s">
        <v>1846</v>
      </c>
      <c r="CH31" t="s">
        <v>1846</v>
      </c>
      <c r="CI31" t="s">
        <v>1846</v>
      </c>
      <c r="CJ31" t="s">
        <v>1846</v>
      </c>
      <c r="CK31" t="s">
        <v>2038</v>
      </c>
      <c r="CL31" t="s">
        <v>2038</v>
      </c>
      <c r="CM31" t="s">
        <v>2038</v>
      </c>
      <c r="CN31" t="s">
        <v>2038</v>
      </c>
      <c r="CO31" t="s">
        <v>2038</v>
      </c>
      <c r="CP31" t="s">
        <v>2038</v>
      </c>
      <c r="CQ31" t="s">
        <v>2038</v>
      </c>
      <c r="CR31" t="s">
        <v>2038</v>
      </c>
      <c r="CS31" t="s">
        <v>1846</v>
      </c>
      <c r="CT31" t="s">
        <v>1846</v>
      </c>
      <c r="CU31" t="s">
        <v>2038</v>
      </c>
      <c r="CV31" t="s">
        <v>1846</v>
      </c>
      <c r="CW31" t="s">
        <v>1846</v>
      </c>
      <c r="CX31" t="s">
        <v>1846</v>
      </c>
      <c r="CY31" t="s">
        <v>1846</v>
      </c>
      <c r="CZ31" t="s">
        <v>2038</v>
      </c>
      <c r="DA31" t="s">
        <v>2038</v>
      </c>
      <c r="DB31" t="s">
        <v>2038</v>
      </c>
      <c r="DC31" t="s">
        <v>2038</v>
      </c>
      <c r="DD31" t="s">
        <v>1846</v>
      </c>
      <c r="DE31" t="s">
        <v>1846</v>
      </c>
      <c r="DF31" t="s">
        <v>1846</v>
      </c>
      <c r="DG31" t="s">
        <v>1846</v>
      </c>
      <c r="DH31" t="s">
        <v>1846</v>
      </c>
      <c r="DI31" t="s">
        <v>1846</v>
      </c>
      <c r="DJ31" t="s">
        <v>2038</v>
      </c>
      <c r="DK31" t="s">
        <v>2038</v>
      </c>
      <c r="DL31" t="s">
        <v>1846</v>
      </c>
      <c r="DM31" t="s">
        <v>1846</v>
      </c>
      <c r="DN31" t="s">
        <v>1846</v>
      </c>
      <c r="DO31" t="s">
        <v>2038</v>
      </c>
      <c r="DP31" t="s">
        <v>2038</v>
      </c>
      <c r="DQ31" t="s">
        <v>2038</v>
      </c>
      <c r="DR31" t="s">
        <v>2038</v>
      </c>
      <c r="DS31" t="s">
        <v>1846</v>
      </c>
      <c r="DT31" t="s">
        <v>2038</v>
      </c>
      <c r="DU31" t="s">
        <v>2038</v>
      </c>
      <c r="DV31" t="s">
        <v>2038</v>
      </c>
      <c r="DW31" t="s">
        <v>1846</v>
      </c>
      <c r="DX31" t="s">
        <v>1846</v>
      </c>
      <c r="DY31" t="s">
        <v>1846</v>
      </c>
      <c r="DZ31" t="s">
        <v>1846</v>
      </c>
      <c r="EA31" t="s">
        <v>2038</v>
      </c>
      <c r="EB31" t="s">
        <v>2038</v>
      </c>
      <c r="EC31" t="s">
        <v>2038</v>
      </c>
      <c r="ED31" t="s">
        <v>1846</v>
      </c>
      <c r="EE31" t="s">
        <v>1846</v>
      </c>
      <c r="EF31" t="s">
        <v>1846</v>
      </c>
      <c r="EG31" t="s">
        <v>2038</v>
      </c>
      <c r="EH31" t="s">
        <v>2038</v>
      </c>
      <c r="EI31" t="s">
        <v>2038</v>
      </c>
      <c r="EJ31" t="s">
        <v>2038</v>
      </c>
      <c r="EK31" t="s">
        <v>2038</v>
      </c>
      <c r="EL31" t="s">
        <v>2038</v>
      </c>
      <c r="EM31" t="s">
        <v>1846</v>
      </c>
      <c r="EN31" t="s">
        <v>1846</v>
      </c>
      <c r="EO31" t="s">
        <v>1846</v>
      </c>
      <c r="ET31" t="s">
        <v>1846</v>
      </c>
      <c r="EU31" t="s">
        <v>1846</v>
      </c>
      <c r="EV31" t="s">
        <v>1846</v>
      </c>
      <c r="EW31" t="s">
        <v>1846</v>
      </c>
      <c r="EX31" t="s">
        <v>2034</v>
      </c>
      <c r="EY31" t="s">
        <v>2038</v>
      </c>
      <c r="EZ31" t="s">
        <v>1846</v>
      </c>
      <c r="FA31" t="s">
        <v>2038</v>
      </c>
      <c r="FB31" t="s">
        <v>2038</v>
      </c>
      <c r="FC31" t="s">
        <v>2038</v>
      </c>
      <c r="FD31" t="s">
        <v>1846</v>
      </c>
      <c r="FE31" t="s">
        <v>1846</v>
      </c>
      <c r="FF31" t="s">
        <v>2038</v>
      </c>
      <c r="FG31" t="s">
        <v>2038</v>
      </c>
      <c r="FH31" t="s">
        <v>2038</v>
      </c>
      <c r="FI31" t="s">
        <v>2038</v>
      </c>
      <c r="FJ31" t="s">
        <v>2034</v>
      </c>
      <c r="FK31" t="s">
        <v>1846</v>
      </c>
      <c r="FL31" t="s">
        <v>1846</v>
      </c>
      <c r="FM31" t="s">
        <v>1846</v>
      </c>
      <c r="FN31" t="s">
        <v>1846</v>
      </c>
      <c r="FO31" t="s">
        <v>1846</v>
      </c>
      <c r="FP31" t="s">
        <v>1846</v>
      </c>
      <c r="FQ31" t="s">
        <v>1846</v>
      </c>
      <c r="FR31" t="s">
        <v>1846</v>
      </c>
      <c r="FS31" t="s">
        <v>1846</v>
      </c>
      <c r="FT31" t="s">
        <v>1846</v>
      </c>
      <c r="FU31" t="s">
        <v>1846</v>
      </c>
      <c r="FV31" t="s">
        <v>1846</v>
      </c>
      <c r="FW31" t="s">
        <v>1846</v>
      </c>
      <c r="FX31" t="s">
        <v>1846</v>
      </c>
      <c r="FY31" t="s">
        <v>2038</v>
      </c>
      <c r="FZ31" t="s">
        <v>2038</v>
      </c>
      <c r="GA31" t="s">
        <v>2038</v>
      </c>
      <c r="GB31" t="s">
        <v>1846</v>
      </c>
      <c r="GC31" t="s">
        <v>1846</v>
      </c>
      <c r="GD31" t="s">
        <v>1846</v>
      </c>
      <c r="GE31" t="s">
        <v>1846</v>
      </c>
      <c r="GF31" t="s">
        <v>1846</v>
      </c>
      <c r="GG31" t="s">
        <v>1846</v>
      </c>
      <c r="GH31" t="s">
        <v>1846</v>
      </c>
      <c r="GI31" t="s">
        <v>1846</v>
      </c>
      <c r="GJ31" t="s">
        <v>1846</v>
      </c>
      <c r="GK31" t="s">
        <v>1846</v>
      </c>
      <c r="GL31" t="s">
        <v>1846</v>
      </c>
      <c r="GM31" t="s">
        <v>1846</v>
      </c>
      <c r="GN31" t="s">
        <v>1846</v>
      </c>
      <c r="GO31" t="s">
        <v>1846</v>
      </c>
      <c r="GP31" t="s">
        <v>1846</v>
      </c>
      <c r="GQ31" t="s">
        <v>1846</v>
      </c>
      <c r="GR31" t="s">
        <v>1846</v>
      </c>
      <c r="GS31" t="s">
        <v>1846</v>
      </c>
      <c r="GT31" t="s">
        <v>1846</v>
      </c>
      <c r="GU31" t="s">
        <v>1846</v>
      </c>
      <c r="GV31" t="s">
        <v>1846</v>
      </c>
      <c r="GW31" t="s">
        <v>1846</v>
      </c>
      <c r="GX31" t="s">
        <v>1846</v>
      </c>
      <c r="GY31" t="s">
        <v>1846</v>
      </c>
      <c r="GZ31" t="s">
        <v>1846</v>
      </c>
      <c r="HA31" t="s">
        <v>1846</v>
      </c>
      <c r="HB31" t="s">
        <v>1846</v>
      </c>
      <c r="HC31" t="s">
        <v>2034</v>
      </c>
      <c r="HD31" t="s">
        <v>2038</v>
      </c>
      <c r="HE31" t="s">
        <v>2034</v>
      </c>
      <c r="HF31" t="s">
        <v>2038</v>
      </c>
      <c r="HG31" t="s">
        <v>1846</v>
      </c>
      <c r="HH31" t="s">
        <v>2034</v>
      </c>
      <c r="HI31" t="s">
        <v>2034</v>
      </c>
      <c r="HJ31" t="s">
        <v>1846</v>
      </c>
      <c r="HK31" t="s">
        <v>1846</v>
      </c>
      <c r="HL31" t="s">
        <v>1846</v>
      </c>
      <c r="HM31" t="s">
        <v>2034</v>
      </c>
      <c r="HN31" t="s">
        <v>1846</v>
      </c>
      <c r="HO31" t="s">
        <v>2038</v>
      </c>
      <c r="HP31" t="s">
        <v>2034</v>
      </c>
      <c r="HQ31" t="s">
        <v>2038</v>
      </c>
      <c r="HR31" t="s">
        <v>2038</v>
      </c>
      <c r="HS31" t="s">
        <v>2038</v>
      </c>
      <c r="HT31" t="s">
        <v>1846</v>
      </c>
      <c r="HU31" t="s">
        <v>1846</v>
      </c>
      <c r="HV31" t="s">
        <v>1846</v>
      </c>
      <c r="HW31" t="s">
        <v>1846</v>
      </c>
      <c r="HX31" t="s">
        <v>1846</v>
      </c>
      <c r="HY31" t="s">
        <v>1846</v>
      </c>
      <c r="HZ31" t="s">
        <v>2034</v>
      </c>
      <c r="IA31" t="s">
        <v>1846</v>
      </c>
      <c r="IB31" t="s">
        <v>1846</v>
      </c>
      <c r="IC31" t="s">
        <v>2034</v>
      </c>
      <c r="ID31" t="s">
        <v>1846</v>
      </c>
      <c r="IE31" t="s">
        <v>1846</v>
      </c>
      <c r="IF31" t="s">
        <v>2038</v>
      </c>
      <c r="IG31" t="s">
        <v>2038</v>
      </c>
      <c r="IH31" t="s">
        <v>2038</v>
      </c>
      <c r="II31" t="s">
        <v>2038</v>
      </c>
      <c r="IJ31" t="s">
        <v>2038</v>
      </c>
      <c r="IK31" t="s">
        <v>1846</v>
      </c>
      <c r="IL31" t="s">
        <v>2034</v>
      </c>
      <c r="IM31" t="s">
        <v>1846</v>
      </c>
      <c r="IN31" t="s">
        <v>1846</v>
      </c>
      <c r="IO31" t="s">
        <v>2038</v>
      </c>
      <c r="IP31" t="s">
        <v>1846</v>
      </c>
      <c r="IQ31" t="s">
        <v>1846</v>
      </c>
      <c r="IR31" t="s">
        <v>2034</v>
      </c>
      <c r="IS31" t="s">
        <v>1846</v>
      </c>
      <c r="IT31" t="s">
        <v>1846</v>
      </c>
      <c r="IU31" t="s">
        <v>1846</v>
      </c>
      <c r="IV31" t="s">
        <v>1846</v>
      </c>
      <c r="IW31" t="s">
        <v>1846</v>
      </c>
      <c r="IX31" t="s">
        <v>1846</v>
      </c>
      <c r="IY31" t="s">
        <v>1846</v>
      </c>
      <c r="IZ31" t="s">
        <v>1846</v>
      </c>
      <c r="JA31" t="s">
        <v>1846</v>
      </c>
      <c r="JB31" t="s">
        <v>2038</v>
      </c>
      <c r="JC31" t="s">
        <v>1846</v>
      </c>
      <c r="JD31" t="s">
        <v>1846</v>
      </c>
      <c r="JE31" t="s">
        <v>1846</v>
      </c>
      <c r="JF31" t="s">
        <v>1846</v>
      </c>
      <c r="JG31" t="s">
        <v>1846</v>
      </c>
      <c r="JH31" t="s">
        <v>1846</v>
      </c>
      <c r="JI31" t="s">
        <v>1846</v>
      </c>
      <c r="JJ31" t="s">
        <v>1846</v>
      </c>
      <c r="JK31" t="s">
        <v>2034</v>
      </c>
      <c r="JL31" t="s">
        <v>2038</v>
      </c>
      <c r="JM31" t="s">
        <v>1846</v>
      </c>
      <c r="JN31" t="s">
        <v>1846</v>
      </c>
      <c r="JO31" t="s">
        <v>2034</v>
      </c>
      <c r="JP31" t="s">
        <v>2034</v>
      </c>
      <c r="JQ31" t="s">
        <v>1846</v>
      </c>
      <c r="JR31" t="s">
        <v>1846</v>
      </c>
      <c r="JS31" t="s">
        <v>2034</v>
      </c>
      <c r="JT31" t="s">
        <v>2038</v>
      </c>
      <c r="JU31" t="s">
        <v>2034</v>
      </c>
      <c r="JV31" t="s">
        <v>2038</v>
      </c>
      <c r="JW31" t="s">
        <v>1846</v>
      </c>
      <c r="JX31" t="s">
        <v>1846</v>
      </c>
      <c r="JY31" t="s">
        <v>1846</v>
      </c>
      <c r="JZ31" t="s">
        <v>2038</v>
      </c>
      <c r="KA31" t="s">
        <v>1846</v>
      </c>
      <c r="KB31" t="s">
        <v>1846</v>
      </c>
      <c r="KC31" t="s">
        <v>1846</v>
      </c>
      <c r="KD31" t="s">
        <v>1846</v>
      </c>
      <c r="KE31" t="s">
        <v>1846</v>
      </c>
      <c r="KF31" t="s">
        <v>1846</v>
      </c>
      <c r="KG31" t="s">
        <v>1846</v>
      </c>
      <c r="KH31" t="s">
        <v>1846</v>
      </c>
      <c r="KI31" t="s">
        <v>1846</v>
      </c>
      <c r="KJ31" t="s">
        <v>2034</v>
      </c>
      <c r="KK31" t="s">
        <v>1846</v>
      </c>
      <c r="KL31" t="s">
        <v>1846</v>
      </c>
      <c r="KM31" t="s">
        <v>1846</v>
      </c>
      <c r="KN31" t="s">
        <v>2038</v>
      </c>
      <c r="KO31" t="s">
        <v>1846</v>
      </c>
      <c r="KP31" t="s">
        <v>2034</v>
      </c>
      <c r="KQ31" t="s">
        <v>2034</v>
      </c>
      <c r="KR31" t="s">
        <v>1846</v>
      </c>
      <c r="KS31" t="s">
        <v>1846</v>
      </c>
      <c r="KT31" t="s">
        <v>1846</v>
      </c>
      <c r="KU31" t="s">
        <v>1846</v>
      </c>
      <c r="KV31" t="s">
        <v>1846</v>
      </c>
      <c r="KW31" t="s">
        <v>1846</v>
      </c>
      <c r="KX31" t="s">
        <v>1846</v>
      </c>
      <c r="KY31" t="s">
        <v>1846</v>
      </c>
      <c r="KZ31" t="s">
        <v>1846</v>
      </c>
      <c r="LA31" t="s">
        <v>1846</v>
      </c>
      <c r="LB31" t="s">
        <v>1846</v>
      </c>
      <c r="LC31" t="s">
        <v>1846</v>
      </c>
      <c r="LD31" t="s">
        <v>1846</v>
      </c>
      <c r="LE31" t="s">
        <v>1846</v>
      </c>
      <c r="LF31" t="s">
        <v>1846</v>
      </c>
      <c r="LG31" t="s">
        <v>2038</v>
      </c>
      <c r="LH31" t="s">
        <v>2038</v>
      </c>
      <c r="LI31" t="s">
        <v>2038</v>
      </c>
      <c r="LJ31" t="s">
        <v>1846</v>
      </c>
      <c r="LK31" t="s">
        <v>2038</v>
      </c>
      <c r="LL31" t="s">
        <v>2038</v>
      </c>
      <c r="LM31" t="s">
        <v>1846</v>
      </c>
      <c r="LN31" t="s">
        <v>1846</v>
      </c>
      <c r="LO31" t="s">
        <v>2038</v>
      </c>
      <c r="LP31" t="s">
        <v>2038</v>
      </c>
      <c r="LQ31" t="s">
        <v>2038</v>
      </c>
      <c r="LR31" t="s">
        <v>2038</v>
      </c>
      <c r="LS31" t="s">
        <v>2034</v>
      </c>
      <c r="LT31" t="s">
        <v>2034</v>
      </c>
      <c r="LU31" t="s">
        <v>1846</v>
      </c>
      <c r="LV31" t="s">
        <v>1846</v>
      </c>
      <c r="LW31" t="s">
        <v>2038</v>
      </c>
      <c r="LX31" t="s">
        <v>1846</v>
      </c>
      <c r="LY31" t="s">
        <v>1846</v>
      </c>
      <c r="LZ31" t="s">
        <v>1846</v>
      </c>
      <c r="MA31" t="s">
        <v>1846</v>
      </c>
      <c r="MB31" t="s">
        <v>1846</v>
      </c>
      <c r="MC31" t="s">
        <v>1846</v>
      </c>
      <c r="MD31" t="s">
        <v>2038</v>
      </c>
      <c r="ME31" t="s">
        <v>1846</v>
      </c>
      <c r="MF31" t="s">
        <v>1846</v>
      </c>
      <c r="MG31" t="s">
        <v>2038</v>
      </c>
      <c r="MH31" t="s">
        <v>2038</v>
      </c>
      <c r="MI31" t="s">
        <v>2038</v>
      </c>
      <c r="MJ31" t="s">
        <v>1846</v>
      </c>
      <c r="MK31" t="s">
        <v>1846</v>
      </c>
      <c r="ML31" t="s">
        <v>1846</v>
      </c>
      <c r="MM31" t="s">
        <v>1846</v>
      </c>
      <c r="MN31" t="s">
        <v>1846</v>
      </c>
      <c r="MO31" t="s">
        <v>1846</v>
      </c>
      <c r="MP31" t="s">
        <v>1846</v>
      </c>
      <c r="MQ31" t="s">
        <v>1846</v>
      </c>
      <c r="MR31" t="s">
        <v>1846</v>
      </c>
      <c r="MS31" t="s">
        <v>1846</v>
      </c>
      <c r="MT31" t="s">
        <v>1846</v>
      </c>
      <c r="MU31" t="s">
        <v>1846</v>
      </c>
      <c r="MV31" t="s">
        <v>1846</v>
      </c>
      <c r="MW31" t="s">
        <v>1846</v>
      </c>
      <c r="MX31" t="s">
        <v>2038</v>
      </c>
      <c r="MY31" t="s">
        <v>1846</v>
      </c>
      <c r="MZ31" t="s">
        <v>2038</v>
      </c>
      <c r="NA31" t="s">
        <v>1846</v>
      </c>
      <c r="NB31" t="s">
        <v>1846</v>
      </c>
      <c r="NC31" t="s">
        <v>1846</v>
      </c>
      <c r="ND31" t="s">
        <v>1846</v>
      </c>
      <c r="NG31" t="s">
        <v>1846</v>
      </c>
      <c r="NH31" t="s">
        <v>1846</v>
      </c>
      <c r="NI31" t="s">
        <v>1846</v>
      </c>
      <c r="NJ31" t="s">
        <v>1846</v>
      </c>
      <c r="NK31" t="s">
        <v>1846</v>
      </c>
      <c r="NL31" t="s">
        <v>1846</v>
      </c>
      <c r="NM31" t="s">
        <v>1846</v>
      </c>
      <c r="NN31" t="s">
        <v>2038</v>
      </c>
      <c r="NR31" t="s">
        <v>1487</v>
      </c>
      <c r="NS31" t="s">
        <v>2040</v>
      </c>
      <c r="NX31" t="s">
        <v>2041</v>
      </c>
      <c r="NY31" t="s">
        <v>1878</v>
      </c>
    </row>
    <row r="32" spans="1:389" ht="15" customHeight="1" x14ac:dyDescent="0.25">
      <c r="A32" t="s">
        <v>2042</v>
      </c>
      <c r="B32" t="s">
        <v>2043</v>
      </c>
      <c r="C32" t="s">
        <v>1850</v>
      </c>
      <c r="D32" t="s">
        <v>1488</v>
      </c>
      <c r="G32" t="s">
        <v>2042</v>
      </c>
      <c r="H32" t="s">
        <v>1858</v>
      </c>
      <c r="I32" t="s">
        <v>1858</v>
      </c>
      <c r="J32" t="s">
        <v>1858</v>
      </c>
      <c r="K32" t="s">
        <v>2042</v>
      </c>
      <c r="L32" t="s">
        <v>2042</v>
      </c>
      <c r="M32" t="s">
        <v>2042</v>
      </c>
      <c r="N32" t="s">
        <v>2042</v>
      </c>
      <c r="O32" t="s">
        <v>1858</v>
      </c>
      <c r="P32" t="s">
        <v>2042</v>
      </c>
      <c r="Q32" t="s">
        <v>1858</v>
      </c>
      <c r="R32" t="s">
        <v>2042</v>
      </c>
      <c r="S32" t="s">
        <v>2042</v>
      </c>
      <c r="T32" t="s">
        <v>1858</v>
      </c>
      <c r="U32" t="s">
        <v>1858</v>
      </c>
      <c r="V32" t="s">
        <v>1858</v>
      </c>
      <c r="W32" t="s">
        <v>1858</v>
      </c>
      <c r="X32" t="s">
        <v>1858</v>
      </c>
      <c r="Y32" t="s">
        <v>1858</v>
      </c>
      <c r="AA32" t="s">
        <v>1858</v>
      </c>
      <c r="AB32" t="s">
        <v>1858</v>
      </c>
      <c r="AC32" t="s">
        <v>1858</v>
      </c>
      <c r="AD32" t="s">
        <v>1858</v>
      </c>
      <c r="AE32" t="s">
        <v>1858</v>
      </c>
      <c r="AF32" t="s">
        <v>1858</v>
      </c>
      <c r="AG32" t="s">
        <v>1858</v>
      </c>
      <c r="AH32" t="s">
        <v>2042</v>
      </c>
      <c r="AI32" t="s">
        <v>1858</v>
      </c>
      <c r="AJ32" t="s">
        <v>1858</v>
      </c>
      <c r="AK32" t="s">
        <v>1858</v>
      </c>
      <c r="AL32" t="s">
        <v>1858</v>
      </c>
      <c r="AM32" t="s">
        <v>2042</v>
      </c>
      <c r="AN32" t="s">
        <v>1858</v>
      </c>
      <c r="AO32" t="s">
        <v>2042</v>
      </c>
      <c r="AP32" t="s">
        <v>2042</v>
      </c>
      <c r="AQ32" t="s">
        <v>2042</v>
      </c>
      <c r="AR32" t="s">
        <v>2042</v>
      </c>
      <c r="AS32" t="s">
        <v>1858</v>
      </c>
      <c r="AT32" t="s">
        <v>1858</v>
      </c>
      <c r="AU32" t="s">
        <v>1858</v>
      </c>
      <c r="AV32" t="s">
        <v>1858</v>
      </c>
      <c r="AW32" t="s">
        <v>1858</v>
      </c>
      <c r="AX32" t="s">
        <v>1858</v>
      </c>
      <c r="AY32" t="s">
        <v>1858</v>
      </c>
      <c r="AZ32" t="s">
        <v>1858</v>
      </c>
      <c r="BA32" t="s">
        <v>1858</v>
      </c>
      <c r="BB32" t="s">
        <v>1858</v>
      </c>
      <c r="BC32" t="s">
        <v>1858</v>
      </c>
      <c r="BD32" t="s">
        <v>1858</v>
      </c>
      <c r="BE32" t="s">
        <v>1858</v>
      </c>
      <c r="BF32" t="s">
        <v>1858</v>
      </c>
      <c r="BG32" t="s">
        <v>1858</v>
      </c>
      <c r="BH32" t="s">
        <v>1858</v>
      </c>
      <c r="BI32" t="s">
        <v>1858</v>
      </c>
      <c r="BJ32" t="s">
        <v>1858</v>
      </c>
      <c r="BK32" t="s">
        <v>1858</v>
      </c>
      <c r="BL32" t="s">
        <v>1858</v>
      </c>
      <c r="BM32" t="s">
        <v>1858</v>
      </c>
      <c r="BN32" t="s">
        <v>1858</v>
      </c>
      <c r="BO32" t="s">
        <v>1858</v>
      </c>
      <c r="BP32" t="s">
        <v>1858</v>
      </c>
      <c r="BQ32" t="s">
        <v>1858</v>
      </c>
      <c r="BR32" t="s">
        <v>1858</v>
      </c>
      <c r="BS32" t="s">
        <v>1858</v>
      </c>
      <c r="BT32" t="s">
        <v>1858</v>
      </c>
      <c r="BU32" t="s">
        <v>1858</v>
      </c>
      <c r="BV32" t="s">
        <v>1858</v>
      </c>
      <c r="BW32" t="s">
        <v>1858</v>
      </c>
      <c r="BX32" t="s">
        <v>1858</v>
      </c>
      <c r="BY32" t="s">
        <v>1858</v>
      </c>
      <c r="BZ32" t="s">
        <v>2042</v>
      </c>
      <c r="CA32" t="s">
        <v>2042</v>
      </c>
      <c r="CB32" t="s">
        <v>1858</v>
      </c>
      <c r="CC32" t="s">
        <v>1858</v>
      </c>
      <c r="CD32" t="s">
        <v>1858</v>
      </c>
      <c r="CE32" t="s">
        <v>2042</v>
      </c>
      <c r="CF32" t="s">
        <v>1858</v>
      </c>
      <c r="CG32" t="s">
        <v>1858</v>
      </c>
      <c r="CH32" t="s">
        <v>1858</v>
      </c>
      <c r="CI32" t="s">
        <v>1858</v>
      </c>
      <c r="CJ32" t="s">
        <v>1858</v>
      </c>
      <c r="CK32" t="s">
        <v>2042</v>
      </c>
      <c r="CL32" t="s">
        <v>2042</v>
      </c>
      <c r="CM32" t="s">
        <v>2042</v>
      </c>
      <c r="CN32" t="s">
        <v>2042</v>
      </c>
      <c r="CO32" t="s">
        <v>2042</v>
      </c>
      <c r="CP32" t="s">
        <v>2042</v>
      </c>
      <c r="CQ32" t="s">
        <v>2042</v>
      </c>
      <c r="CR32" t="s">
        <v>2042</v>
      </c>
      <c r="CS32" t="s">
        <v>1858</v>
      </c>
      <c r="CT32" t="s">
        <v>1858</v>
      </c>
      <c r="CU32" t="s">
        <v>2042</v>
      </c>
      <c r="CV32" t="s">
        <v>1858</v>
      </c>
      <c r="CW32" t="s">
        <v>1858</v>
      </c>
      <c r="CX32" t="s">
        <v>1858</v>
      </c>
      <c r="CY32" t="s">
        <v>1858</v>
      </c>
      <c r="CZ32" t="s">
        <v>2042</v>
      </c>
      <c r="DA32" t="s">
        <v>2042</v>
      </c>
      <c r="DB32" t="s">
        <v>2042</v>
      </c>
      <c r="DC32" t="s">
        <v>2042</v>
      </c>
      <c r="DD32" t="s">
        <v>1858</v>
      </c>
      <c r="DE32" t="s">
        <v>1858</v>
      </c>
      <c r="DF32" t="s">
        <v>1858</v>
      </c>
      <c r="DG32" t="s">
        <v>1858</v>
      </c>
      <c r="DH32" t="s">
        <v>1858</v>
      </c>
      <c r="DI32" t="s">
        <v>1858</v>
      </c>
      <c r="DJ32" t="s">
        <v>2042</v>
      </c>
      <c r="DK32" t="s">
        <v>2042</v>
      </c>
      <c r="DL32" t="s">
        <v>1858</v>
      </c>
      <c r="DM32" t="s">
        <v>1858</v>
      </c>
      <c r="DN32" t="s">
        <v>1858</v>
      </c>
      <c r="DO32" t="s">
        <v>2042</v>
      </c>
      <c r="DP32" t="s">
        <v>2042</v>
      </c>
      <c r="DQ32" t="s">
        <v>2042</v>
      </c>
      <c r="DR32" t="s">
        <v>2042</v>
      </c>
      <c r="DS32" t="s">
        <v>1858</v>
      </c>
      <c r="DT32" t="s">
        <v>2042</v>
      </c>
      <c r="DU32" t="s">
        <v>2042</v>
      </c>
      <c r="DV32" t="s">
        <v>2042</v>
      </c>
      <c r="DW32" t="s">
        <v>1858</v>
      </c>
      <c r="DX32" t="s">
        <v>1858</v>
      </c>
      <c r="DY32" t="s">
        <v>1858</v>
      </c>
      <c r="DZ32" t="s">
        <v>1858</v>
      </c>
      <c r="EA32" t="s">
        <v>2042</v>
      </c>
      <c r="EB32" t="s">
        <v>2042</v>
      </c>
      <c r="EC32" t="s">
        <v>2042</v>
      </c>
      <c r="ED32" t="s">
        <v>1858</v>
      </c>
      <c r="EE32" t="s">
        <v>1858</v>
      </c>
      <c r="EF32" t="s">
        <v>1858</v>
      </c>
      <c r="EG32" t="s">
        <v>2042</v>
      </c>
      <c r="EH32" t="s">
        <v>2042</v>
      </c>
      <c r="EI32" t="s">
        <v>2042</v>
      </c>
      <c r="EJ32" t="s">
        <v>2042</v>
      </c>
      <c r="EK32" t="s">
        <v>2042</v>
      </c>
      <c r="EL32" t="s">
        <v>2042</v>
      </c>
      <c r="EM32" t="s">
        <v>1858</v>
      </c>
      <c r="EN32" t="s">
        <v>1858</v>
      </c>
      <c r="EO32" t="s">
        <v>1858</v>
      </c>
      <c r="ET32" t="s">
        <v>1858</v>
      </c>
      <c r="EU32" t="s">
        <v>1858</v>
      </c>
      <c r="EV32" t="s">
        <v>1858</v>
      </c>
      <c r="EW32" t="s">
        <v>1858</v>
      </c>
      <c r="EX32" t="s">
        <v>1846</v>
      </c>
      <c r="EY32" t="s">
        <v>2042</v>
      </c>
      <c r="EZ32" t="s">
        <v>1858</v>
      </c>
      <c r="FA32" t="s">
        <v>2042</v>
      </c>
      <c r="FB32" t="s">
        <v>2042</v>
      </c>
      <c r="FC32" t="s">
        <v>2042</v>
      </c>
      <c r="FD32" t="s">
        <v>1858</v>
      </c>
      <c r="FE32" t="s">
        <v>1858</v>
      </c>
      <c r="FF32" t="s">
        <v>2042</v>
      </c>
      <c r="FG32" t="s">
        <v>2042</v>
      </c>
      <c r="FH32" t="s">
        <v>2042</v>
      </c>
      <c r="FI32" t="s">
        <v>2042</v>
      </c>
      <c r="FJ32" t="s">
        <v>1846</v>
      </c>
      <c r="FK32" t="s">
        <v>1858</v>
      </c>
      <c r="FL32" t="s">
        <v>1858</v>
      </c>
      <c r="FM32" t="s">
        <v>1858</v>
      </c>
      <c r="FN32" t="s">
        <v>1858</v>
      </c>
      <c r="FO32" t="s">
        <v>1858</v>
      </c>
      <c r="FP32" t="s">
        <v>1858</v>
      </c>
      <c r="FQ32" t="s">
        <v>1858</v>
      </c>
      <c r="FR32" t="s">
        <v>1858</v>
      </c>
      <c r="FS32" t="s">
        <v>1858</v>
      </c>
      <c r="FT32" t="s">
        <v>1858</v>
      </c>
      <c r="FU32" t="s">
        <v>1858</v>
      </c>
      <c r="FV32" t="s">
        <v>1858</v>
      </c>
      <c r="FW32" t="s">
        <v>1858</v>
      </c>
      <c r="FX32" t="s">
        <v>1858</v>
      </c>
      <c r="FY32" t="s">
        <v>2042</v>
      </c>
      <c r="FZ32" t="s">
        <v>2042</v>
      </c>
      <c r="GA32" t="s">
        <v>2042</v>
      </c>
      <c r="GB32" t="s">
        <v>1858</v>
      </c>
      <c r="GC32" t="s">
        <v>1858</v>
      </c>
      <c r="GD32" t="s">
        <v>1858</v>
      </c>
      <c r="GE32" t="s">
        <v>1858</v>
      </c>
      <c r="GF32" t="s">
        <v>1858</v>
      </c>
      <c r="GG32" t="s">
        <v>1858</v>
      </c>
      <c r="GH32" t="s">
        <v>1858</v>
      </c>
      <c r="GI32" t="s">
        <v>1858</v>
      </c>
      <c r="GJ32" t="s">
        <v>1858</v>
      </c>
      <c r="GK32" t="s">
        <v>1858</v>
      </c>
      <c r="GL32" t="s">
        <v>1858</v>
      </c>
      <c r="GM32" t="s">
        <v>1858</v>
      </c>
      <c r="GN32" t="s">
        <v>1858</v>
      </c>
      <c r="GO32" t="s">
        <v>1858</v>
      </c>
      <c r="GP32" t="s">
        <v>1858</v>
      </c>
      <c r="GQ32" t="s">
        <v>1858</v>
      </c>
      <c r="GR32" t="s">
        <v>1858</v>
      </c>
      <c r="GS32" t="s">
        <v>1858</v>
      </c>
      <c r="GT32" t="s">
        <v>1858</v>
      </c>
      <c r="GU32" t="s">
        <v>1858</v>
      </c>
      <c r="GV32" t="s">
        <v>1858</v>
      </c>
      <c r="GW32" t="s">
        <v>1858</v>
      </c>
      <c r="GX32" t="s">
        <v>1858</v>
      </c>
      <c r="GY32" t="s">
        <v>1858</v>
      </c>
      <c r="GZ32" t="s">
        <v>1858</v>
      </c>
      <c r="HA32" t="s">
        <v>1858</v>
      </c>
      <c r="HB32" t="s">
        <v>1858</v>
      </c>
      <c r="HC32" t="s">
        <v>1846</v>
      </c>
      <c r="HD32" t="s">
        <v>2042</v>
      </c>
      <c r="HE32" t="s">
        <v>1846</v>
      </c>
      <c r="HF32" t="s">
        <v>2042</v>
      </c>
      <c r="HG32" t="s">
        <v>1858</v>
      </c>
      <c r="HH32" t="s">
        <v>1846</v>
      </c>
      <c r="HI32" t="s">
        <v>1846</v>
      </c>
      <c r="HJ32" t="s">
        <v>1858</v>
      </c>
      <c r="HK32" t="s">
        <v>1858</v>
      </c>
      <c r="HL32" t="s">
        <v>1858</v>
      </c>
      <c r="HM32" t="s">
        <v>1846</v>
      </c>
      <c r="HN32" t="s">
        <v>1858</v>
      </c>
      <c r="HO32" t="s">
        <v>2042</v>
      </c>
      <c r="HP32" t="s">
        <v>1846</v>
      </c>
      <c r="HQ32" t="s">
        <v>2042</v>
      </c>
      <c r="HR32" t="s">
        <v>2042</v>
      </c>
      <c r="HS32" t="s">
        <v>2042</v>
      </c>
      <c r="HT32" t="s">
        <v>1858</v>
      </c>
      <c r="HU32" t="s">
        <v>1858</v>
      </c>
      <c r="HV32" t="s">
        <v>1858</v>
      </c>
      <c r="HW32" t="s">
        <v>1858</v>
      </c>
      <c r="HX32" t="s">
        <v>1858</v>
      </c>
      <c r="HY32" t="s">
        <v>1858</v>
      </c>
      <c r="HZ32" t="s">
        <v>1846</v>
      </c>
      <c r="IA32" t="s">
        <v>1858</v>
      </c>
      <c r="IB32" t="s">
        <v>1858</v>
      </c>
      <c r="IC32" t="s">
        <v>1846</v>
      </c>
      <c r="ID32" t="s">
        <v>1858</v>
      </c>
      <c r="IE32" t="s">
        <v>1858</v>
      </c>
      <c r="IF32" t="s">
        <v>2042</v>
      </c>
      <c r="IG32" t="s">
        <v>2042</v>
      </c>
      <c r="IH32" t="s">
        <v>2042</v>
      </c>
      <c r="II32" t="s">
        <v>2042</v>
      </c>
      <c r="IJ32" t="s">
        <v>2042</v>
      </c>
      <c r="IK32" t="s">
        <v>1858</v>
      </c>
      <c r="IL32" t="s">
        <v>1846</v>
      </c>
      <c r="IM32" t="s">
        <v>1858</v>
      </c>
      <c r="IN32" t="s">
        <v>1858</v>
      </c>
      <c r="IO32" t="s">
        <v>2042</v>
      </c>
      <c r="IP32" t="s">
        <v>1858</v>
      </c>
      <c r="IQ32" t="s">
        <v>1858</v>
      </c>
      <c r="IR32" t="s">
        <v>1846</v>
      </c>
      <c r="IS32" t="s">
        <v>1858</v>
      </c>
      <c r="IT32" t="s">
        <v>1858</v>
      </c>
      <c r="IU32" t="s">
        <v>1858</v>
      </c>
      <c r="IV32" t="s">
        <v>1858</v>
      </c>
      <c r="IW32" t="s">
        <v>1858</v>
      </c>
      <c r="IX32" t="s">
        <v>1858</v>
      </c>
      <c r="IY32" t="s">
        <v>1858</v>
      </c>
      <c r="IZ32" t="s">
        <v>1858</v>
      </c>
      <c r="JA32" t="s">
        <v>1858</v>
      </c>
      <c r="JB32" t="s">
        <v>2042</v>
      </c>
      <c r="JC32" t="s">
        <v>1858</v>
      </c>
      <c r="JD32" t="s">
        <v>1858</v>
      </c>
      <c r="JE32" t="s">
        <v>1858</v>
      </c>
      <c r="JF32" t="s">
        <v>1858</v>
      </c>
      <c r="JG32" t="s">
        <v>1858</v>
      </c>
      <c r="JH32" t="s">
        <v>1858</v>
      </c>
      <c r="JI32" t="s">
        <v>1858</v>
      </c>
      <c r="JJ32" t="s">
        <v>1858</v>
      </c>
      <c r="JK32" t="s">
        <v>1846</v>
      </c>
      <c r="JL32" t="s">
        <v>2042</v>
      </c>
      <c r="JM32" t="s">
        <v>1858</v>
      </c>
      <c r="JN32" t="s">
        <v>1858</v>
      </c>
      <c r="JO32" t="s">
        <v>1846</v>
      </c>
      <c r="JP32" t="s">
        <v>1846</v>
      </c>
      <c r="JQ32" t="s">
        <v>1858</v>
      </c>
      <c r="JR32" t="s">
        <v>1858</v>
      </c>
      <c r="JS32" t="s">
        <v>1846</v>
      </c>
      <c r="JT32" t="s">
        <v>2042</v>
      </c>
      <c r="JU32" t="s">
        <v>1846</v>
      </c>
      <c r="JV32" t="s">
        <v>2042</v>
      </c>
      <c r="JW32" t="s">
        <v>1858</v>
      </c>
      <c r="JX32" t="s">
        <v>1858</v>
      </c>
      <c r="JY32" t="s">
        <v>1858</v>
      </c>
      <c r="JZ32" t="s">
        <v>2042</v>
      </c>
      <c r="KA32" t="s">
        <v>1858</v>
      </c>
      <c r="KB32" t="s">
        <v>1858</v>
      </c>
      <c r="KC32" t="s">
        <v>1858</v>
      </c>
      <c r="KD32" t="s">
        <v>1858</v>
      </c>
      <c r="KE32" t="s">
        <v>1858</v>
      </c>
      <c r="KF32" t="s">
        <v>1858</v>
      </c>
      <c r="KG32" t="s">
        <v>1858</v>
      </c>
      <c r="KH32" t="s">
        <v>1858</v>
      </c>
      <c r="KI32" t="s">
        <v>1858</v>
      </c>
      <c r="KJ32" t="s">
        <v>1846</v>
      </c>
      <c r="KK32" t="s">
        <v>1858</v>
      </c>
      <c r="KL32" t="s">
        <v>1858</v>
      </c>
      <c r="KM32" t="s">
        <v>1858</v>
      </c>
      <c r="KN32" t="s">
        <v>2042</v>
      </c>
      <c r="KO32" t="s">
        <v>1858</v>
      </c>
      <c r="KP32" t="s">
        <v>1846</v>
      </c>
      <c r="KQ32" t="s">
        <v>1846</v>
      </c>
      <c r="KR32" t="s">
        <v>1858</v>
      </c>
      <c r="KS32" t="s">
        <v>1858</v>
      </c>
      <c r="KT32" t="s">
        <v>1858</v>
      </c>
      <c r="KU32" t="s">
        <v>1858</v>
      </c>
      <c r="KV32" t="s">
        <v>1858</v>
      </c>
      <c r="KW32" t="s">
        <v>1858</v>
      </c>
      <c r="KX32" t="s">
        <v>1858</v>
      </c>
      <c r="KY32" t="s">
        <v>1858</v>
      </c>
      <c r="KZ32" t="s">
        <v>1858</v>
      </c>
      <c r="LA32" t="s">
        <v>1858</v>
      </c>
      <c r="LB32" t="s">
        <v>1858</v>
      </c>
      <c r="LC32" t="s">
        <v>1858</v>
      </c>
      <c r="LD32" t="s">
        <v>1858</v>
      </c>
      <c r="LE32" t="s">
        <v>1858</v>
      </c>
      <c r="LF32" t="s">
        <v>1858</v>
      </c>
      <c r="LG32" t="s">
        <v>2042</v>
      </c>
      <c r="LH32" t="s">
        <v>2042</v>
      </c>
      <c r="LI32" t="s">
        <v>2042</v>
      </c>
      <c r="LJ32" t="s">
        <v>1858</v>
      </c>
      <c r="LK32" t="s">
        <v>2042</v>
      </c>
      <c r="LL32" t="s">
        <v>2042</v>
      </c>
      <c r="LM32" t="s">
        <v>1858</v>
      </c>
      <c r="LN32" t="s">
        <v>1858</v>
      </c>
      <c r="LO32" t="s">
        <v>2042</v>
      </c>
      <c r="LP32" t="s">
        <v>2042</v>
      </c>
      <c r="LQ32" t="s">
        <v>2042</v>
      </c>
      <c r="LR32" t="s">
        <v>2042</v>
      </c>
      <c r="LS32" t="s">
        <v>1846</v>
      </c>
      <c r="LT32" t="s">
        <v>1846</v>
      </c>
      <c r="LU32" t="s">
        <v>1858</v>
      </c>
      <c r="LV32" t="s">
        <v>1858</v>
      </c>
      <c r="LW32" t="s">
        <v>2042</v>
      </c>
      <c r="LX32" t="s">
        <v>1858</v>
      </c>
      <c r="LY32" t="s">
        <v>1858</v>
      </c>
      <c r="LZ32" t="s">
        <v>1858</v>
      </c>
      <c r="MA32" t="s">
        <v>1858</v>
      </c>
      <c r="MB32" t="s">
        <v>1858</v>
      </c>
      <c r="MC32" t="s">
        <v>1858</v>
      </c>
      <c r="MD32" t="s">
        <v>2042</v>
      </c>
      <c r="ME32" t="s">
        <v>1858</v>
      </c>
      <c r="MF32" t="s">
        <v>1858</v>
      </c>
      <c r="MG32" t="s">
        <v>2042</v>
      </c>
      <c r="MH32" t="s">
        <v>2042</v>
      </c>
      <c r="MI32" t="s">
        <v>2042</v>
      </c>
      <c r="MJ32" t="s">
        <v>1858</v>
      </c>
      <c r="MK32" t="s">
        <v>1858</v>
      </c>
      <c r="ML32" t="s">
        <v>1858</v>
      </c>
      <c r="MM32" t="s">
        <v>1858</v>
      </c>
      <c r="MN32" t="s">
        <v>1858</v>
      </c>
      <c r="MO32" t="s">
        <v>1858</v>
      </c>
      <c r="MP32" t="s">
        <v>1858</v>
      </c>
      <c r="MQ32" t="s">
        <v>1858</v>
      </c>
      <c r="MR32" t="s">
        <v>1858</v>
      </c>
      <c r="MS32" t="s">
        <v>1858</v>
      </c>
      <c r="MT32" t="s">
        <v>1858</v>
      </c>
      <c r="MU32" t="s">
        <v>1858</v>
      </c>
      <c r="MV32" t="s">
        <v>1858</v>
      </c>
      <c r="MW32" t="s">
        <v>1858</v>
      </c>
      <c r="MX32" t="s">
        <v>2042</v>
      </c>
      <c r="MY32" t="s">
        <v>1858</v>
      </c>
      <c r="MZ32" t="s">
        <v>2042</v>
      </c>
      <c r="NA32" t="s">
        <v>1858</v>
      </c>
      <c r="NB32" t="s">
        <v>1858</v>
      </c>
      <c r="NC32" t="s">
        <v>1858</v>
      </c>
      <c r="ND32" t="s">
        <v>1858</v>
      </c>
      <c r="NG32" t="s">
        <v>1858</v>
      </c>
      <c r="NH32" t="s">
        <v>1858</v>
      </c>
      <c r="NI32" t="s">
        <v>1858</v>
      </c>
      <c r="NJ32" t="s">
        <v>1858</v>
      </c>
      <c r="NK32" t="s">
        <v>1858</v>
      </c>
      <c r="NL32" t="s">
        <v>1858</v>
      </c>
      <c r="NM32" t="s">
        <v>1858</v>
      </c>
      <c r="NN32" t="s">
        <v>2042</v>
      </c>
      <c r="NR32" t="s">
        <v>1488</v>
      </c>
      <c r="NS32" t="s">
        <v>2044</v>
      </c>
      <c r="NX32" t="s">
        <v>2045</v>
      </c>
      <c r="NY32" t="s">
        <v>1878</v>
      </c>
    </row>
    <row r="33" spans="1:389" ht="15" customHeight="1" x14ac:dyDescent="0.25">
      <c r="A33" t="s">
        <v>1965</v>
      </c>
      <c r="B33" t="s">
        <v>2046</v>
      </c>
      <c r="C33" t="s">
        <v>1850</v>
      </c>
      <c r="D33" t="s">
        <v>1489</v>
      </c>
      <c r="G33" t="s">
        <v>1965</v>
      </c>
      <c r="H33" t="s">
        <v>1873</v>
      </c>
      <c r="I33" t="s">
        <v>1873</v>
      </c>
      <c r="J33" t="s">
        <v>1873</v>
      </c>
      <c r="K33" t="s">
        <v>1965</v>
      </c>
      <c r="L33" t="s">
        <v>1965</v>
      </c>
      <c r="M33" t="s">
        <v>1965</v>
      </c>
      <c r="N33" t="s">
        <v>1965</v>
      </c>
      <c r="O33" t="s">
        <v>1873</v>
      </c>
      <c r="P33" t="s">
        <v>1965</v>
      </c>
      <c r="Q33" t="s">
        <v>1873</v>
      </c>
      <c r="R33" t="s">
        <v>1965</v>
      </c>
      <c r="S33" t="s">
        <v>1965</v>
      </c>
      <c r="T33" t="s">
        <v>1873</v>
      </c>
      <c r="U33" t="s">
        <v>1873</v>
      </c>
      <c r="V33" t="s">
        <v>1873</v>
      </c>
      <c r="W33" t="s">
        <v>1873</v>
      </c>
      <c r="X33" t="s">
        <v>1873</v>
      </c>
      <c r="Y33" t="s">
        <v>1873</v>
      </c>
      <c r="AA33" t="s">
        <v>1873</v>
      </c>
      <c r="AB33" t="s">
        <v>1873</v>
      </c>
      <c r="AC33" t="s">
        <v>1873</v>
      </c>
      <c r="AD33" t="s">
        <v>1873</v>
      </c>
      <c r="AE33" t="s">
        <v>1873</v>
      </c>
      <c r="AF33" t="s">
        <v>1873</v>
      </c>
      <c r="AG33" t="s">
        <v>1873</v>
      </c>
      <c r="AH33" t="s">
        <v>1965</v>
      </c>
      <c r="AI33" t="s">
        <v>1873</v>
      </c>
      <c r="AJ33" t="s">
        <v>1873</v>
      </c>
      <c r="AK33" t="s">
        <v>1873</v>
      </c>
      <c r="AL33" t="s">
        <v>1873</v>
      </c>
      <c r="AM33" t="s">
        <v>1965</v>
      </c>
      <c r="AN33" t="s">
        <v>1873</v>
      </c>
      <c r="AO33" t="s">
        <v>1965</v>
      </c>
      <c r="AP33" t="s">
        <v>1965</v>
      </c>
      <c r="AQ33" t="s">
        <v>1965</v>
      </c>
      <c r="AR33" t="s">
        <v>1965</v>
      </c>
      <c r="AS33" t="s">
        <v>1873</v>
      </c>
      <c r="AT33" t="s">
        <v>1873</v>
      </c>
      <c r="AU33" t="s">
        <v>1873</v>
      </c>
      <c r="AV33" t="s">
        <v>1873</v>
      </c>
      <c r="AW33" t="s">
        <v>1873</v>
      </c>
      <c r="AX33" t="s">
        <v>1873</v>
      </c>
      <c r="AY33" t="s">
        <v>1873</v>
      </c>
      <c r="AZ33" t="s">
        <v>1873</v>
      </c>
      <c r="BA33" t="s">
        <v>1873</v>
      </c>
      <c r="BB33" t="s">
        <v>1873</v>
      </c>
      <c r="BC33" t="s">
        <v>1873</v>
      </c>
      <c r="BD33" t="s">
        <v>1873</v>
      </c>
      <c r="BE33" t="s">
        <v>1873</v>
      </c>
      <c r="BF33" t="s">
        <v>1873</v>
      </c>
      <c r="BG33" t="s">
        <v>1873</v>
      </c>
      <c r="BH33" t="s">
        <v>1873</v>
      </c>
      <c r="BI33" t="s">
        <v>1873</v>
      </c>
      <c r="BJ33" t="s">
        <v>1873</v>
      </c>
      <c r="BK33" t="s">
        <v>1873</v>
      </c>
      <c r="BL33" t="s">
        <v>1873</v>
      </c>
      <c r="BM33" t="s">
        <v>1873</v>
      </c>
      <c r="BN33" t="s">
        <v>1873</v>
      </c>
      <c r="BO33" t="s">
        <v>1873</v>
      </c>
      <c r="BP33" t="s">
        <v>1873</v>
      </c>
      <c r="BQ33" t="s">
        <v>1873</v>
      </c>
      <c r="BR33" t="s">
        <v>1873</v>
      </c>
      <c r="BS33" t="s">
        <v>1873</v>
      </c>
      <c r="BT33" t="s">
        <v>1873</v>
      </c>
      <c r="BU33" t="s">
        <v>1873</v>
      </c>
      <c r="BV33" t="s">
        <v>1873</v>
      </c>
      <c r="BW33" t="s">
        <v>1873</v>
      </c>
      <c r="BX33" t="s">
        <v>1873</v>
      </c>
      <c r="BY33" t="s">
        <v>1873</v>
      </c>
      <c r="BZ33" t="s">
        <v>1965</v>
      </c>
      <c r="CA33" t="s">
        <v>1965</v>
      </c>
      <c r="CB33" t="s">
        <v>1873</v>
      </c>
      <c r="CC33" t="s">
        <v>1873</v>
      </c>
      <c r="CD33" t="s">
        <v>1873</v>
      </c>
      <c r="CE33" t="s">
        <v>1965</v>
      </c>
      <c r="CF33" t="s">
        <v>1873</v>
      </c>
      <c r="CG33" t="s">
        <v>1873</v>
      </c>
      <c r="CH33" t="s">
        <v>1873</v>
      </c>
      <c r="CI33" t="s">
        <v>1873</v>
      </c>
      <c r="CJ33" t="s">
        <v>1873</v>
      </c>
      <c r="CK33" t="s">
        <v>1965</v>
      </c>
      <c r="CL33" t="s">
        <v>1965</v>
      </c>
      <c r="CM33" t="s">
        <v>1965</v>
      </c>
      <c r="CN33" t="s">
        <v>1965</v>
      </c>
      <c r="CO33" t="s">
        <v>1965</v>
      </c>
      <c r="CP33" t="s">
        <v>1965</v>
      </c>
      <c r="CQ33" t="s">
        <v>1965</v>
      </c>
      <c r="CR33" t="s">
        <v>1965</v>
      </c>
      <c r="CS33" t="s">
        <v>1873</v>
      </c>
      <c r="CT33" t="s">
        <v>1873</v>
      </c>
      <c r="CU33" t="s">
        <v>1965</v>
      </c>
      <c r="CV33" t="s">
        <v>1873</v>
      </c>
      <c r="CW33" t="s">
        <v>1873</v>
      </c>
      <c r="CX33" t="s">
        <v>1873</v>
      </c>
      <c r="CY33" t="s">
        <v>1873</v>
      </c>
      <c r="CZ33" t="s">
        <v>1965</v>
      </c>
      <c r="DA33" t="s">
        <v>1965</v>
      </c>
      <c r="DB33" t="s">
        <v>1965</v>
      </c>
      <c r="DC33" t="s">
        <v>1965</v>
      </c>
      <c r="DD33" t="s">
        <v>1873</v>
      </c>
      <c r="DE33" t="s">
        <v>1873</v>
      </c>
      <c r="DF33" t="s">
        <v>1873</v>
      </c>
      <c r="DG33" t="s">
        <v>1873</v>
      </c>
      <c r="DH33" t="s">
        <v>1873</v>
      </c>
      <c r="DI33" t="s">
        <v>1873</v>
      </c>
      <c r="DJ33" t="s">
        <v>1965</v>
      </c>
      <c r="DK33" t="s">
        <v>1965</v>
      </c>
      <c r="DL33" t="s">
        <v>1873</v>
      </c>
      <c r="DM33" t="s">
        <v>1873</v>
      </c>
      <c r="DN33" t="s">
        <v>1873</v>
      </c>
      <c r="DO33" t="s">
        <v>1965</v>
      </c>
      <c r="DP33" t="s">
        <v>1965</v>
      </c>
      <c r="DQ33" t="s">
        <v>1965</v>
      </c>
      <c r="DR33" t="s">
        <v>1965</v>
      </c>
      <c r="DS33" t="s">
        <v>1873</v>
      </c>
      <c r="DT33" t="s">
        <v>1965</v>
      </c>
      <c r="DU33" t="s">
        <v>1965</v>
      </c>
      <c r="DV33" t="s">
        <v>1965</v>
      </c>
      <c r="DW33" t="s">
        <v>1873</v>
      </c>
      <c r="DX33" t="s">
        <v>1873</v>
      </c>
      <c r="DY33" t="s">
        <v>1873</v>
      </c>
      <c r="DZ33" t="s">
        <v>1873</v>
      </c>
      <c r="EA33" t="s">
        <v>1965</v>
      </c>
      <c r="EB33" t="s">
        <v>1965</v>
      </c>
      <c r="EC33" t="s">
        <v>1965</v>
      </c>
      <c r="ED33" t="s">
        <v>1873</v>
      </c>
      <c r="EE33" t="s">
        <v>1873</v>
      </c>
      <c r="EF33" t="s">
        <v>1873</v>
      </c>
      <c r="EG33" t="s">
        <v>1965</v>
      </c>
      <c r="EH33" t="s">
        <v>1965</v>
      </c>
      <c r="EI33" t="s">
        <v>1965</v>
      </c>
      <c r="EJ33" t="s">
        <v>1965</v>
      </c>
      <c r="EK33" t="s">
        <v>1965</v>
      </c>
      <c r="EL33" t="s">
        <v>1965</v>
      </c>
      <c r="EM33" t="s">
        <v>1873</v>
      </c>
      <c r="EN33" t="s">
        <v>1873</v>
      </c>
      <c r="EO33" t="s">
        <v>1873</v>
      </c>
      <c r="ET33" t="s">
        <v>1873</v>
      </c>
      <c r="EU33" t="s">
        <v>1873</v>
      </c>
      <c r="EV33" t="s">
        <v>1873</v>
      </c>
      <c r="EW33" t="s">
        <v>1873</v>
      </c>
      <c r="EX33" t="s">
        <v>1858</v>
      </c>
      <c r="EY33" t="s">
        <v>1965</v>
      </c>
      <c r="EZ33" t="s">
        <v>1873</v>
      </c>
      <c r="FA33" t="s">
        <v>1965</v>
      </c>
      <c r="FB33" t="s">
        <v>1965</v>
      </c>
      <c r="FC33" t="s">
        <v>1965</v>
      </c>
      <c r="FD33" t="s">
        <v>1873</v>
      </c>
      <c r="FE33" t="s">
        <v>1873</v>
      </c>
      <c r="FF33" t="s">
        <v>1965</v>
      </c>
      <c r="FG33" t="s">
        <v>1965</v>
      </c>
      <c r="FH33" t="s">
        <v>1965</v>
      </c>
      <c r="FI33" t="s">
        <v>1965</v>
      </c>
      <c r="FJ33" t="s">
        <v>1858</v>
      </c>
      <c r="FK33" t="s">
        <v>1873</v>
      </c>
      <c r="FL33" t="s">
        <v>1873</v>
      </c>
      <c r="FM33" t="s">
        <v>1873</v>
      </c>
      <c r="FN33" t="s">
        <v>1873</v>
      </c>
      <c r="FO33" t="s">
        <v>1873</v>
      </c>
      <c r="FP33" t="s">
        <v>1873</v>
      </c>
      <c r="FQ33" t="s">
        <v>1873</v>
      </c>
      <c r="FR33" t="s">
        <v>1873</v>
      </c>
      <c r="FS33" t="s">
        <v>1873</v>
      </c>
      <c r="FT33" t="s">
        <v>1873</v>
      </c>
      <c r="FU33" t="s">
        <v>1873</v>
      </c>
      <c r="FV33" t="s">
        <v>1873</v>
      </c>
      <c r="FW33" t="s">
        <v>1873</v>
      </c>
      <c r="FX33" t="s">
        <v>1873</v>
      </c>
      <c r="FY33" t="s">
        <v>1965</v>
      </c>
      <c r="FZ33" t="s">
        <v>1965</v>
      </c>
      <c r="GA33" t="s">
        <v>1965</v>
      </c>
      <c r="GB33" t="s">
        <v>1873</v>
      </c>
      <c r="GC33" t="s">
        <v>1873</v>
      </c>
      <c r="GD33" t="s">
        <v>1873</v>
      </c>
      <c r="GE33" t="s">
        <v>1873</v>
      </c>
      <c r="GF33" t="s">
        <v>1873</v>
      </c>
      <c r="GG33" t="s">
        <v>1873</v>
      </c>
      <c r="GH33" t="s">
        <v>1873</v>
      </c>
      <c r="GI33" t="s">
        <v>1873</v>
      </c>
      <c r="GJ33" t="s">
        <v>1873</v>
      </c>
      <c r="GK33" t="s">
        <v>1873</v>
      </c>
      <c r="GL33" t="s">
        <v>1873</v>
      </c>
      <c r="GM33" t="s">
        <v>1873</v>
      </c>
      <c r="GN33" t="s">
        <v>1873</v>
      </c>
      <c r="GO33" t="s">
        <v>1873</v>
      </c>
      <c r="GP33" t="s">
        <v>1873</v>
      </c>
      <c r="GQ33" t="s">
        <v>1873</v>
      </c>
      <c r="GR33" t="s">
        <v>1873</v>
      </c>
      <c r="GS33" t="s">
        <v>1873</v>
      </c>
      <c r="GT33" t="s">
        <v>1873</v>
      </c>
      <c r="GU33" t="s">
        <v>1873</v>
      </c>
      <c r="GV33" t="s">
        <v>1873</v>
      </c>
      <c r="GW33" t="s">
        <v>1873</v>
      </c>
      <c r="GX33" t="s">
        <v>1873</v>
      </c>
      <c r="GY33" t="s">
        <v>1873</v>
      </c>
      <c r="GZ33" t="s">
        <v>1873</v>
      </c>
      <c r="HA33" t="s">
        <v>1873</v>
      </c>
      <c r="HB33" t="s">
        <v>1873</v>
      </c>
      <c r="HC33" t="s">
        <v>1858</v>
      </c>
      <c r="HD33" t="s">
        <v>1965</v>
      </c>
      <c r="HE33" t="s">
        <v>1858</v>
      </c>
      <c r="HF33" t="s">
        <v>1965</v>
      </c>
      <c r="HG33" t="s">
        <v>1873</v>
      </c>
      <c r="HH33" t="s">
        <v>1858</v>
      </c>
      <c r="HI33" t="s">
        <v>1858</v>
      </c>
      <c r="HJ33" t="s">
        <v>1873</v>
      </c>
      <c r="HK33" t="s">
        <v>1873</v>
      </c>
      <c r="HL33" t="s">
        <v>1873</v>
      </c>
      <c r="HM33" t="s">
        <v>1858</v>
      </c>
      <c r="HN33" t="s">
        <v>1873</v>
      </c>
      <c r="HO33" t="s">
        <v>1965</v>
      </c>
      <c r="HP33" t="s">
        <v>1858</v>
      </c>
      <c r="HQ33" t="s">
        <v>1965</v>
      </c>
      <c r="HR33" t="s">
        <v>1965</v>
      </c>
      <c r="HS33" t="s">
        <v>1965</v>
      </c>
      <c r="HT33" t="s">
        <v>1873</v>
      </c>
      <c r="HU33" t="s">
        <v>1873</v>
      </c>
      <c r="HV33" t="s">
        <v>1873</v>
      </c>
      <c r="HW33" t="s">
        <v>1873</v>
      </c>
      <c r="HX33" t="s">
        <v>1873</v>
      </c>
      <c r="HY33" t="s">
        <v>1873</v>
      </c>
      <c r="HZ33" t="s">
        <v>1858</v>
      </c>
      <c r="IA33" t="s">
        <v>1873</v>
      </c>
      <c r="IB33" t="s">
        <v>1873</v>
      </c>
      <c r="IC33" t="s">
        <v>1858</v>
      </c>
      <c r="ID33" t="s">
        <v>1873</v>
      </c>
      <c r="IE33" t="s">
        <v>1873</v>
      </c>
      <c r="IF33" t="s">
        <v>1965</v>
      </c>
      <c r="IG33" t="s">
        <v>1965</v>
      </c>
      <c r="IH33" t="s">
        <v>1965</v>
      </c>
      <c r="II33" t="s">
        <v>1965</v>
      </c>
      <c r="IJ33" t="s">
        <v>1965</v>
      </c>
      <c r="IK33" t="s">
        <v>1873</v>
      </c>
      <c r="IL33" t="s">
        <v>1858</v>
      </c>
      <c r="IM33" t="s">
        <v>1873</v>
      </c>
      <c r="IN33" t="s">
        <v>1873</v>
      </c>
      <c r="IO33" t="s">
        <v>1965</v>
      </c>
      <c r="IP33" t="s">
        <v>1873</v>
      </c>
      <c r="IQ33" t="s">
        <v>1873</v>
      </c>
      <c r="IR33" t="s">
        <v>1858</v>
      </c>
      <c r="IS33" t="s">
        <v>1873</v>
      </c>
      <c r="IT33" t="s">
        <v>1873</v>
      </c>
      <c r="IU33" t="s">
        <v>1873</v>
      </c>
      <c r="IV33" t="s">
        <v>1873</v>
      </c>
      <c r="IW33" t="s">
        <v>1873</v>
      </c>
      <c r="IX33" t="s">
        <v>1873</v>
      </c>
      <c r="IY33" t="s">
        <v>1873</v>
      </c>
      <c r="IZ33" t="s">
        <v>1873</v>
      </c>
      <c r="JA33" t="s">
        <v>1873</v>
      </c>
      <c r="JB33" t="s">
        <v>1965</v>
      </c>
      <c r="JC33" t="s">
        <v>1873</v>
      </c>
      <c r="JD33" t="s">
        <v>1873</v>
      </c>
      <c r="JE33" t="s">
        <v>1873</v>
      </c>
      <c r="JF33" t="s">
        <v>1873</v>
      </c>
      <c r="JG33" t="s">
        <v>1873</v>
      </c>
      <c r="JH33" t="s">
        <v>1873</v>
      </c>
      <c r="JI33" t="s">
        <v>1873</v>
      </c>
      <c r="JJ33" t="s">
        <v>1873</v>
      </c>
      <c r="JK33" t="s">
        <v>1858</v>
      </c>
      <c r="JL33" t="s">
        <v>1965</v>
      </c>
      <c r="JM33" t="s">
        <v>1873</v>
      </c>
      <c r="JN33" t="s">
        <v>1873</v>
      </c>
      <c r="JO33" t="s">
        <v>1858</v>
      </c>
      <c r="JP33" t="s">
        <v>1858</v>
      </c>
      <c r="JQ33" t="s">
        <v>1873</v>
      </c>
      <c r="JR33" t="s">
        <v>1873</v>
      </c>
      <c r="JS33" t="s">
        <v>1858</v>
      </c>
      <c r="JT33" t="s">
        <v>1965</v>
      </c>
      <c r="JU33" t="s">
        <v>1858</v>
      </c>
      <c r="JV33" t="s">
        <v>1965</v>
      </c>
      <c r="JW33" t="s">
        <v>1873</v>
      </c>
      <c r="JX33" t="s">
        <v>1873</v>
      </c>
      <c r="JY33" t="s">
        <v>1873</v>
      </c>
      <c r="JZ33" t="s">
        <v>1965</v>
      </c>
      <c r="KA33" t="s">
        <v>1873</v>
      </c>
      <c r="KB33" t="s">
        <v>1873</v>
      </c>
      <c r="KC33" t="s">
        <v>1873</v>
      </c>
      <c r="KD33" t="s">
        <v>1873</v>
      </c>
      <c r="KE33" t="s">
        <v>1873</v>
      </c>
      <c r="KF33" t="s">
        <v>1873</v>
      </c>
      <c r="KG33" t="s">
        <v>1873</v>
      </c>
      <c r="KH33" t="s">
        <v>1873</v>
      </c>
      <c r="KI33" t="s">
        <v>1873</v>
      </c>
      <c r="KJ33" t="s">
        <v>1858</v>
      </c>
      <c r="KK33" t="s">
        <v>1873</v>
      </c>
      <c r="KL33" t="s">
        <v>1873</v>
      </c>
      <c r="KM33" t="s">
        <v>1873</v>
      </c>
      <c r="KN33" t="s">
        <v>1965</v>
      </c>
      <c r="KO33" t="s">
        <v>1873</v>
      </c>
      <c r="KP33" t="s">
        <v>1858</v>
      </c>
      <c r="KQ33" t="s">
        <v>1858</v>
      </c>
      <c r="KR33" t="s">
        <v>1873</v>
      </c>
      <c r="KS33" t="s">
        <v>1873</v>
      </c>
      <c r="KT33" t="s">
        <v>1873</v>
      </c>
      <c r="KU33" t="s">
        <v>1873</v>
      </c>
      <c r="KV33" t="s">
        <v>1873</v>
      </c>
      <c r="KW33" t="s">
        <v>1873</v>
      </c>
      <c r="KX33" t="s">
        <v>1873</v>
      </c>
      <c r="KY33" t="s">
        <v>1873</v>
      </c>
      <c r="KZ33" t="s">
        <v>1873</v>
      </c>
      <c r="LA33" t="s">
        <v>1873</v>
      </c>
      <c r="LB33" t="s">
        <v>1873</v>
      </c>
      <c r="LC33" t="s">
        <v>1873</v>
      </c>
      <c r="LD33" t="s">
        <v>1873</v>
      </c>
      <c r="LE33" t="s">
        <v>1873</v>
      </c>
      <c r="LF33" t="s">
        <v>1873</v>
      </c>
      <c r="LG33" t="s">
        <v>1965</v>
      </c>
      <c r="LH33" t="s">
        <v>1965</v>
      </c>
      <c r="LI33" t="s">
        <v>1965</v>
      </c>
      <c r="LJ33" t="s">
        <v>1873</v>
      </c>
      <c r="LK33" t="s">
        <v>1965</v>
      </c>
      <c r="LL33" t="s">
        <v>1965</v>
      </c>
      <c r="LM33" t="s">
        <v>1873</v>
      </c>
      <c r="LN33" t="s">
        <v>1873</v>
      </c>
      <c r="LO33" t="s">
        <v>1965</v>
      </c>
      <c r="LP33" t="s">
        <v>1965</v>
      </c>
      <c r="LQ33" t="s">
        <v>1965</v>
      </c>
      <c r="LR33" t="s">
        <v>1965</v>
      </c>
      <c r="LS33" t="s">
        <v>1858</v>
      </c>
      <c r="LT33" t="s">
        <v>1858</v>
      </c>
      <c r="LU33" t="s">
        <v>1873</v>
      </c>
      <c r="LV33" t="s">
        <v>1873</v>
      </c>
      <c r="LW33" t="s">
        <v>1965</v>
      </c>
      <c r="LX33" t="s">
        <v>1873</v>
      </c>
      <c r="LY33" t="s">
        <v>1873</v>
      </c>
      <c r="LZ33" t="s">
        <v>1873</v>
      </c>
      <c r="MA33" t="s">
        <v>1873</v>
      </c>
      <c r="MB33" t="s">
        <v>1873</v>
      </c>
      <c r="MC33" t="s">
        <v>1873</v>
      </c>
      <c r="MD33" t="s">
        <v>1965</v>
      </c>
      <c r="ME33" t="s">
        <v>1873</v>
      </c>
      <c r="MF33" t="s">
        <v>1873</v>
      </c>
      <c r="MG33" t="s">
        <v>1965</v>
      </c>
      <c r="MH33" t="s">
        <v>1965</v>
      </c>
      <c r="MI33" t="s">
        <v>1965</v>
      </c>
      <c r="MJ33" t="s">
        <v>1873</v>
      </c>
      <c r="MK33" t="s">
        <v>1873</v>
      </c>
      <c r="ML33" t="s">
        <v>1873</v>
      </c>
      <c r="MM33" t="s">
        <v>1873</v>
      </c>
      <c r="MN33" t="s">
        <v>1873</v>
      </c>
      <c r="MO33" t="s">
        <v>1873</v>
      </c>
      <c r="MP33" t="s">
        <v>1873</v>
      </c>
      <c r="MQ33" t="s">
        <v>1873</v>
      </c>
      <c r="MR33" t="s">
        <v>1873</v>
      </c>
      <c r="MS33" t="s">
        <v>1873</v>
      </c>
      <c r="MT33" t="s">
        <v>1873</v>
      </c>
      <c r="MU33" t="s">
        <v>1873</v>
      </c>
      <c r="MV33" t="s">
        <v>1873</v>
      </c>
      <c r="MW33" t="s">
        <v>1873</v>
      </c>
      <c r="MX33" t="s">
        <v>1965</v>
      </c>
      <c r="MY33" t="s">
        <v>1873</v>
      </c>
      <c r="MZ33" t="s">
        <v>1965</v>
      </c>
      <c r="NA33" t="s">
        <v>1873</v>
      </c>
      <c r="NB33" t="s">
        <v>1873</v>
      </c>
      <c r="NC33" t="s">
        <v>1873</v>
      </c>
      <c r="ND33" t="s">
        <v>1873</v>
      </c>
      <c r="NG33" t="s">
        <v>1873</v>
      </c>
      <c r="NH33" t="s">
        <v>1873</v>
      </c>
      <c r="NI33" t="s">
        <v>1873</v>
      </c>
      <c r="NJ33" t="s">
        <v>1873</v>
      </c>
      <c r="NK33" t="s">
        <v>1873</v>
      </c>
      <c r="NL33" t="s">
        <v>1873</v>
      </c>
      <c r="NM33" t="s">
        <v>1873</v>
      </c>
      <c r="NN33" t="s">
        <v>1965</v>
      </c>
      <c r="NR33" t="s">
        <v>1489</v>
      </c>
      <c r="NS33" t="s">
        <v>2047</v>
      </c>
      <c r="NX33" t="s">
        <v>2048</v>
      </c>
      <c r="NY33" t="s">
        <v>1918</v>
      </c>
    </row>
    <row r="34" spans="1:389" ht="15" customHeight="1" x14ac:dyDescent="0.25">
      <c r="A34" t="s">
        <v>1974</v>
      </c>
      <c r="B34" t="s">
        <v>2049</v>
      </c>
      <c r="C34" t="s">
        <v>1850</v>
      </c>
      <c r="D34" t="s">
        <v>1490</v>
      </c>
      <c r="G34" t="s">
        <v>1974</v>
      </c>
      <c r="H34" t="s">
        <v>1918</v>
      </c>
      <c r="I34" t="s">
        <v>1918</v>
      </c>
      <c r="J34" t="s">
        <v>1918</v>
      </c>
      <c r="K34" t="s">
        <v>1974</v>
      </c>
      <c r="L34" t="s">
        <v>1974</v>
      </c>
      <c r="M34" t="s">
        <v>1974</v>
      </c>
      <c r="N34" t="s">
        <v>1974</v>
      </c>
      <c r="O34" t="s">
        <v>1918</v>
      </c>
      <c r="P34" t="s">
        <v>1974</v>
      </c>
      <c r="Q34" t="s">
        <v>1918</v>
      </c>
      <c r="R34" t="s">
        <v>1974</v>
      </c>
      <c r="S34" t="s">
        <v>1974</v>
      </c>
      <c r="T34" t="s">
        <v>1918</v>
      </c>
      <c r="U34" t="s">
        <v>1918</v>
      </c>
      <c r="V34" t="s">
        <v>1918</v>
      </c>
      <c r="W34" t="s">
        <v>1918</v>
      </c>
      <c r="X34" t="s">
        <v>1918</v>
      </c>
      <c r="Y34" t="s">
        <v>1918</v>
      </c>
      <c r="AA34" t="s">
        <v>1918</v>
      </c>
      <c r="AB34" t="s">
        <v>1918</v>
      </c>
      <c r="AC34" t="s">
        <v>1918</v>
      </c>
      <c r="AD34" t="s">
        <v>1918</v>
      </c>
      <c r="AE34" t="s">
        <v>1918</v>
      </c>
      <c r="AF34" t="s">
        <v>1918</v>
      </c>
      <c r="AG34" t="s">
        <v>1918</v>
      </c>
      <c r="AH34" t="s">
        <v>1974</v>
      </c>
      <c r="AI34" t="s">
        <v>1918</v>
      </c>
      <c r="AJ34" t="s">
        <v>1918</v>
      </c>
      <c r="AK34" t="s">
        <v>1918</v>
      </c>
      <c r="AL34" t="s">
        <v>1918</v>
      </c>
      <c r="AM34" t="s">
        <v>1974</v>
      </c>
      <c r="AN34" t="s">
        <v>1918</v>
      </c>
      <c r="AO34" t="s">
        <v>1974</v>
      </c>
      <c r="AP34" t="s">
        <v>1974</v>
      </c>
      <c r="AQ34" t="s">
        <v>1974</v>
      </c>
      <c r="AR34" t="s">
        <v>1974</v>
      </c>
      <c r="AS34" t="s">
        <v>1918</v>
      </c>
      <c r="AT34" t="s">
        <v>1918</v>
      </c>
      <c r="AU34" t="s">
        <v>1918</v>
      </c>
      <c r="AV34" t="s">
        <v>1918</v>
      </c>
      <c r="AW34" t="s">
        <v>1918</v>
      </c>
      <c r="AX34" t="s">
        <v>1918</v>
      </c>
      <c r="AY34" t="s">
        <v>1918</v>
      </c>
      <c r="AZ34" t="s">
        <v>1918</v>
      </c>
      <c r="BA34" t="s">
        <v>1918</v>
      </c>
      <c r="BB34" t="s">
        <v>1918</v>
      </c>
      <c r="BC34" t="s">
        <v>1918</v>
      </c>
      <c r="BD34" t="s">
        <v>1918</v>
      </c>
      <c r="BE34" t="s">
        <v>1918</v>
      </c>
      <c r="BF34" t="s">
        <v>1918</v>
      </c>
      <c r="BG34" t="s">
        <v>1918</v>
      </c>
      <c r="BH34" t="s">
        <v>1918</v>
      </c>
      <c r="BI34" t="s">
        <v>1918</v>
      </c>
      <c r="BJ34" t="s">
        <v>1918</v>
      </c>
      <c r="BK34" t="s">
        <v>1918</v>
      </c>
      <c r="BL34" t="s">
        <v>1918</v>
      </c>
      <c r="BM34" t="s">
        <v>1918</v>
      </c>
      <c r="BN34" t="s">
        <v>1918</v>
      </c>
      <c r="BO34" t="s">
        <v>1918</v>
      </c>
      <c r="BP34" t="s">
        <v>1918</v>
      </c>
      <c r="BQ34" t="s">
        <v>1918</v>
      </c>
      <c r="BR34" t="s">
        <v>1918</v>
      </c>
      <c r="BS34" t="s">
        <v>1918</v>
      </c>
      <c r="BT34" t="s">
        <v>1918</v>
      </c>
      <c r="BU34" t="s">
        <v>1918</v>
      </c>
      <c r="BV34" t="s">
        <v>1918</v>
      </c>
      <c r="BW34" t="s">
        <v>1918</v>
      </c>
      <c r="BX34" t="s">
        <v>1918</v>
      </c>
      <c r="BY34" t="s">
        <v>1918</v>
      </c>
      <c r="BZ34" t="s">
        <v>1974</v>
      </c>
      <c r="CA34" t="s">
        <v>1974</v>
      </c>
      <c r="CB34" t="s">
        <v>1918</v>
      </c>
      <c r="CC34" t="s">
        <v>1918</v>
      </c>
      <c r="CD34" t="s">
        <v>1918</v>
      </c>
      <c r="CE34" t="s">
        <v>1974</v>
      </c>
      <c r="CF34" t="s">
        <v>1918</v>
      </c>
      <c r="CG34" t="s">
        <v>1918</v>
      </c>
      <c r="CH34" t="s">
        <v>1918</v>
      </c>
      <c r="CI34" t="s">
        <v>1918</v>
      </c>
      <c r="CJ34" t="s">
        <v>1918</v>
      </c>
      <c r="CK34" t="s">
        <v>1974</v>
      </c>
      <c r="CL34" t="s">
        <v>1974</v>
      </c>
      <c r="CM34" t="s">
        <v>1974</v>
      </c>
      <c r="CN34" t="s">
        <v>1974</v>
      </c>
      <c r="CO34" t="s">
        <v>1974</v>
      </c>
      <c r="CP34" t="s">
        <v>1974</v>
      </c>
      <c r="CQ34" t="s">
        <v>1974</v>
      </c>
      <c r="CR34" t="s">
        <v>1974</v>
      </c>
      <c r="CS34" t="s">
        <v>1918</v>
      </c>
      <c r="CT34" t="s">
        <v>1918</v>
      </c>
      <c r="CU34" t="s">
        <v>1974</v>
      </c>
      <c r="CV34" t="s">
        <v>1918</v>
      </c>
      <c r="CW34" t="s">
        <v>1918</v>
      </c>
      <c r="CX34" t="s">
        <v>1918</v>
      </c>
      <c r="CY34" t="s">
        <v>1918</v>
      </c>
      <c r="CZ34" t="s">
        <v>1974</v>
      </c>
      <c r="DA34" t="s">
        <v>1974</v>
      </c>
      <c r="DB34" t="s">
        <v>1974</v>
      </c>
      <c r="DC34" t="s">
        <v>1974</v>
      </c>
      <c r="DD34" t="s">
        <v>1918</v>
      </c>
      <c r="DE34" t="s">
        <v>1918</v>
      </c>
      <c r="DF34" t="s">
        <v>1918</v>
      </c>
      <c r="DG34" t="s">
        <v>1918</v>
      </c>
      <c r="DH34" t="s">
        <v>1918</v>
      </c>
      <c r="DI34" t="s">
        <v>1918</v>
      </c>
      <c r="DJ34" t="s">
        <v>1974</v>
      </c>
      <c r="DK34" t="s">
        <v>1974</v>
      </c>
      <c r="DL34" t="s">
        <v>1918</v>
      </c>
      <c r="DM34" t="s">
        <v>1918</v>
      </c>
      <c r="DN34" t="s">
        <v>1918</v>
      </c>
      <c r="DO34" t="s">
        <v>1974</v>
      </c>
      <c r="DP34" t="s">
        <v>1974</v>
      </c>
      <c r="DQ34" t="s">
        <v>1974</v>
      </c>
      <c r="DR34" t="s">
        <v>1974</v>
      </c>
      <c r="DS34" t="s">
        <v>1918</v>
      </c>
      <c r="DT34" t="s">
        <v>1974</v>
      </c>
      <c r="DU34" t="s">
        <v>1974</v>
      </c>
      <c r="DV34" t="s">
        <v>1974</v>
      </c>
      <c r="DW34" t="s">
        <v>1918</v>
      </c>
      <c r="DX34" t="s">
        <v>1918</v>
      </c>
      <c r="DY34" t="s">
        <v>1918</v>
      </c>
      <c r="DZ34" t="s">
        <v>1918</v>
      </c>
      <c r="EA34" t="s">
        <v>1974</v>
      </c>
      <c r="EB34" t="s">
        <v>1974</v>
      </c>
      <c r="EC34" t="s">
        <v>1974</v>
      </c>
      <c r="ED34" t="s">
        <v>1918</v>
      </c>
      <c r="EE34" t="s">
        <v>1918</v>
      </c>
      <c r="EF34" t="s">
        <v>1918</v>
      </c>
      <c r="EG34" t="s">
        <v>1974</v>
      </c>
      <c r="EH34" t="s">
        <v>1974</v>
      </c>
      <c r="EI34" t="s">
        <v>1974</v>
      </c>
      <c r="EJ34" t="s">
        <v>1974</v>
      </c>
      <c r="EK34" t="s">
        <v>1974</v>
      </c>
      <c r="EL34" t="s">
        <v>1974</v>
      </c>
      <c r="EM34" t="s">
        <v>1918</v>
      </c>
      <c r="EN34" t="s">
        <v>1918</v>
      </c>
      <c r="EO34" t="s">
        <v>1918</v>
      </c>
      <c r="ET34" t="s">
        <v>1918</v>
      </c>
      <c r="EU34" t="s">
        <v>1918</v>
      </c>
      <c r="EV34" t="s">
        <v>1918</v>
      </c>
      <c r="EW34" t="s">
        <v>1918</v>
      </c>
      <c r="EX34" t="s">
        <v>1873</v>
      </c>
      <c r="EY34" t="s">
        <v>1974</v>
      </c>
      <c r="EZ34" t="s">
        <v>1918</v>
      </c>
      <c r="FA34" t="s">
        <v>1974</v>
      </c>
      <c r="FB34" t="s">
        <v>1974</v>
      </c>
      <c r="FC34" t="s">
        <v>1974</v>
      </c>
      <c r="FD34" t="s">
        <v>1918</v>
      </c>
      <c r="FE34" t="s">
        <v>1918</v>
      </c>
      <c r="FF34" t="s">
        <v>1974</v>
      </c>
      <c r="FG34" t="s">
        <v>1974</v>
      </c>
      <c r="FH34" t="s">
        <v>1974</v>
      </c>
      <c r="FI34" t="s">
        <v>1974</v>
      </c>
      <c r="FJ34" t="s">
        <v>1873</v>
      </c>
      <c r="FK34" t="s">
        <v>1918</v>
      </c>
      <c r="FL34" t="s">
        <v>1918</v>
      </c>
      <c r="FM34" t="s">
        <v>1918</v>
      </c>
      <c r="FN34" t="s">
        <v>1918</v>
      </c>
      <c r="FO34" t="s">
        <v>1918</v>
      </c>
      <c r="FP34" t="s">
        <v>1918</v>
      </c>
      <c r="FQ34" t="s">
        <v>1918</v>
      </c>
      <c r="FR34" t="s">
        <v>1918</v>
      </c>
      <c r="FS34" t="s">
        <v>1918</v>
      </c>
      <c r="FT34" t="s">
        <v>1918</v>
      </c>
      <c r="FU34" t="s">
        <v>1918</v>
      </c>
      <c r="FV34" t="s">
        <v>1918</v>
      </c>
      <c r="FW34" t="s">
        <v>1918</v>
      </c>
      <c r="FX34" t="s">
        <v>1918</v>
      </c>
      <c r="FY34" t="s">
        <v>1974</v>
      </c>
      <c r="FZ34" t="s">
        <v>1974</v>
      </c>
      <c r="GA34" t="s">
        <v>1974</v>
      </c>
      <c r="GB34" t="s">
        <v>1918</v>
      </c>
      <c r="GC34" t="s">
        <v>1918</v>
      </c>
      <c r="GD34" t="s">
        <v>1918</v>
      </c>
      <c r="GE34" t="s">
        <v>1918</v>
      </c>
      <c r="GF34" t="s">
        <v>1918</v>
      </c>
      <c r="GG34" t="s">
        <v>1918</v>
      </c>
      <c r="GH34" t="s">
        <v>1918</v>
      </c>
      <c r="GI34" t="s">
        <v>1918</v>
      </c>
      <c r="GJ34" t="s">
        <v>1918</v>
      </c>
      <c r="GK34" t="s">
        <v>1918</v>
      </c>
      <c r="GL34" t="s">
        <v>1918</v>
      </c>
      <c r="GM34" t="s">
        <v>1918</v>
      </c>
      <c r="GN34" t="s">
        <v>1918</v>
      </c>
      <c r="GO34" t="s">
        <v>1918</v>
      </c>
      <c r="GP34" t="s">
        <v>1918</v>
      </c>
      <c r="GQ34" t="s">
        <v>1918</v>
      </c>
      <c r="GR34" t="s">
        <v>1918</v>
      </c>
      <c r="GS34" t="s">
        <v>1918</v>
      </c>
      <c r="GT34" t="s">
        <v>1918</v>
      </c>
      <c r="GU34" t="s">
        <v>1918</v>
      </c>
      <c r="GV34" t="s">
        <v>1918</v>
      </c>
      <c r="GW34" t="s">
        <v>1918</v>
      </c>
      <c r="GX34" t="s">
        <v>1918</v>
      </c>
      <c r="GY34" t="s">
        <v>1918</v>
      </c>
      <c r="GZ34" t="s">
        <v>1918</v>
      </c>
      <c r="HA34" t="s">
        <v>1918</v>
      </c>
      <c r="HB34" t="s">
        <v>1918</v>
      </c>
      <c r="HC34" t="s">
        <v>1873</v>
      </c>
      <c r="HD34" t="s">
        <v>1974</v>
      </c>
      <c r="HE34" t="s">
        <v>1873</v>
      </c>
      <c r="HF34" t="s">
        <v>1974</v>
      </c>
      <c r="HG34" t="s">
        <v>1918</v>
      </c>
      <c r="HH34" t="s">
        <v>1873</v>
      </c>
      <c r="HI34" t="s">
        <v>1873</v>
      </c>
      <c r="HJ34" t="s">
        <v>1918</v>
      </c>
      <c r="HK34" t="s">
        <v>1918</v>
      </c>
      <c r="HL34" t="s">
        <v>1918</v>
      </c>
      <c r="HM34" t="s">
        <v>1873</v>
      </c>
      <c r="HN34" t="s">
        <v>1918</v>
      </c>
      <c r="HO34" t="s">
        <v>1974</v>
      </c>
      <c r="HP34" t="s">
        <v>1873</v>
      </c>
      <c r="HQ34" t="s">
        <v>1974</v>
      </c>
      <c r="HR34" t="s">
        <v>1974</v>
      </c>
      <c r="HS34" t="s">
        <v>1974</v>
      </c>
      <c r="HT34" t="s">
        <v>1918</v>
      </c>
      <c r="HU34" t="s">
        <v>1918</v>
      </c>
      <c r="HV34" t="s">
        <v>1918</v>
      </c>
      <c r="HW34" t="s">
        <v>1918</v>
      </c>
      <c r="HX34" t="s">
        <v>1918</v>
      </c>
      <c r="HY34" t="s">
        <v>1918</v>
      </c>
      <c r="HZ34" t="s">
        <v>1873</v>
      </c>
      <c r="IA34" t="s">
        <v>1918</v>
      </c>
      <c r="IB34" t="s">
        <v>1918</v>
      </c>
      <c r="IC34" t="s">
        <v>1873</v>
      </c>
      <c r="ID34" t="s">
        <v>1918</v>
      </c>
      <c r="IE34" t="s">
        <v>1918</v>
      </c>
      <c r="IF34" t="s">
        <v>1974</v>
      </c>
      <c r="IG34" t="s">
        <v>1974</v>
      </c>
      <c r="IH34" t="s">
        <v>1974</v>
      </c>
      <c r="II34" t="s">
        <v>1974</v>
      </c>
      <c r="IJ34" t="s">
        <v>1974</v>
      </c>
      <c r="IK34" t="s">
        <v>1918</v>
      </c>
      <c r="IL34" t="s">
        <v>1873</v>
      </c>
      <c r="IM34" t="s">
        <v>1918</v>
      </c>
      <c r="IN34" t="s">
        <v>1918</v>
      </c>
      <c r="IO34" t="s">
        <v>1974</v>
      </c>
      <c r="IP34" t="s">
        <v>1918</v>
      </c>
      <c r="IQ34" t="s">
        <v>1918</v>
      </c>
      <c r="IR34" t="s">
        <v>1873</v>
      </c>
      <c r="IS34" t="s">
        <v>1918</v>
      </c>
      <c r="IT34" t="s">
        <v>1918</v>
      </c>
      <c r="IU34" t="s">
        <v>1918</v>
      </c>
      <c r="IV34" t="s">
        <v>1918</v>
      </c>
      <c r="IW34" t="s">
        <v>1918</v>
      </c>
      <c r="IX34" t="s">
        <v>1918</v>
      </c>
      <c r="IY34" t="s">
        <v>1918</v>
      </c>
      <c r="IZ34" t="s">
        <v>1918</v>
      </c>
      <c r="JA34" t="s">
        <v>1918</v>
      </c>
      <c r="JB34" t="s">
        <v>1974</v>
      </c>
      <c r="JC34" t="s">
        <v>1918</v>
      </c>
      <c r="JD34" t="s">
        <v>1918</v>
      </c>
      <c r="JE34" t="s">
        <v>1918</v>
      </c>
      <c r="JF34" t="s">
        <v>1918</v>
      </c>
      <c r="JG34" t="s">
        <v>1918</v>
      </c>
      <c r="JH34" t="s">
        <v>1918</v>
      </c>
      <c r="JI34" t="s">
        <v>1918</v>
      </c>
      <c r="JJ34" t="s">
        <v>1918</v>
      </c>
      <c r="JK34" t="s">
        <v>1873</v>
      </c>
      <c r="JL34" t="s">
        <v>1974</v>
      </c>
      <c r="JM34" t="s">
        <v>1918</v>
      </c>
      <c r="JN34" t="s">
        <v>1918</v>
      </c>
      <c r="JO34" t="s">
        <v>1873</v>
      </c>
      <c r="JP34" t="s">
        <v>1873</v>
      </c>
      <c r="JQ34" t="s">
        <v>1918</v>
      </c>
      <c r="JR34" t="s">
        <v>1918</v>
      </c>
      <c r="JS34" t="s">
        <v>1873</v>
      </c>
      <c r="JT34" t="s">
        <v>1974</v>
      </c>
      <c r="JU34" t="s">
        <v>1873</v>
      </c>
      <c r="JV34" t="s">
        <v>1974</v>
      </c>
      <c r="JW34" t="s">
        <v>1918</v>
      </c>
      <c r="JX34" t="s">
        <v>1918</v>
      </c>
      <c r="JY34" t="s">
        <v>1918</v>
      </c>
      <c r="JZ34" t="s">
        <v>1974</v>
      </c>
      <c r="KA34" t="s">
        <v>1918</v>
      </c>
      <c r="KB34" t="s">
        <v>1918</v>
      </c>
      <c r="KC34" t="s">
        <v>1918</v>
      </c>
      <c r="KD34" t="s">
        <v>1918</v>
      </c>
      <c r="KE34" t="s">
        <v>1918</v>
      </c>
      <c r="KF34" t="s">
        <v>1918</v>
      </c>
      <c r="KG34" t="s">
        <v>1918</v>
      </c>
      <c r="KH34" t="s">
        <v>1918</v>
      </c>
      <c r="KI34" t="s">
        <v>1918</v>
      </c>
      <c r="KJ34" t="s">
        <v>1873</v>
      </c>
      <c r="KK34" t="s">
        <v>1918</v>
      </c>
      <c r="KL34" t="s">
        <v>1918</v>
      </c>
      <c r="KM34" t="s">
        <v>1918</v>
      </c>
      <c r="KN34" t="s">
        <v>1974</v>
      </c>
      <c r="KO34" t="s">
        <v>1918</v>
      </c>
      <c r="KP34" t="s">
        <v>1873</v>
      </c>
      <c r="KQ34" t="s">
        <v>1873</v>
      </c>
      <c r="KR34" t="s">
        <v>1918</v>
      </c>
      <c r="KS34" t="s">
        <v>1918</v>
      </c>
      <c r="KT34" t="s">
        <v>1918</v>
      </c>
      <c r="KU34" t="s">
        <v>1918</v>
      </c>
      <c r="KV34" t="s">
        <v>1918</v>
      </c>
      <c r="KW34" t="s">
        <v>1918</v>
      </c>
      <c r="KX34" t="s">
        <v>1918</v>
      </c>
      <c r="KY34" t="s">
        <v>1918</v>
      </c>
      <c r="KZ34" t="s">
        <v>1918</v>
      </c>
      <c r="LA34" t="s">
        <v>1918</v>
      </c>
      <c r="LB34" t="s">
        <v>1918</v>
      </c>
      <c r="LC34" t="s">
        <v>1918</v>
      </c>
      <c r="LD34" t="s">
        <v>1918</v>
      </c>
      <c r="LE34" t="s">
        <v>1918</v>
      </c>
      <c r="LF34" t="s">
        <v>1918</v>
      </c>
      <c r="LG34" t="s">
        <v>1974</v>
      </c>
      <c r="LH34" t="s">
        <v>1974</v>
      </c>
      <c r="LI34" t="s">
        <v>1974</v>
      </c>
      <c r="LJ34" t="s">
        <v>1918</v>
      </c>
      <c r="LK34" t="s">
        <v>1974</v>
      </c>
      <c r="LL34" t="s">
        <v>1974</v>
      </c>
      <c r="LM34" t="s">
        <v>1918</v>
      </c>
      <c r="LN34" t="s">
        <v>1918</v>
      </c>
      <c r="LO34" t="s">
        <v>1974</v>
      </c>
      <c r="LP34" t="s">
        <v>1974</v>
      </c>
      <c r="LQ34" t="s">
        <v>1974</v>
      </c>
      <c r="LR34" t="s">
        <v>1974</v>
      </c>
      <c r="LS34" t="s">
        <v>1873</v>
      </c>
      <c r="LT34" t="s">
        <v>1873</v>
      </c>
      <c r="LU34" t="s">
        <v>1918</v>
      </c>
      <c r="LV34" t="s">
        <v>1918</v>
      </c>
      <c r="LW34" t="s">
        <v>1974</v>
      </c>
      <c r="LX34" t="s">
        <v>1918</v>
      </c>
      <c r="LY34" t="s">
        <v>1918</v>
      </c>
      <c r="LZ34" t="s">
        <v>1918</v>
      </c>
      <c r="MA34" t="s">
        <v>1918</v>
      </c>
      <c r="MB34" t="s">
        <v>1918</v>
      </c>
      <c r="MC34" t="s">
        <v>1918</v>
      </c>
      <c r="MD34" t="s">
        <v>1974</v>
      </c>
      <c r="ME34" t="s">
        <v>1918</v>
      </c>
      <c r="MF34" t="s">
        <v>1918</v>
      </c>
      <c r="MG34" t="s">
        <v>1974</v>
      </c>
      <c r="MH34" t="s">
        <v>1974</v>
      </c>
      <c r="MI34" t="s">
        <v>1974</v>
      </c>
      <c r="MJ34" t="s">
        <v>1918</v>
      </c>
      <c r="MK34" t="s">
        <v>1918</v>
      </c>
      <c r="ML34" t="s">
        <v>1918</v>
      </c>
      <c r="MM34" t="s">
        <v>1918</v>
      </c>
      <c r="MN34" t="s">
        <v>1918</v>
      </c>
      <c r="MO34" t="s">
        <v>1918</v>
      </c>
      <c r="MP34" t="s">
        <v>1918</v>
      </c>
      <c r="MQ34" t="s">
        <v>1918</v>
      </c>
      <c r="MR34" t="s">
        <v>1918</v>
      </c>
      <c r="MS34" t="s">
        <v>1918</v>
      </c>
      <c r="MT34" t="s">
        <v>1918</v>
      </c>
      <c r="MU34" t="s">
        <v>1918</v>
      </c>
      <c r="MV34" t="s">
        <v>1918</v>
      </c>
      <c r="MW34" t="s">
        <v>1918</v>
      </c>
      <c r="MX34" t="s">
        <v>1974</v>
      </c>
      <c r="MY34" t="s">
        <v>1918</v>
      </c>
      <c r="MZ34" t="s">
        <v>1974</v>
      </c>
      <c r="NA34" t="s">
        <v>1918</v>
      </c>
      <c r="NB34" t="s">
        <v>1918</v>
      </c>
      <c r="NC34" t="s">
        <v>1918</v>
      </c>
      <c r="ND34" t="s">
        <v>1918</v>
      </c>
      <c r="NG34" t="s">
        <v>1918</v>
      </c>
      <c r="NH34" t="s">
        <v>1918</v>
      </c>
      <c r="NI34" t="s">
        <v>1918</v>
      </c>
      <c r="NJ34" t="s">
        <v>1918</v>
      </c>
      <c r="NK34" t="s">
        <v>1918</v>
      </c>
      <c r="NL34" t="s">
        <v>1918</v>
      </c>
      <c r="NM34" t="s">
        <v>1918</v>
      </c>
      <c r="NN34" t="s">
        <v>1974</v>
      </c>
      <c r="NR34" t="s">
        <v>1490</v>
      </c>
      <c r="NS34" t="s">
        <v>2050</v>
      </c>
      <c r="NX34" t="s">
        <v>2051</v>
      </c>
      <c r="NY34" t="s">
        <v>1885</v>
      </c>
    </row>
    <row r="35" spans="1:389" ht="15" customHeight="1" x14ac:dyDescent="0.25">
      <c r="A35" t="s">
        <v>2052</v>
      </c>
      <c r="B35" t="s">
        <v>2053</v>
      </c>
      <c r="C35" t="s">
        <v>1841</v>
      </c>
      <c r="D35" t="s">
        <v>1491</v>
      </c>
      <c r="G35" t="s">
        <v>2052</v>
      </c>
      <c r="H35" t="s">
        <v>1926</v>
      </c>
      <c r="I35" t="s">
        <v>1926</v>
      </c>
      <c r="J35" t="s">
        <v>1926</v>
      </c>
      <c r="K35" t="s">
        <v>2052</v>
      </c>
      <c r="L35" t="s">
        <v>2052</v>
      </c>
      <c r="M35" t="s">
        <v>2052</v>
      </c>
      <c r="N35" t="s">
        <v>2052</v>
      </c>
      <c r="O35" t="s">
        <v>1926</v>
      </c>
      <c r="P35" t="s">
        <v>2052</v>
      </c>
      <c r="Q35" t="s">
        <v>1926</v>
      </c>
      <c r="R35" t="s">
        <v>2052</v>
      </c>
      <c r="S35" t="s">
        <v>2052</v>
      </c>
      <c r="T35" t="s">
        <v>1926</v>
      </c>
      <c r="U35" t="s">
        <v>1926</v>
      </c>
      <c r="V35" t="s">
        <v>1926</v>
      </c>
      <c r="W35" t="s">
        <v>1926</v>
      </c>
      <c r="X35" t="s">
        <v>1926</v>
      </c>
      <c r="Y35" t="s">
        <v>1926</v>
      </c>
      <c r="AA35" t="s">
        <v>1926</v>
      </c>
      <c r="AB35" t="s">
        <v>1926</v>
      </c>
      <c r="AC35" t="s">
        <v>1926</v>
      </c>
      <c r="AD35" t="s">
        <v>1926</v>
      </c>
      <c r="AE35" t="s">
        <v>1926</v>
      </c>
      <c r="AF35" t="s">
        <v>1926</v>
      </c>
      <c r="AG35" t="s">
        <v>1926</v>
      </c>
      <c r="AH35" t="s">
        <v>2052</v>
      </c>
      <c r="AI35" t="s">
        <v>1926</v>
      </c>
      <c r="AJ35" t="s">
        <v>1926</v>
      </c>
      <c r="AK35" t="s">
        <v>1926</v>
      </c>
      <c r="AL35" t="s">
        <v>1926</v>
      </c>
      <c r="AM35" t="s">
        <v>2052</v>
      </c>
      <c r="AN35" t="s">
        <v>1926</v>
      </c>
      <c r="AO35" t="s">
        <v>2052</v>
      </c>
      <c r="AP35" t="s">
        <v>2052</v>
      </c>
      <c r="AQ35" t="s">
        <v>2052</v>
      </c>
      <c r="AR35" t="s">
        <v>2052</v>
      </c>
      <c r="AS35" t="s">
        <v>1926</v>
      </c>
      <c r="AT35" t="s">
        <v>1926</v>
      </c>
      <c r="AU35" t="s">
        <v>1926</v>
      </c>
      <c r="AV35" t="s">
        <v>1926</v>
      </c>
      <c r="AW35" t="s">
        <v>1926</v>
      </c>
      <c r="AX35" t="s">
        <v>1926</v>
      </c>
      <c r="AY35" t="s">
        <v>1926</v>
      </c>
      <c r="AZ35" t="s">
        <v>1926</v>
      </c>
      <c r="BA35" t="s">
        <v>1926</v>
      </c>
      <c r="BB35" t="s">
        <v>1926</v>
      </c>
      <c r="BC35" t="s">
        <v>1926</v>
      </c>
      <c r="BD35" t="s">
        <v>1926</v>
      </c>
      <c r="BE35" t="s">
        <v>1926</v>
      </c>
      <c r="BF35" t="s">
        <v>1926</v>
      </c>
      <c r="BG35" t="s">
        <v>1926</v>
      </c>
      <c r="BH35" t="s">
        <v>1926</v>
      </c>
      <c r="BI35" t="s">
        <v>1926</v>
      </c>
      <c r="BJ35" t="s">
        <v>1926</v>
      </c>
      <c r="BK35" t="s">
        <v>1926</v>
      </c>
      <c r="BL35" t="s">
        <v>1926</v>
      </c>
      <c r="BM35" t="s">
        <v>1926</v>
      </c>
      <c r="BN35" t="s">
        <v>1926</v>
      </c>
      <c r="BO35" t="s">
        <v>1926</v>
      </c>
      <c r="BP35" t="s">
        <v>1926</v>
      </c>
      <c r="BQ35" t="s">
        <v>1926</v>
      </c>
      <c r="BR35" t="s">
        <v>1926</v>
      </c>
      <c r="BS35" t="s">
        <v>1926</v>
      </c>
      <c r="BT35" t="s">
        <v>1926</v>
      </c>
      <c r="BU35" t="s">
        <v>1926</v>
      </c>
      <c r="BV35" t="s">
        <v>1926</v>
      </c>
      <c r="BW35" t="s">
        <v>1926</v>
      </c>
      <c r="BX35" t="s">
        <v>1926</v>
      </c>
      <c r="BY35" t="s">
        <v>1926</v>
      </c>
      <c r="BZ35" t="s">
        <v>2052</v>
      </c>
      <c r="CA35" t="s">
        <v>2052</v>
      </c>
      <c r="CB35" t="s">
        <v>1926</v>
      </c>
      <c r="CC35" t="s">
        <v>1926</v>
      </c>
      <c r="CD35" t="s">
        <v>1926</v>
      </c>
      <c r="CE35" t="s">
        <v>2052</v>
      </c>
      <c r="CF35" t="s">
        <v>1926</v>
      </c>
      <c r="CG35" t="s">
        <v>1926</v>
      </c>
      <c r="CH35" t="s">
        <v>1926</v>
      </c>
      <c r="CI35" t="s">
        <v>1926</v>
      </c>
      <c r="CJ35" t="s">
        <v>1926</v>
      </c>
      <c r="CK35" t="s">
        <v>2052</v>
      </c>
      <c r="CL35" t="s">
        <v>2052</v>
      </c>
      <c r="CM35" t="s">
        <v>2052</v>
      </c>
      <c r="CN35" t="s">
        <v>2052</v>
      </c>
      <c r="CO35" t="s">
        <v>2052</v>
      </c>
      <c r="CP35" t="s">
        <v>2052</v>
      </c>
      <c r="CQ35" t="s">
        <v>2052</v>
      </c>
      <c r="CR35" t="s">
        <v>2052</v>
      </c>
      <c r="CS35" t="s">
        <v>1926</v>
      </c>
      <c r="CT35" t="s">
        <v>1926</v>
      </c>
      <c r="CU35" t="s">
        <v>2052</v>
      </c>
      <c r="CV35" t="s">
        <v>1926</v>
      </c>
      <c r="CW35" t="s">
        <v>1926</v>
      </c>
      <c r="CX35" t="s">
        <v>1926</v>
      </c>
      <c r="CY35" t="s">
        <v>1926</v>
      </c>
      <c r="CZ35" t="s">
        <v>2052</v>
      </c>
      <c r="DA35" t="s">
        <v>2052</v>
      </c>
      <c r="DB35" t="s">
        <v>2052</v>
      </c>
      <c r="DC35" t="s">
        <v>2052</v>
      </c>
      <c r="DD35" t="s">
        <v>1926</v>
      </c>
      <c r="DE35" t="s">
        <v>1926</v>
      </c>
      <c r="DF35" t="s">
        <v>1926</v>
      </c>
      <c r="DG35" t="s">
        <v>1926</v>
      </c>
      <c r="DH35" t="s">
        <v>1926</v>
      </c>
      <c r="DI35" t="s">
        <v>1926</v>
      </c>
      <c r="DJ35" t="s">
        <v>2052</v>
      </c>
      <c r="DK35" t="s">
        <v>2052</v>
      </c>
      <c r="DL35" t="s">
        <v>1926</v>
      </c>
      <c r="DM35" t="s">
        <v>1926</v>
      </c>
      <c r="DN35" t="s">
        <v>1926</v>
      </c>
      <c r="DO35" t="s">
        <v>2052</v>
      </c>
      <c r="DP35" t="s">
        <v>2052</v>
      </c>
      <c r="DQ35" t="s">
        <v>2052</v>
      </c>
      <c r="DR35" t="s">
        <v>2052</v>
      </c>
      <c r="DS35" t="s">
        <v>1926</v>
      </c>
      <c r="DT35" t="s">
        <v>2052</v>
      </c>
      <c r="DU35" t="s">
        <v>2052</v>
      </c>
      <c r="DV35" t="s">
        <v>2052</v>
      </c>
      <c r="DW35" t="s">
        <v>1926</v>
      </c>
      <c r="DX35" t="s">
        <v>1926</v>
      </c>
      <c r="DY35" t="s">
        <v>1926</v>
      </c>
      <c r="DZ35" t="s">
        <v>1926</v>
      </c>
      <c r="EA35" t="s">
        <v>2052</v>
      </c>
      <c r="EB35" t="s">
        <v>2052</v>
      </c>
      <c r="EC35" t="s">
        <v>2052</v>
      </c>
      <c r="ED35" t="s">
        <v>1926</v>
      </c>
      <c r="EE35" t="s">
        <v>1926</v>
      </c>
      <c r="EF35" t="s">
        <v>1926</v>
      </c>
      <c r="EG35" t="s">
        <v>2052</v>
      </c>
      <c r="EH35" t="s">
        <v>2052</v>
      </c>
      <c r="EI35" t="s">
        <v>2052</v>
      </c>
      <c r="EJ35" t="s">
        <v>2052</v>
      </c>
      <c r="EK35" t="s">
        <v>2052</v>
      </c>
      <c r="EL35" t="s">
        <v>2052</v>
      </c>
      <c r="EM35" t="s">
        <v>1926</v>
      </c>
      <c r="EN35" t="s">
        <v>1926</v>
      </c>
      <c r="EO35" t="s">
        <v>1926</v>
      </c>
      <c r="ET35" t="s">
        <v>1926</v>
      </c>
      <c r="EU35" t="s">
        <v>1926</v>
      </c>
      <c r="EV35" t="s">
        <v>1926</v>
      </c>
      <c r="EW35" t="s">
        <v>1926</v>
      </c>
      <c r="EX35" t="s">
        <v>1918</v>
      </c>
      <c r="EY35" t="s">
        <v>2052</v>
      </c>
      <c r="EZ35" t="s">
        <v>1926</v>
      </c>
      <c r="FA35" t="s">
        <v>2052</v>
      </c>
      <c r="FB35" t="s">
        <v>2052</v>
      </c>
      <c r="FC35" t="s">
        <v>2052</v>
      </c>
      <c r="FD35" t="s">
        <v>1926</v>
      </c>
      <c r="FE35" t="s">
        <v>1926</v>
      </c>
      <c r="FF35" t="s">
        <v>2052</v>
      </c>
      <c r="FG35" t="s">
        <v>2052</v>
      </c>
      <c r="FH35" t="s">
        <v>2052</v>
      </c>
      <c r="FI35" t="s">
        <v>2052</v>
      </c>
      <c r="FJ35" t="s">
        <v>1918</v>
      </c>
      <c r="FK35" t="s">
        <v>1926</v>
      </c>
      <c r="FL35" t="s">
        <v>1926</v>
      </c>
      <c r="FM35" t="s">
        <v>1926</v>
      </c>
      <c r="FN35" t="s">
        <v>1926</v>
      </c>
      <c r="FO35" t="s">
        <v>1926</v>
      </c>
      <c r="FP35" t="s">
        <v>1926</v>
      </c>
      <c r="FQ35" t="s">
        <v>1926</v>
      </c>
      <c r="FR35" t="s">
        <v>1926</v>
      </c>
      <c r="FS35" t="s">
        <v>1926</v>
      </c>
      <c r="FT35" t="s">
        <v>1926</v>
      </c>
      <c r="FU35" t="s">
        <v>1926</v>
      </c>
      <c r="FV35" t="s">
        <v>1926</v>
      </c>
      <c r="FW35" t="s">
        <v>1926</v>
      </c>
      <c r="FX35" t="s">
        <v>1926</v>
      </c>
      <c r="FY35" t="s">
        <v>2052</v>
      </c>
      <c r="FZ35" t="s">
        <v>2052</v>
      </c>
      <c r="GA35" t="s">
        <v>2052</v>
      </c>
      <c r="GB35" t="s">
        <v>1926</v>
      </c>
      <c r="GC35" t="s">
        <v>1926</v>
      </c>
      <c r="GD35" t="s">
        <v>1926</v>
      </c>
      <c r="GE35" t="s">
        <v>1926</v>
      </c>
      <c r="GF35" t="s">
        <v>1926</v>
      </c>
      <c r="GG35" t="s">
        <v>1926</v>
      </c>
      <c r="GH35" t="s">
        <v>1926</v>
      </c>
      <c r="GI35" t="s">
        <v>1926</v>
      </c>
      <c r="GJ35" t="s">
        <v>1926</v>
      </c>
      <c r="GK35" t="s">
        <v>1926</v>
      </c>
      <c r="GL35" t="s">
        <v>1926</v>
      </c>
      <c r="GM35" t="s">
        <v>1926</v>
      </c>
      <c r="GN35" t="s">
        <v>1926</v>
      </c>
      <c r="GO35" t="s">
        <v>1926</v>
      </c>
      <c r="GP35" t="s">
        <v>1926</v>
      </c>
      <c r="GQ35" t="s">
        <v>1926</v>
      </c>
      <c r="GR35" t="s">
        <v>1926</v>
      </c>
      <c r="GS35" t="s">
        <v>1926</v>
      </c>
      <c r="GT35" t="s">
        <v>1926</v>
      </c>
      <c r="GU35" t="s">
        <v>1926</v>
      </c>
      <c r="GV35" t="s">
        <v>1926</v>
      </c>
      <c r="GW35" t="s">
        <v>1926</v>
      </c>
      <c r="GX35" t="s">
        <v>1926</v>
      </c>
      <c r="GY35" t="s">
        <v>1926</v>
      </c>
      <c r="GZ35" t="s">
        <v>1926</v>
      </c>
      <c r="HA35" t="s">
        <v>1926</v>
      </c>
      <c r="HB35" t="s">
        <v>1926</v>
      </c>
      <c r="HC35" t="s">
        <v>1918</v>
      </c>
      <c r="HD35" t="s">
        <v>2052</v>
      </c>
      <c r="HE35" t="s">
        <v>1918</v>
      </c>
      <c r="HF35" t="s">
        <v>2052</v>
      </c>
      <c r="HG35" t="s">
        <v>1926</v>
      </c>
      <c r="HH35" t="s">
        <v>1918</v>
      </c>
      <c r="HI35" t="s">
        <v>1918</v>
      </c>
      <c r="HJ35" t="s">
        <v>1926</v>
      </c>
      <c r="HK35" t="s">
        <v>1926</v>
      </c>
      <c r="HL35" t="s">
        <v>1926</v>
      </c>
      <c r="HM35" t="s">
        <v>1918</v>
      </c>
      <c r="HN35" t="s">
        <v>1926</v>
      </c>
      <c r="HO35" t="s">
        <v>2052</v>
      </c>
      <c r="HP35" t="s">
        <v>1918</v>
      </c>
      <c r="HQ35" t="s">
        <v>2052</v>
      </c>
      <c r="HR35" t="s">
        <v>2052</v>
      </c>
      <c r="HS35" t="s">
        <v>2052</v>
      </c>
      <c r="HT35" t="s">
        <v>1926</v>
      </c>
      <c r="HU35" t="s">
        <v>1926</v>
      </c>
      <c r="HV35" t="s">
        <v>1926</v>
      </c>
      <c r="HW35" t="s">
        <v>1926</v>
      </c>
      <c r="HX35" t="s">
        <v>1926</v>
      </c>
      <c r="HY35" t="s">
        <v>1926</v>
      </c>
      <c r="HZ35" t="s">
        <v>1918</v>
      </c>
      <c r="IA35" t="s">
        <v>1926</v>
      </c>
      <c r="IB35" t="s">
        <v>1926</v>
      </c>
      <c r="IC35" t="s">
        <v>1918</v>
      </c>
      <c r="ID35" t="s">
        <v>1926</v>
      </c>
      <c r="IE35" t="s">
        <v>1926</v>
      </c>
      <c r="IF35" t="s">
        <v>2052</v>
      </c>
      <c r="IG35" t="s">
        <v>2052</v>
      </c>
      <c r="IH35" t="s">
        <v>2052</v>
      </c>
      <c r="II35" t="s">
        <v>2052</v>
      </c>
      <c r="IJ35" t="s">
        <v>2052</v>
      </c>
      <c r="IK35" t="s">
        <v>1926</v>
      </c>
      <c r="IL35" t="s">
        <v>1918</v>
      </c>
      <c r="IM35" t="s">
        <v>1926</v>
      </c>
      <c r="IN35" t="s">
        <v>1926</v>
      </c>
      <c r="IO35" t="s">
        <v>2052</v>
      </c>
      <c r="IP35" t="s">
        <v>1926</v>
      </c>
      <c r="IQ35" t="s">
        <v>1926</v>
      </c>
      <c r="IR35" t="s">
        <v>1918</v>
      </c>
      <c r="IS35" t="s">
        <v>1926</v>
      </c>
      <c r="IT35" t="s">
        <v>1926</v>
      </c>
      <c r="IU35" t="s">
        <v>1926</v>
      </c>
      <c r="IV35" t="s">
        <v>1926</v>
      </c>
      <c r="IW35" t="s">
        <v>1926</v>
      </c>
      <c r="IX35" t="s">
        <v>1926</v>
      </c>
      <c r="IY35" t="s">
        <v>1926</v>
      </c>
      <c r="IZ35" t="s">
        <v>1926</v>
      </c>
      <c r="JA35" t="s">
        <v>1926</v>
      </c>
      <c r="JB35" t="s">
        <v>2052</v>
      </c>
      <c r="JC35" t="s">
        <v>1926</v>
      </c>
      <c r="JD35" t="s">
        <v>1926</v>
      </c>
      <c r="JE35" t="s">
        <v>1926</v>
      </c>
      <c r="JF35" t="s">
        <v>1926</v>
      </c>
      <c r="JG35" t="s">
        <v>1926</v>
      </c>
      <c r="JH35" t="s">
        <v>1926</v>
      </c>
      <c r="JI35" t="s">
        <v>1926</v>
      </c>
      <c r="JJ35" t="s">
        <v>1926</v>
      </c>
      <c r="JK35" t="s">
        <v>1918</v>
      </c>
      <c r="JL35" t="s">
        <v>2052</v>
      </c>
      <c r="JM35" t="s">
        <v>1926</v>
      </c>
      <c r="JN35" t="s">
        <v>1926</v>
      </c>
      <c r="JO35" t="s">
        <v>1918</v>
      </c>
      <c r="JP35" t="s">
        <v>1918</v>
      </c>
      <c r="JQ35" t="s">
        <v>1926</v>
      </c>
      <c r="JR35" t="s">
        <v>1926</v>
      </c>
      <c r="JS35" t="s">
        <v>1918</v>
      </c>
      <c r="JT35" t="s">
        <v>2052</v>
      </c>
      <c r="JU35" t="s">
        <v>1918</v>
      </c>
      <c r="JV35" t="s">
        <v>2052</v>
      </c>
      <c r="JW35" t="s">
        <v>1926</v>
      </c>
      <c r="JX35" t="s">
        <v>1926</v>
      </c>
      <c r="JY35" t="s">
        <v>1926</v>
      </c>
      <c r="JZ35" t="s">
        <v>2052</v>
      </c>
      <c r="KA35" t="s">
        <v>1926</v>
      </c>
      <c r="KB35" t="s">
        <v>1926</v>
      </c>
      <c r="KC35" t="s">
        <v>1926</v>
      </c>
      <c r="KD35" t="s">
        <v>1926</v>
      </c>
      <c r="KE35" t="s">
        <v>1926</v>
      </c>
      <c r="KF35" t="s">
        <v>1926</v>
      </c>
      <c r="KG35" t="s">
        <v>1926</v>
      </c>
      <c r="KH35" t="s">
        <v>1926</v>
      </c>
      <c r="KI35" t="s">
        <v>1926</v>
      </c>
      <c r="KJ35" t="s">
        <v>1918</v>
      </c>
      <c r="KK35" t="s">
        <v>1926</v>
      </c>
      <c r="KL35" t="s">
        <v>1926</v>
      </c>
      <c r="KM35" t="s">
        <v>1926</v>
      </c>
      <c r="KN35" t="s">
        <v>2052</v>
      </c>
      <c r="KO35" t="s">
        <v>1926</v>
      </c>
      <c r="KP35" t="s">
        <v>1918</v>
      </c>
      <c r="KQ35" t="s">
        <v>1918</v>
      </c>
      <c r="KR35" t="s">
        <v>1926</v>
      </c>
      <c r="KS35" t="s">
        <v>1926</v>
      </c>
      <c r="KT35" t="s">
        <v>1926</v>
      </c>
      <c r="KU35" t="s">
        <v>1926</v>
      </c>
      <c r="KV35" t="s">
        <v>1926</v>
      </c>
      <c r="KW35" t="s">
        <v>1926</v>
      </c>
      <c r="KX35" t="s">
        <v>1926</v>
      </c>
      <c r="KY35" t="s">
        <v>1926</v>
      </c>
      <c r="KZ35" t="s">
        <v>1926</v>
      </c>
      <c r="LA35" t="s">
        <v>1926</v>
      </c>
      <c r="LB35" t="s">
        <v>1926</v>
      </c>
      <c r="LC35" t="s">
        <v>1926</v>
      </c>
      <c r="LD35" t="s">
        <v>1926</v>
      </c>
      <c r="LE35" t="s">
        <v>1926</v>
      </c>
      <c r="LF35" t="s">
        <v>1926</v>
      </c>
      <c r="LG35" t="s">
        <v>2052</v>
      </c>
      <c r="LH35" t="s">
        <v>2052</v>
      </c>
      <c r="LI35" t="s">
        <v>2052</v>
      </c>
      <c r="LJ35" t="s">
        <v>1926</v>
      </c>
      <c r="LK35" t="s">
        <v>2052</v>
      </c>
      <c r="LL35" t="s">
        <v>2052</v>
      </c>
      <c r="LM35" t="s">
        <v>1926</v>
      </c>
      <c r="LN35" t="s">
        <v>1926</v>
      </c>
      <c r="LO35" t="s">
        <v>2052</v>
      </c>
      <c r="LP35" t="s">
        <v>2052</v>
      </c>
      <c r="LQ35" t="s">
        <v>2052</v>
      </c>
      <c r="LR35" t="s">
        <v>2052</v>
      </c>
      <c r="LS35" t="s">
        <v>1918</v>
      </c>
      <c r="LT35" t="s">
        <v>1918</v>
      </c>
      <c r="LU35" t="s">
        <v>1926</v>
      </c>
      <c r="LV35" t="s">
        <v>1926</v>
      </c>
      <c r="LW35" t="s">
        <v>2052</v>
      </c>
      <c r="LX35" t="s">
        <v>1926</v>
      </c>
      <c r="LY35" t="s">
        <v>1926</v>
      </c>
      <c r="LZ35" t="s">
        <v>1926</v>
      </c>
      <c r="MA35" t="s">
        <v>1926</v>
      </c>
      <c r="MB35" t="s">
        <v>1926</v>
      </c>
      <c r="MC35" t="s">
        <v>1926</v>
      </c>
      <c r="MD35" t="s">
        <v>2052</v>
      </c>
      <c r="ME35" t="s">
        <v>1926</v>
      </c>
      <c r="MF35" t="s">
        <v>1926</v>
      </c>
      <c r="MG35" t="s">
        <v>2052</v>
      </c>
      <c r="MH35" t="s">
        <v>2052</v>
      </c>
      <c r="MI35" t="s">
        <v>2052</v>
      </c>
      <c r="MJ35" t="s">
        <v>1926</v>
      </c>
      <c r="MK35" t="s">
        <v>1926</v>
      </c>
      <c r="ML35" t="s">
        <v>1926</v>
      </c>
      <c r="MM35" t="s">
        <v>1926</v>
      </c>
      <c r="MN35" t="s">
        <v>1926</v>
      </c>
      <c r="MO35" t="s">
        <v>1926</v>
      </c>
      <c r="MP35" t="s">
        <v>1926</v>
      </c>
      <c r="MQ35" t="s">
        <v>1926</v>
      </c>
      <c r="MR35" t="s">
        <v>1926</v>
      </c>
      <c r="MS35" t="s">
        <v>1926</v>
      </c>
      <c r="MT35" t="s">
        <v>1926</v>
      </c>
      <c r="MU35" t="s">
        <v>1926</v>
      </c>
      <c r="MV35" t="s">
        <v>1926</v>
      </c>
      <c r="MW35" t="s">
        <v>1926</v>
      </c>
      <c r="MX35" t="s">
        <v>2052</v>
      </c>
      <c r="MY35" t="s">
        <v>1926</v>
      </c>
      <c r="MZ35" t="s">
        <v>2052</v>
      </c>
      <c r="NA35" t="s">
        <v>1926</v>
      </c>
      <c r="NB35" t="s">
        <v>1926</v>
      </c>
      <c r="NC35" t="s">
        <v>1926</v>
      </c>
      <c r="ND35" t="s">
        <v>1926</v>
      </c>
      <c r="NG35" t="s">
        <v>1926</v>
      </c>
      <c r="NH35" t="s">
        <v>1926</v>
      </c>
      <c r="NI35" t="s">
        <v>1926</v>
      </c>
      <c r="NJ35" t="s">
        <v>1926</v>
      </c>
      <c r="NK35" t="s">
        <v>1926</v>
      </c>
      <c r="NL35" t="s">
        <v>1926</v>
      </c>
      <c r="NM35" t="s">
        <v>1926</v>
      </c>
      <c r="NN35" t="s">
        <v>2052</v>
      </c>
      <c r="NR35" t="s">
        <v>1491</v>
      </c>
      <c r="NS35" t="s">
        <v>2054</v>
      </c>
      <c r="NX35" t="s">
        <v>2055</v>
      </c>
      <c r="NY35" t="s">
        <v>1885</v>
      </c>
    </row>
    <row r="36" spans="1:389" ht="15" customHeight="1" x14ac:dyDescent="0.25">
      <c r="A36" t="s">
        <v>2056</v>
      </c>
      <c r="B36" t="s">
        <v>2057</v>
      </c>
      <c r="C36" t="s">
        <v>1841</v>
      </c>
      <c r="D36" t="s">
        <v>1492</v>
      </c>
      <c r="G36" t="s">
        <v>2056</v>
      </c>
      <c r="H36" t="s">
        <v>1885</v>
      </c>
      <c r="I36" t="s">
        <v>1885</v>
      </c>
      <c r="J36" t="s">
        <v>1885</v>
      </c>
      <c r="K36" t="s">
        <v>2056</v>
      </c>
      <c r="L36" t="s">
        <v>2056</v>
      </c>
      <c r="M36" t="s">
        <v>2056</v>
      </c>
      <c r="N36" t="s">
        <v>2056</v>
      </c>
      <c r="O36" t="s">
        <v>1885</v>
      </c>
      <c r="P36" t="s">
        <v>2056</v>
      </c>
      <c r="Q36" t="s">
        <v>1885</v>
      </c>
      <c r="R36" t="s">
        <v>2056</v>
      </c>
      <c r="S36" t="s">
        <v>2056</v>
      </c>
      <c r="T36" t="s">
        <v>1885</v>
      </c>
      <c r="U36" t="s">
        <v>1885</v>
      </c>
      <c r="V36" t="s">
        <v>1885</v>
      </c>
      <c r="W36" t="s">
        <v>1885</v>
      </c>
      <c r="X36" t="s">
        <v>1885</v>
      </c>
      <c r="Y36" t="s">
        <v>1885</v>
      </c>
      <c r="AA36" t="s">
        <v>1885</v>
      </c>
      <c r="AB36" t="s">
        <v>1885</v>
      </c>
      <c r="AC36" t="s">
        <v>1885</v>
      </c>
      <c r="AD36" t="s">
        <v>1885</v>
      </c>
      <c r="AE36" t="s">
        <v>1885</v>
      </c>
      <c r="AF36" t="s">
        <v>1885</v>
      </c>
      <c r="AG36" t="s">
        <v>1885</v>
      </c>
      <c r="AH36" t="s">
        <v>2056</v>
      </c>
      <c r="AI36" t="s">
        <v>1885</v>
      </c>
      <c r="AJ36" t="s">
        <v>1885</v>
      </c>
      <c r="AK36" t="s">
        <v>1885</v>
      </c>
      <c r="AL36" t="s">
        <v>1885</v>
      </c>
      <c r="AM36" t="s">
        <v>2056</v>
      </c>
      <c r="AN36" t="s">
        <v>1885</v>
      </c>
      <c r="AO36" t="s">
        <v>2056</v>
      </c>
      <c r="AP36" t="s">
        <v>2056</v>
      </c>
      <c r="AQ36" t="s">
        <v>2056</v>
      </c>
      <c r="AR36" t="s">
        <v>2056</v>
      </c>
      <c r="AS36" t="s">
        <v>1885</v>
      </c>
      <c r="AT36" t="s">
        <v>1885</v>
      </c>
      <c r="AU36" t="s">
        <v>1885</v>
      </c>
      <c r="AV36" t="s">
        <v>1885</v>
      </c>
      <c r="AW36" t="s">
        <v>1885</v>
      </c>
      <c r="AX36" t="s">
        <v>1885</v>
      </c>
      <c r="AY36" t="s">
        <v>1885</v>
      </c>
      <c r="AZ36" t="s">
        <v>1885</v>
      </c>
      <c r="BA36" t="s">
        <v>1885</v>
      </c>
      <c r="BB36" t="s">
        <v>1885</v>
      </c>
      <c r="BC36" t="s">
        <v>1885</v>
      </c>
      <c r="BD36" t="s">
        <v>1885</v>
      </c>
      <c r="BE36" t="s">
        <v>1885</v>
      </c>
      <c r="BF36" t="s">
        <v>1885</v>
      </c>
      <c r="BG36" t="s">
        <v>1885</v>
      </c>
      <c r="BH36" t="s">
        <v>1885</v>
      </c>
      <c r="BI36" t="s">
        <v>1885</v>
      </c>
      <c r="BJ36" t="s">
        <v>1885</v>
      </c>
      <c r="BK36" t="s">
        <v>1885</v>
      </c>
      <c r="BL36" t="s">
        <v>1885</v>
      </c>
      <c r="BM36" t="s">
        <v>1885</v>
      </c>
      <c r="BN36" t="s">
        <v>1885</v>
      </c>
      <c r="BO36" t="s">
        <v>1885</v>
      </c>
      <c r="BP36" t="s">
        <v>1885</v>
      </c>
      <c r="BQ36" t="s">
        <v>1885</v>
      </c>
      <c r="BR36" t="s">
        <v>1885</v>
      </c>
      <c r="BS36" t="s">
        <v>1885</v>
      </c>
      <c r="BT36" t="s">
        <v>1885</v>
      </c>
      <c r="BU36" t="s">
        <v>1885</v>
      </c>
      <c r="BV36" t="s">
        <v>1885</v>
      </c>
      <c r="BW36" t="s">
        <v>1885</v>
      </c>
      <c r="BX36" t="s">
        <v>1885</v>
      </c>
      <c r="BY36" t="s">
        <v>1885</v>
      </c>
      <c r="BZ36" t="s">
        <v>2056</v>
      </c>
      <c r="CA36" t="s">
        <v>2056</v>
      </c>
      <c r="CB36" t="s">
        <v>1885</v>
      </c>
      <c r="CC36" t="s">
        <v>1885</v>
      </c>
      <c r="CD36" t="s">
        <v>1885</v>
      </c>
      <c r="CE36" t="s">
        <v>2056</v>
      </c>
      <c r="CF36" t="s">
        <v>1885</v>
      </c>
      <c r="CG36" t="s">
        <v>1885</v>
      </c>
      <c r="CH36" t="s">
        <v>1885</v>
      </c>
      <c r="CI36" t="s">
        <v>1885</v>
      </c>
      <c r="CJ36" t="s">
        <v>1885</v>
      </c>
      <c r="CK36" t="s">
        <v>2056</v>
      </c>
      <c r="CL36" t="s">
        <v>2056</v>
      </c>
      <c r="CM36" t="s">
        <v>2056</v>
      </c>
      <c r="CN36" t="s">
        <v>2056</v>
      </c>
      <c r="CO36" t="s">
        <v>2056</v>
      </c>
      <c r="CP36" t="s">
        <v>2056</v>
      </c>
      <c r="CQ36" t="s">
        <v>2056</v>
      </c>
      <c r="CR36" t="s">
        <v>2056</v>
      </c>
      <c r="CS36" t="s">
        <v>1885</v>
      </c>
      <c r="CT36" t="s">
        <v>1885</v>
      </c>
      <c r="CU36" t="s">
        <v>2056</v>
      </c>
      <c r="CV36" t="s">
        <v>1885</v>
      </c>
      <c r="CW36" t="s">
        <v>1885</v>
      </c>
      <c r="CX36" t="s">
        <v>1885</v>
      </c>
      <c r="CY36" t="s">
        <v>1885</v>
      </c>
      <c r="CZ36" t="s">
        <v>2056</v>
      </c>
      <c r="DA36" t="s">
        <v>2056</v>
      </c>
      <c r="DB36" t="s">
        <v>2056</v>
      </c>
      <c r="DC36" t="s">
        <v>2056</v>
      </c>
      <c r="DD36" t="s">
        <v>1885</v>
      </c>
      <c r="DE36" t="s">
        <v>1885</v>
      </c>
      <c r="DF36" t="s">
        <v>1885</v>
      </c>
      <c r="DG36" t="s">
        <v>1885</v>
      </c>
      <c r="DH36" t="s">
        <v>1885</v>
      </c>
      <c r="DI36" t="s">
        <v>1885</v>
      </c>
      <c r="DJ36" t="s">
        <v>2056</v>
      </c>
      <c r="DK36" t="s">
        <v>2056</v>
      </c>
      <c r="DL36" t="s">
        <v>1885</v>
      </c>
      <c r="DM36" t="s">
        <v>1885</v>
      </c>
      <c r="DN36" t="s">
        <v>1885</v>
      </c>
      <c r="DO36" t="s">
        <v>2056</v>
      </c>
      <c r="DP36" t="s">
        <v>2056</v>
      </c>
      <c r="DQ36" t="s">
        <v>2056</v>
      </c>
      <c r="DR36" t="s">
        <v>2056</v>
      </c>
      <c r="DS36" t="s">
        <v>1885</v>
      </c>
      <c r="DT36" t="s">
        <v>2056</v>
      </c>
      <c r="DU36" t="s">
        <v>2056</v>
      </c>
      <c r="DV36" t="s">
        <v>2056</v>
      </c>
      <c r="DW36" t="s">
        <v>1885</v>
      </c>
      <c r="DX36" t="s">
        <v>1885</v>
      </c>
      <c r="DY36" t="s">
        <v>1885</v>
      </c>
      <c r="DZ36" t="s">
        <v>1885</v>
      </c>
      <c r="EA36" t="s">
        <v>2056</v>
      </c>
      <c r="EB36" t="s">
        <v>2056</v>
      </c>
      <c r="EC36" t="s">
        <v>2056</v>
      </c>
      <c r="ED36" t="s">
        <v>1885</v>
      </c>
      <c r="EE36" t="s">
        <v>1885</v>
      </c>
      <c r="EF36" t="s">
        <v>1885</v>
      </c>
      <c r="EG36" t="s">
        <v>2056</v>
      </c>
      <c r="EH36" t="s">
        <v>2056</v>
      </c>
      <c r="EI36" t="s">
        <v>2056</v>
      </c>
      <c r="EJ36" t="s">
        <v>2056</v>
      </c>
      <c r="EK36" t="s">
        <v>2056</v>
      </c>
      <c r="EL36" t="s">
        <v>2056</v>
      </c>
      <c r="EM36" t="s">
        <v>1885</v>
      </c>
      <c r="EN36" t="s">
        <v>1885</v>
      </c>
      <c r="EO36" t="s">
        <v>1885</v>
      </c>
      <c r="ET36" t="s">
        <v>1885</v>
      </c>
      <c r="EU36" t="s">
        <v>1885</v>
      </c>
      <c r="EV36" t="s">
        <v>1885</v>
      </c>
      <c r="EW36" t="s">
        <v>1885</v>
      </c>
      <c r="EX36" t="s">
        <v>1926</v>
      </c>
      <c r="EY36" t="s">
        <v>2056</v>
      </c>
      <c r="EZ36" t="s">
        <v>1885</v>
      </c>
      <c r="FA36" t="s">
        <v>2056</v>
      </c>
      <c r="FB36" t="s">
        <v>2056</v>
      </c>
      <c r="FC36" t="s">
        <v>2056</v>
      </c>
      <c r="FD36" t="s">
        <v>1885</v>
      </c>
      <c r="FE36" t="s">
        <v>1885</v>
      </c>
      <c r="FF36" t="s">
        <v>2056</v>
      </c>
      <c r="FG36" t="s">
        <v>2056</v>
      </c>
      <c r="FH36" t="s">
        <v>2056</v>
      </c>
      <c r="FI36" t="s">
        <v>2056</v>
      </c>
      <c r="FJ36" t="s">
        <v>1926</v>
      </c>
      <c r="FK36" t="s">
        <v>1885</v>
      </c>
      <c r="FL36" t="s">
        <v>1885</v>
      </c>
      <c r="FM36" t="s">
        <v>1885</v>
      </c>
      <c r="FN36" t="s">
        <v>1885</v>
      </c>
      <c r="FO36" t="s">
        <v>1885</v>
      </c>
      <c r="FP36" t="s">
        <v>1885</v>
      </c>
      <c r="FQ36" t="s">
        <v>1885</v>
      </c>
      <c r="FR36" t="s">
        <v>1885</v>
      </c>
      <c r="FS36" t="s">
        <v>1885</v>
      </c>
      <c r="FT36" t="s">
        <v>1885</v>
      </c>
      <c r="FU36" t="s">
        <v>1885</v>
      </c>
      <c r="FV36" t="s">
        <v>1885</v>
      </c>
      <c r="FW36" t="s">
        <v>1885</v>
      </c>
      <c r="FX36" t="s">
        <v>1885</v>
      </c>
      <c r="FY36" t="s">
        <v>2056</v>
      </c>
      <c r="FZ36" t="s">
        <v>2056</v>
      </c>
      <c r="GA36" t="s">
        <v>2056</v>
      </c>
      <c r="GB36" t="s">
        <v>1885</v>
      </c>
      <c r="GC36" t="s">
        <v>1885</v>
      </c>
      <c r="GD36" t="s">
        <v>1885</v>
      </c>
      <c r="GE36" t="s">
        <v>1885</v>
      </c>
      <c r="GF36" t="s">
        <v>1885</v>
      </c>
      <c r="GG36" t="s">
        <v>1885</v>
      </c>
      <c r="GH36" t="s">
        <v>1885</v>
      </c>
      <c r="GI36" t="s">
        <v>1885</v>
      </c>
      <c r="GJ36" t="s">
        <v>1885</v>
      </c>
      <c r="GK36" t="s">
        <v>1885</v>
      </c>
      <c r="GL36" t="s">
        <v>1885</v>
      </c>
      <c r="GM36" t="s">
        <v>1885</v>
      </c>
      <c r="GN36" t="s">
        <v>1885</v>
      </c>
      <c r="GO36" t="s">
        <v>1885</v>
      </c>
      <c r="GP36" t="s">
        <v>1885</v>
      </c>
      <c r="GQ36" t="s">
        <v>1885</v>
      </c>
      <c r="GR36" t="s">
        <v>1885</v>
      </c>
      <c r="GS36" t="s">
        <v>1885</v>
      </c>
      <c r="GT36" t="s">
        <v>1885</v>
      </c>
      <c r="GU36" t="s">
        <v>1885</v>
      </c>
      <c r="GV36" t="s">
        <v>1885</v>
      </c>
      <c r="GW36" t="s">
        <v>1885</v>
      </c>
      <c r="GX36" t="s">
        <v>1885</v>
      </c>
      <c r="GY36" t="s">
        <v>1885</v>
      </c>
      <c r="GZ36" t="s">
        <v>1885</v>
      </c>
      <c r="HA36" t="s">
        <v>1885</v>
      </c>
      <c r="HB36" t="s">
        <v>1885</v>
      </c>
      <c r="HC36" t="s">
        <v>1926</v>
      </c>
      <c r="HD36" t="s">
        <v>2056</v>
      </c>
      <c r="HE36" t="s">
        <v>1926</v>
      </c>
      <c r="HF36" t="s">
        <v>2056</v>
      </c>
      <c r="HG36" t="s">
        <v>1885</v>
      </c>
      <c r="HH36" t="s">
        <v>1926</v>
      </c>
      <c r="HI36" t="s">
        <v>1926</v>
      </c>
      <c r="HJ36" t="s">
        <v>1885</v>
      </c>
      <c r="HK36" t="s">
        <v>1885</v>
      </c>
      <c r="HL36" t="s">
        <v>1885</v>
      </c>
      <c r="HM36" t="s">
        <v>1926</v>
      </c>
      <c r="HN36" t="s">
        <v>1885</v>
      </c>
      <c r="HO36" t="s">
        <v>2056</v>
      </c>
      <c r="HP36" t="s">
        <v>1926</v>
      </c>
      <c r="HQ36" t="s">
        <v>2056</v>
      </c>
      <c r="HR36" t="s">
        <v>2056</v>
      </c>
      <c r="HS36" t="s">
        <v>2056</v>
      </c>
      <c r="HT36" t="s">
        <v>1885</v>
      </c>
      <c r="HU36" t="s">
        <v>1885</v>
      </c>
      <c r="HV36" t="s">
        <v>1885</v>
      </c>
      <c r="HW36" t="s">
        <v>1885</v>
      </c>
      <c r="HX36" t="s">
        <v>1885</v>
      </c>
      <c r="HY36" t="s">
        <v>1885</v>
      </c>
      <c r="HZ36" t="s">
        <v>1926</v>
      </c>
      <c r="IA36" t="s">
        <v>1885</v>
      </c>
      <c r="IB36" t="s">
        <v>1885</v>
      </c>
      <c r="IC36" t="s">
        <v>1926</v>
      </c>
      <c r="ID36" t="s">
        <v>1885</v>
      </c>
      <c r="IE36" t="s">
        <v>1885</v>
      </c>
      <c r="IF36" t="s">
        <v>2056</v>
      </c>
      <c r="IG36" t="s">
        <v>2056</v>
      </c>
      <c r="IH36" t="s">
        <v>2056</v>
      </c>
      <c r="II36" t="s">
        <v>2056</v>
      </c>
      <c r="IJ36" t="s">
        <v>2056</v>
      </c>
      <c r="IK36" t="s">
        <v>1885</v>
      </c>
      <c r="IL36" t="s">
        <v>1926</v>
      </c>
      <c r="IM36" t="s">
        <v>1885</v>
      </c>
      <c r="IN36" t="s">
        <v>1885</v>
      </c>
      <c r="IO36" t="s">
        <v>2056</v>
      </c>
      <c r="IP36" t="s">
        <v>1885</v>
      </c>
      <c r="IQ36" t="s">
        <v>1885</v>
      </c>
      <c r="IR36" t="s">
        <v>1926</v>
      </c>
      <c r="IS36" t="s">
        <v>1885</v>
      </c>
      <c r="IT36" t="s">
        <v>1885</v>
      </c>
      <c r="IU36" t="s">
        <v>1885</v>
      </c>
      <c r="IV36" t="s">
        <v>1885</v>
      </c>
      <c r="IW36" t="s">
        <v>1885</v>
      </c>
      <c r="IX36" t="s">
        <v>1885</v>
      </c>
      <c r="IY36" t="s">
        <v>1885</v>
      </c>
      <c r="IZ36" t="s">
        <v>1885</v>
      </c>
      <c r="JA36" t="s">
        <v>1885</v>
      </c>
      <c r="JB36" t="s">
        <v>2056</v>
      </c>
      <c r="JC36" t="s">
        <v>1885</v>
      </c>
      <c r="JD36" t="s">
        <v>1885</v>
      </c>
      <c r="JE36" t="s">
        <v>1885</v>
      </c>
      <c r="JF36" t="s">
        <v>1885</v>
      </c>
      <c r="JG36" t="s">
        <v>1885</v>
      </c>
      <c r="JH36" t="s">
        <v>1885</v>
      </c>
      <c r="JI36" t="s">
        <v>1885</v>
      </c>
      <c r="JJ36" t="s">
        <v>1885</v>
      </c>
      <c r="JK36" t="s">
        <v>1926</v>
      </c>
      <c r="JL36" t="s">
        <v>2056</v>
      </c>
      <c r="JM36" t="s">
        <v>1885</v>
      </c>
      <c r="JN36" t="s">
        <v>1885</v>
      </c>
      <c r="JO36" t="s">
        <v>1926</v>
      </c>
      <c r="JP36" t="s">
        <v>1926</v>
      </c>
      <c r="JQ36" t="s">
        <v>1885</v>
      </c>
      <c r="JR36" t="s">
        <v>1885</v>
      </c>
      <c r="JS36" t="s">
        <v>1926</v>
      </c>
      <c r="JT36" t="s">
        <v>2056</v>
      </c>
      <c r="JU36" t="s">
        <v>1926</v>
      </c>
      <c r="JV36" t="s">
        <v>2056</v>
      </c>
      <c r="JW36" t="s">
        <v>1885</v>
      </c>
      <c r="JX36" t="s">
        <v>1885</v>
      </c>
      <c r="JY36" t="s">
        <v>1885</v>
      </c>
      <c r="JZ36" t="s">
        <v>2056</v>
      </c>
      <c r="KA36" t="s">
        <v>1885</v>
      </c>
      <c r="KB36" t="s">
        <v>1885</v>
      </c>
      <c r="KC36" t="s">
        <v>1885</v>
      </c>
      <c r="KD36" t="s">
        <v>1885</v>
      </c>
      <c r="KE36" t="s">
        <v>1885</v>
      </c>
      <c r="KF36" t="s">
        <v>1885</v>
      </c>
      <c r="KG36" t="s">
        <v>1885</v>
      </c>
      <c r="KH36" t="s">
        <v>1885</v>
      </c>
      <c r="KI36" t="s">
        <v>1885</v>
      </c>
      <c r="KJ36" t="s">
        <v>1926</v>
      </c>
      <c r="KK36" t="s">
        <v>1885</v>
      </c>
      <c r="KL36" t="s">
        <v>1885</v>
      </c>
      <c r="KM36" t="s">
        <v>1885</v>
      </c>
      <c r="KN36" t="s">
        <v>2056</v>
      </c>
      <c r="KO36" t="s">
        <v>1885</v>
      </c>
      <c r="KP36" t="s">
        <v>1926</v>
      </c>
      <c r="KQ36" t="s">
        <v>1926</v>
      </c>
      <c r="KR36" t="s">
        <v>1885</v>
      </c>
      <c r="KS36" t="s">
        <v>1885</v>
      </c>
      <c r="KT36" t="s">
        <v>1885</v>
      </c>
      <c r="KU36" t="s">
        <v>1885</v>
      </c>
      <c r="KV36" t="s">
        <v>1885</v>
      </c>
      <c r="KW36" t="s">
        <v>1885</v>
      </c>
      <c r="KX36" t="s">
        <v>1885</v>
      </c>
      <c r="KY36" t="s">
        <v>1885</v>
      </c>
      <c r="KZ36" t="s">
        <v>1885</v>
      </c>
      <c r="LA36" t="s">
        <v>1885</v>
      </c>
      <c r="LB36" t="s">
        <v>1885</v>
      </c>
      <c r="LC36" t="s">
        <v>1885</v>
      </c>
      <c r="LD36" t="s">
        <v>1885</v>
      </c>
      <c r="LE36" t="s">
        <v>1885</v>
      </c>
      <c r="LF36" t="s">
        <v>1885</v>
      </c>
      <c r="LG36" t="s">
        <v>2056</v>
      </c>
      <c r="LH36" t="s">
        <v>2056</v>
      </c>
      <c r="LI36" t="s">
        <v>2056</v>
      </c>
      <c r="LJ36" t="s">
        <v>1885</v>
      </c>
      <c r="LK36" t="s">
        <v>2056</v>
      </c>
      <c r="LL36" t="s">
        <v>2056</v>
      </c>
      <c r="LM36" t="s">
        <v>1885</v>
      </c>
      <c r="LN36" t="s">
        <v>1885</v>
      </c>
      <c r="LO36" t="s">
        <v>2056</v>
      </c>
      <c r="LP36" t="s">
        <v>2056</v>
      </c>
      <c r="LQ36" t="s">
        <v>2056</v>
      </c>
      <c r="LR36" t="s">
        <v>2056</v>
      </c>
      <c r="LS36" t="s">
        <v>1926</v>
      </c>
      <c r="LT36" t="s">
        <v>1926</v>
      </c>
      <c r="LU36" t="s">
        <v>1885</v>
      </c>
      <c r="LV36" t="s">
        <v>1885</v>
      </c>
      <c r="LW36" t="s">
        <v>2056</v>
      </c>
      <c r="LX36" t="s">
        <v>1885</v>
      </c>
      <c r="LY36" t="s">
        <v>1885</v>
      </c>
      <c r="LZ36" t="s">
        <v>1885</v>
      </c>
      <c r="MA36" t="s">
        <v>1885</v>
      </c>
      <c r="MB36" t="s">
        <v>1885</v>
      </c>
      <c r="MC36" t="s">
        <v>1885</v>
      </c>
      <c r="MD36" t="s">
        <v>2056</v>
      </c>
      <c r="ME36" t="s">
        <v>1885</v>
      </c>
      <c r="MF36" t="s">
        <v>1885</v>
      </c>
      <c r="MG36" t="s">
        <v>2056</v>
      </c>
      <c r="MH36" t="s">
        <v>2056</v>
      </c>
      <c r="MI36" t="s">
        <v>2056</v>
      </c>
      <c r="MJ36" t="s">
        <v>1885</v>
      </c>
      <c r="MK36" t="s">
        <v>1885</v>
      </c>
      <c r="ML36" t="s">
        <v>1885</v>
      </c>
      <c r="MM36" t="s">
        <v>1885</v>
      </c>
      <c r="MN36" t="s">
        <v>1885</v>
      </c>
      <c r="MO36" t="s">
        <v>1885</v>
      </c>
      <c r="MP36" t="s">
        <v>1885</v>
      </c>
      <c r="MQ36" t="s">
        <v>1885</v>
      </c>
      <c r="MR36" t="s">
        <v>1885</v>
      </c>
      <c r="MS36" t="s">
        <v>1885</v>
      </c>
      <c r="MT36" t="s">
        <v>1885</v>
      </c>
      <c r="MU36" t="s">
        <v>1885</v>
      </c>
      <c r="MV36" t="s">
        <v>1885</v>
      </c>
      <c r="MW36" t="s">
        <v>1885</v>
      </c>
      <c r="MX36" t="s">
        <v>2056</v>
      </c>
      <c r="MY36" t="s">
        <v>1885</v>
      </c>
      <c r="MZ36" t="s">
        <v>2056</v>
      </c>
      <c r="NA36" t="s">
        <v>1885</v>
      </c>
      <c r="NB36" t="s">
        <v>1885</v>
      </c>
      <c r="NC36" t="s">
        <v>1885</v>
      </c>
      <c r="ND36" t="s">
        <v>1885</v>
      </c>
      <c r="NG36" t="s">
        <v>1885</v>
      </c>
      <c r="NH36" t="s">
        <v>1885</v>
      </c>
      <c r="NI36" t="s">
        <v>1885</v>
      </c>
      <c r="NJ36" t="s">
        <v>1885</v>
      </c>
      <c r="NK36" t="s">
        <v>1885</v>
      </c>
      <c r="NL36" t="s">
        <v>1885</v>
      </c>
      <c r="NM36" t="s">
        <v>1885</v>
      </c>
      <c r="NN36" t="s">
        <v>2056</v>
      </c>
      <c r="NR36" t="s">
        <v>1492</v>
      </c>
      <c r="NS36" t="s">
        <v>2058</v>
      </c>
      <c r="NX36" t="s">
        <v>2059</v>
      </c>
      <c r="NY36" t="s">
        <v>1885</v>
      </c>
    </row>
    <row r="37" spans="1:389" ht="15" customHeight="1" x14ac:dyDescent="0.25">
      <c r="A37" t="s">
        <v>1983</v>
      </c>
      <c r="B37" t="s">
        <v>2060</v>
      </c>
      <c r="C37" t="s">
        <v>1850</v>
      </c>
      <c r="D37" t="s">
        <v>1493</v>
      </c>
      <c r="G37" t="s">
        <v>1983</v>
      </c>
      <c r="H37" t="s">
        <v>1893</v>
      </c>
      <c r="I37" t="s">
        <v>1893</v>
      </c>
      <c r="J37" t="s">
        <v>1893</v>
      </c>
      <c r="K37" t="s">
        <v>1983</v>
      </c>
      <c r="L37" t="s">
        <v>1983</v>
      </c>
      <c r="M37" t="s">
        <v>1983</v>
      </c>
      <c r="N37" t="s">
        <v>1983</v>
      </c>
      <c r="O37" t="s">
        <v>1893</v>
      </c>
      <c r="P37" t="s">
        <v>1983</v>
      </c>
      <c r="Q37" t="s">
        <v>1893</v>
      </c>
      <c r="R37" t="s">
        <v>1983</v>
      </c>
      <c r="S37" t="s">
        <v>1983</v>
      </c>
      <c r="T37" t="s">
        <v>1893</v>
      </c>
      <c r="U37" t="s">
        <v>1893</v>
      </c>
      <c r="V37" t="s">
        <v>1893</v>
      </c>
      <c r="W37" t="s">
        <v>1893</v>
      </c>
      <c r="X37" t="s">
        <v>1893</v>
      </c>
      <c r="Y37" t="s">
        <v>1893</v>
      </c>
      <c r="AA37" t="s">
        <v>1893</v>
      </c>
      <c r="AB37" t="s">
        <v>1893</v>
      </c>
      <c r="AC37" t="s">
        <v>1893</v>
      </c>
      <c r="AD37" t="s">
        <v>1893</v>
      </c>
      <c r="AE37" t="s">
        <v>1893</v>
      </c>
      <c r="AF37" t="s">
        <v>1893</v>
      </c>
      <c r="AG37" t="s">
        <v>1893</v>
      </c>
      <c r="AH37" t="s">
        <v>1983</v>
      </c>
      <c r="AI37" t="s">
        <v>1893</v>
      </c>
      <c r="AJ37" t="s">
        <v>1893</v>
      </c>
      <c r="AK37" t="s">
        <v>1893</v>
      </c>
      <c r="AL37" t="s">
        <v>1893</v>
      </c>
      <c r="AM37" t="s">
        <v>1983</v>
      </c>
      <c r="AN37" t="s">
        <v>1893</v>
      </c>
      <c r="AO37" t="s">
        <v>1983</v>
      </c>
      <c r="AP37" t="s">
        <v>1983</v>
      </c>
      <c r="AQ37" t="s">
        <v>1983</v>
      </c>
      <c r="AR37" t="s">
        <v>1983</v>
      </c>
      <c r="AS37" t="s">
        <v>1893</v>
      </c>
      <c r="AT37" t="s">
        <v>1893</v>
      </c>
      <c r="AU37" t="s">
        <v>1893</v>
      </c>
      <c r="AV37" t="s">
        <v>1893</v>
      </c>
      <c r="AW37" t="s">
        <v>1893</v>
      </c>
      <c r="AX37" t="s">
        <v>1893</v>
      </c>
      <c r="AY37" t="s">
        <v>1893</v>
      </c>
      <c r="AZ37" t="s">
        <v>1893</v>
      </c>
      <c r="BA37" t="s">
        <v>1893</v>
      </c>
      <c r="BB37" t="s">
        <v>1893</v>
      </c>
      <c r="BC37" t="s">
        <v>1893</v>
      </c>
      <c r="BD37" t="s">
        <v>1893</v>
      </c>
      <c r="BE37" t="s">
        <v>1893</v>
      </c>
      <c r="BF37" t="s">
        <v>1893</v>
      </c>
      <c r="BG37" t="s">
        <v>1893</v>
      </c>
      <c r="BH37" t="s">
        <v>1893</v>
      </c>
      <c r="BI37" t="s">
        <v>1893</v>
      </c>
      <c r="BJ37" t="s">
        <v>1893</v>
      </c>
      <c r="BK37" t="s">
        <v>1893</v>
      </c>
      <c r="BL37" t="s">
        <v>1893</v>
      </c>
      <c r="BM37" t="s">
        <v>1893</v>
      </c>
      <c r="BN37" t="s">
        <v>1893</v>
      </c>
      <c r="BO37" t="s">
        <v>1893</v>
      </c>
      <c r="BP37" t="s">
        <v>1893</v>
      </c>
      <c r="BQ37" t="s">
        <v>1893</v>
      </c>
      <c r="BR37" t="s">
        <v>1893</v>
      </c>
      <c r="BS37" t="s">
        <v>1893</v>
      </c>
      <c r="BT37" t="s">
        <v>1893</v>
      </c>
      <c r="BU37" t="s">
        <v>1893</v>
      </c>
      <c r="BV37" t="s">
        <v>1893</v>
      </c>
      <c r="BW37" t="s">
        <v>1893</v>
      </c>
      <c r="BX37" t="s">
        <v>1893</v>
      </c>
      <c r="BY37" t="s">
        <v>1893</v>
      </c>
      <c r="BZ37" t="s">
        <v>1983</v>
      </c>
      <c r="CA37" t="s">
        <v>1983</v>
      </c>
      <c r="CB37" t="s">
        <v>1893</v>
      </c>
      <c r="CC37" t="s">
        <v>1893</v>
      </c>
      <c r="CD37" t="s">
        <v>1893</v>
      </c>
      <c r="CE37" t="s">
        <v>1983</v>
      </c>
      <c r="CF37" t="s">
        <v>1893</v>
      </c>
      <c r="CG37" t="s">
        <v>1893</v>
      </c>
      <c r="CH37" t="s">
        <v>1893</v>
      </c>
      <c r="CI37" t="s">
        <v>1893</v>
      </c>
      <c r="CJ37" t="s">
        <v>1893</v>
      </c>
      <c r="CK37" t="s">
        <v>1983</v>
      </c>
      <c r="CL37" t="s">
        <v>1983</v>
      </c>
      <c r="CM37" t="s">
        <v>1983</v>
      </c>
      <c r="CN37" t="s">
        <v>1983</v>
      </c>
      <c r="CO37" t="s">
        <v>1983</v>
      </c>
      <c r="CP37" t="s">
        <v>1983</v>
      </c>
      <c r="CQ37" t="s">
        <v>1983</v>
      </c>
      <c r="CR37" t="s">
        <v>1983</v>
      </c>
      <c r="CS37" t="s">
        <v>1893</v>
      </c>
      <c r="CT37" t="s">
        <v>1893</v>
      </c>
      <c r="CU37" t="s">
        <v>1983</v>
      </c>
      <c r="CV37" t="s">
        <v>1893</v>
      </c>
      <c r="CW37" t="s">
        <v>1893</v>
      </c>
      <c r="CX37" t="s">
        <v>1893</v>
      </c>
      <c r="CY37" t="s">
        <v>1893</v>
      </c>
      <c r="CZ37" t="s">
        <v>1983</v>
      </c>
      <c r="DA37" t="s">
        <v>1983</v>
      </c>
      <c r="DB37" t="s">
        <v>1983</v>
      </c>
      <c r="DC37" t="s">
        <v>1983</v>
      </c>
      <c r="DD37" t="s">
        <v>1893</v>
      </c>
      <c r="DE37" t="s">
        <v>1893</v>
      </c>
      <c r="DF37" t="s">
        <v>1893</v>
      </c>
      <c r="DG37" t="s">
        <v>1893</v>
      </c>
      <c r="DH37" t="s">
        <v>1893</v>
      </c>
      <c r="DI37" t="s">
        <v>1893</v>
      </c>
      <c r="DJ37" t="s">
        <v>1983</v>
      </c>
      <c r="DK37" t="s">
        <v>1983</v>
      </c>
      <c r="DL37" t="s">
        <v>1893</v>
      </c>
      <c r="DM37" t="s">
        <v>1893</v>
      </c>
      <c r="DN37" t="s">
        <v>1893</v>
      </c>
      <c r="DO37" t="s">
        <v>1983</v>
      </c>
      <c r="DP37" t="s">
        <v>1983</v>
      </c>
      <c r="DQ37" t="s">
        <v>1983</v>
      </c>
      <c r="DR37" t="s">
        <v>1983</v>
      </c>
      <c r="DS37" t="s">
        <v>1893</v>
      </c>
      <c r="DT37" t="s">
        <v>1983</v>
      </c>
      <c r="DU37" t="s">
        <v>1983</v>
      </c>
      <c r="DV37" t="s">
        <v>1983</v>
      </c>
      <c r="DW37" t="s">
        <v>1893</v>
      </c>
      <c r="DX37" t="s">
        <v>1893</v>
      </c>
      <c r="DY37" t="s">
        <v>1893</v>
      </c>
      <c r="DZ37" t="s">
        <v>1893</v>
      </c>
      <c r="EA37" t="s">
        <v>1983</v>
      </c>
      <c r="EB37" t="s">
        <v>1983</v>
      </c>
      <c r="EC37" t="s">
        <v>1983</v>
      </c>
      <c r="ED37" t="s">
        <v>1893</v>
      </c>
      <c r="EE37" t="s">
        <v>1893</v>
      </c>
      <c r="EF37" t="s">
        <v>1893</v>
      </c>
      <c r="EG37" t="s">
        <v>1983</v>
      </c>
      <c r="EH37" t="s">
        <v>1983</v>
      </c>
      <c r="EI37" t="s">
        <v>1983</v>
      </c>
      <c r="EJ37" t="s">
        <v>1983</v>
      </c>
      <c r="EK37" t="s">
        <v>1983</v>
      </c>
      <c r="EL37" t="s">
        <v>1983</v>
      </c>
      <c r="EM37" t="s">
        <v>1893</v>
      </c>
      <c r="EN37" t="s">
        <v>1893</v>
      </c>
      <c r="EO37" t="s">
        <v>1893</v>
      </c>
      <c r="ET37" t="s">
        <v>1893</v>
      </c>
      <c r="EU37" t="s">
        <v>1893</v>
      </c>
      <c r="EV37" t="s">
        <v>1893</v>
      </c>
      <c r="EW37" t="s">
        <v>1893</v>
      </c>
      <c r="EX37" t="s">
        <v>1885</v>
      </c>
      <c r="EY37" t="s">
        <v>1983</v>
      </c>
      <c r="EZ37" t="s">
        <v>1893</v>
      </c>
      <c r="FA37" t="s">
        <v>1983</v>
      </c>
      <c r="FB37" t="s">
        <v>1983</v>
      </c>
      <c r="FC37" t="s">
        <v>1983</v>
      </c>
      <c r="FD37" t="s">
        <v>1893</v>
      </c>
      <c r="FE37" t="s">
        <v>1893</v>
      </c>
      <c r="FF37" t="s">
        <v>1983</v>
      </c>
      <c r="FG37" t="s">
        <v>1983</v>
      </c>
      <c r="FH37" t="s">
        <v>1983</v>
      </c>
      <c r="FI37" t="s">
        <v>1983</v>
      </c>
      <c r="FJ37" t="s">
        <v>1885</v>
      </c>
      <c r="FK37" t="s">
        <v>1893</v>
      </c>
      <c r="FL37" t="s">
        <v>1893</v>
      </c>
      <c r="FM37" t="s">
        <v>1893</v>
      </c>
      <c r="FN37" t="s">
        <v>1893</v>
      </c>
      <c r="FO37" t="s">
        <v>1893</v>
      </c>
      <c r="FP37" t="s">
        <v>1893</v>
      </c>
      <c r="FQ37" t="s">
        <v>1893</v>
      </c>
      <c r="FR37" t="s">
        <v>1893</v>
      </c>
      <c r="FS37" t="s">
        <v>1893</v>
      </c>
      <c r="FT37" t="s">
        <v>1893</v>
      </c>
      <c r="FU37" t="s">
        <v>1893</v>
      </c>
      <c r="FV37" t="s">
        <v>1893</v>
      </c>
      <c r="FW37" t="s">
        <v>1893</v>
      </c>
      <c r="FX37" t="s">
        <v>1893</v>
      </c>
      <c r="FY37" t="s">
        <v>1983</v>
      </c>
      <c r="FZ37" t="s">
        <v>1983</v>
      </c>
      <c r="GA37" t="s">
        <v>1983</v>
      </c>
      <c r="GB37" t="s">
        <v>1893</v>
      </c>
      <c r="GC37" t="s">
        <v>1893</v>
      </c>
      <c r="GD37" t="s">
        <v>1893</v>
      </c>
      <c r="GE37" t="s">
        <v>1893</v>
      </c>
      <c r="GF37" t="s">
        <v>1893</v>
      </c>
      <c r="GG37" t="s">
        <v>1893</v>
      </c>
      <c r="GH37" t="s">
        <v>1893</v>
      </c>
      <c r="GI37" t="s">
        <v>1893</v>
      </c>
      <c r="GJ37" t="s">
        <v>1893</v>
      </c>
      <c r="GK37" t="s">
        <v>1893</v>
      </c>
      <c r="GL37" t="s">
        <v>1893</v>
      </c>
      <c r="GM37" t="s">
        <v>1893</v>
      </c>
      <c r="GN37" t="s">
        <v>1893</v>
      </c>
      <c r="GO37" t="s">
        <v>1893</v>
      </c>
      <c r="GP37" t="s">
        <v>1893</v>
      </c>
      <c r="GQ37" t="s">
        <v>1893</v>
      </c>
      <c r="GR37" t="s">
        <v>1893</v>
      </c>
      <c r="GS37" t="s">
        <v>1893</v>
      </c>
      <c r="GT37" t="s">
        <v>1893</v>
      </c>
      <c r="GU37" t="s">
        <v>1893</v>
      </c>
      <c r="GV37" t="s">
        <v>1893</v>
      </c>
      <c r="GW37" t="s">
        <v>1893</v>
      </c>
      <c r="GX37" t="s">
        <v>1893</v>
      </c>
      <c r="GY37" t="s">
        <v>1893</v>
      </c>
      <c r="GZ37" t="s">
        <v>1893</v>
      </c>
      <c r="HA37" t="s">
        <v>1893</v>
      </c>
      <c r="HB37" t="s">
        <v>1893</v>
      </c>
      <c r="HC37" t="s">
        <v>1885</v>
      </c>
      <c r="HD37" t="s">
        <v>1983</v>
      </c>
      <c r="HE37" t="s">
        <v>1885</v>
      </c>
      <c r="HF37" t="s">
        <v>1983</v>
      </c>
      <c r="HG37" t="s">
        <v>1893</v>
      </c>
      <c r="HH37" t="s">
        <v>1885</v>
      </c>
      <c r="HI37" t="s">
        <v>1885</v>
      </c>
      <c r="HJ37" t="s">
        <v>1893</v>
      </c>
      <c r="HK37" t="s">
        <v>1893</v>
      </c>
      <c r="HL37" t="s">
        <v>1893</v>
      </c>
      <c r="HM37" t="s">
        <v>1885</v>
      </c>
      <c r="HN37" t="s">
        <v>1893</v>
      </c>
      <c r="HO37" t="s">
        <v>1983</v>
      </c>
      <c r="HP37" t="s">
        <v>1885</v>
      </c>
      <c r="HQ37" t="s">
        <v>1983</v>
      </c>
      <c r="HR37" t="s">
        <v>1983</v>
      </c>
      <c r="HS37" t="s">
        <v>1983</v>
      </c>
      <c r="HT37" t="s">
        <v>1893</v>
      </c>
      <c r="HU37" t="s">
        <v>1893</v>
      </c>
      <c r="HV37" t="s">
        <v>1893</v>
      </c>
      <c r="HW37" t="s">
        <v>1893</v>
      </c>
      <c r="HX37" t="s">
        <v>1893</v>
      </c>
      <c r="HY37" t="s">
        <v>1893</v>
      </c>
      <c r="HZ37" t="s">
        <v>1885</v>
      </c>
      <c r="IA37" t="s">
        <v>1893</v>
      </c>
      <c r="IB37" t="s">
        <v>1893</v>
      </c>
      <c r="IC37" t="s">
        <v>1885</v>
      </c>
      <c r="ID37" t="s">
        <v>1893</v>
      </c>
      <c r="IE37" t="s">
        <v>1893</v>
      </c>
      <c r="IF37" t="s">
        <v>1983</v>
      </c>
      <c r="IG37" t="s">
        <v>1983</v>
      </c>
      <c r="IH37" t="s">
        <v>1983</v>
      </c>
      <c r="II37" t="s">
        <v>1983</v>
      </c>
      <c r="IJ37" t="s">
        <v>1983</v>
      </c>
      <c r="IK37" t="s">
        <v>1893</v>
      </c>
      <c r="IL37" t="s">
        <v>1885</v>
      </c>
      <c r="IM37" t="s">
        <v>1893</v>
      </c>
      <c r="IN37" t="s">
        <v>1893</v>
      </c>
      <c r="IO37" t="s">
        <v>1983</v>
      </c>
      <c r="IP37" t="s">
        <v>1893</v>
      </c>
      <c r="IQ37" t="s">
        <v>1893</v>
      </c>
      <c r="IR37" t="s">
        <v>1885</v>
      </c>
      <c r="IS37" t="s">
        <v>1893</v>
      </c>
      <c r="IT37" t="s">
        <v>1893</v>
      </c>
      <c r="IU37" t="s">
        <v>1893</v>
      </c>
      <c r="IV37" t="s">
        <v>1893</v>
      </c>
      <c r="IW37" t="s">
        <v>1893</v>
      </c>
      <c r="IX37" t="s">
        <v>1893</v>
      </c>
      <c r="IY37" t="s">
        <v>1893</v>
      </c>
      <c r="IZ37" t="s">
        <v>1893</v>
      </c>
      <c r="JA37" t="s">
        <v>1893</v>
      </c>
      <c r="JB37" t="s">
        <v>1983</v>
      </c>
      <c r="JC37" t="s">
        <v>1893</v>
      </c>
      <c r="JD37" t="s">
        <v>1893</v>
      </c>
      <c r="JE37" t="s">
        <v>1893</v>
      </c>
      <c r="JF37" t="s">
        <v>1893</v>
      </c>
      <c r="JG37" t="s">
        <v>1893</v>
      </c>
      <c r="JH37" t="s">
        <v>1893</v>
      </c>
      <c r="JI37" t="s">
        <v>1893</v>
      </c>
      <c r="JJ37" t="s">
        <v>1893</v>
      </c>
      <c r="JK37" t="s">
        <v>1885</v>
      </c>
      <c r="JL37" t="s">
        <v>1983</v>
      </c>
      <c r="JM37" t="s">
        <v>1893</v>
      </c>
      <c r="JN37" t="s">
        <v>1893</v>
      </c>
      <c r="JO37" t="s">
        <v>1885</v>
      </c>
      <c r="JP37" t="s">
        <v>1885</v>
      </c>
      <c r="JQ37" t="s">
        <v>1893</v>
      </c>
      <c r="JR37" t="s">
        <v>1893</v>
      </c>
      <c r="JS37" t="s">
        <v>1885</v>
      </c>
      <c r="JT37" t="s">
        <v>1983</v>
      </c>
      <c r="JU37" t="s">
        <v>1885</v>
      </c>
      <c r="JV37" t="s">
        <v>1983</v>
      </c>
      <c r="JW37" t="s">
        <v>1893</v>
      </c>
      <c r="JX37" t="s">
        <v>1893</v>
      </c>
      <c r="JY37" t="s">
        <v>1893</v>
      </c>
      <c r="JZ37" t="s">
        <v>1983</v>
      </c>
      <c r="KA37" t="s">
        <v>1893</v>
      </c>
      <c r="KB37" t="s">
        <v>1893</v>
      </c>
      <c r="KC37" t="s">
        <v>1893</v>
      </c>
      <c r="KD37" t="s">
        <v>1893</v>
      </c>
      <c r="KE37" t="s">
        <v>1893</v>
      </c>
      <c r="KF37" t="s">
        <v>1893</v>
      </c>
      <c r="KG37" t="s">
        <v>1893</v>
      </c>
      <c r="KH37" t="s">
        <v>1893</v>
      </c>
      <c r="KI37" t="s">
        <v>1893</v>
      </c>
      <c r="KJ37" t="s">
        <v>1885</v>
      </c>
      <c r="KK37" t="s">
        <v>1893</v>
      </c>
      <c r="KL37" t="s">
        <v>1893</v>
      </c>
      <c r="KM37" t="s">
        <v>1893</v>
      </c>
      <c r="KN37" t="s">
        <v>1983</v>
      </c>
      <c r="KO37" t="s">
        <v>1893</v>
      </c>
      <c r="KP37" t="s">
        <v>1885</v>
      </c>
      <c r="KQ37" t="s">
        <v>1885</v>
      </c>
      <c r="KR37" t="s">
        <v>1893</v>
      </c>
      <c r="KS37" t="s">
        <v>1893</v>
      </c>
      <c r="KT37" t="s">
        <v>1893</v>
      </c>
      <c r="KU37" t="s">
        <v>1893</v>
      </c>
      <c r="KV37" t="s">
        <v>1893</v>
      </c>
      <c r="KW37" t="s">
        <v>1893</v>
      </c>
      <c r="KX37" t="s">
        <v>1893</v>
      </c>
      <c r="KY37" t="s">
        <v>1893</v>
      </c>
      <c r="KZ37" t="s">
        <v>1893</v>
      </c>
      <c r="LA37" t="s">
        <v>1893</v>
      </c>
      <c r="LB37" t="s">
        <v>1893</v>
      </c>
      <c r="LC37" t="s">
        <v>1893</v>
      </c>
      <c r="LD37" t="s">
        <v>1893</v>
      </c>
      <c r="LE37" t="s">
        <v>1893</v>
      </c>
      <c r="LF37" t="s">
        <v>1893</v>
      </c>
      <c r="LG37" t="s">
        <v>1983</v>
      </c>
      <c r="LH37" t="s">
        <v>1983</v>
      </c>
      <c r="LI37" t="s">
        <v>1983</v>
      </c>
      <c r="LJ37" t="s">
        <v>1893</v>
      </c>
      <c r="LK37" t="s">
        <v>1983</v>
      </c>
      <c r="LL37" t="s">
        <v>1983</v>
      </c>
      <c r="LM37" t="s">
        <v>1893</v>
      </c>
      <c r="LN37" t="s">
        <v>1893</v>
      </c>
      <c r="LO37" t="s">
        <v>1983</v>
      </c>
      <c r="LP37" t="s">
        <v>1983</v>
      </c>
      <c r="LQ37" t="s">
        <v>1983</v>
      </c>
      <c r="LR37" t="s">
        <v>1983</v>
      </c>
      <c r="LS37" t="s">
        <v>1885</v>
      </c>
      <c r="LT37" t="s">
        <v>1885</v>
      </c>
      <c r="LU37" t="s">
        <v>1893</v>
      </c>
      <c r="LV37" t="s">
        <v>1893</v>
      </c>
      <c r="LW37" t="s">
        <v>1983</v>
      </c>
      <c r="LX37" t="s">
        <v>1893</v>
      </c>
      <c r="LY37" t="s">
        <v>1893</v>
      </c>
      <c r="LZ37" t="s">
        <v>1893</v>
      </c>
      <c r="MA37" t="s">
        <v>1893</v>
      </c>
      <c r="MB37" t="s">
        <v>1893</v>
      </c>
      <c r="MC37" t="s">
        <v>1893</v>
      </c>
      <c r="MD37" t="s">
        <v>1983</v>
      </c>
      <c r="ME37" t="s">
        <v>1893</v>
      </c>
      <c r="MF37" t="s">
        <v>1893</v>
      </c>
      <c r="MG37" t="s">
        <v>1983</v>
      </c>
      <c r="MH37" t="s">
        <v>1983</v>
      </c>
      <c r="MI37" t="s">
        <v>1983</v>
      </c>
      <c r="MJ37" t="s">
        <v>1893</v>
      </c>
      <c r="MK37" t="s">
        <v>1893</v>
      </c>
      <c r="ML37" t="s">
        <v>1893</v>
      </c>
      <c r="MM37" t="s">
        <v>1893</v>
      </c>
      <c r="MN37" t="s">
        <v>1893</v>
      </c>
      <c r="MO37" t="s">
        <v>1893</v>
      </c>
      <c r="MP37" t="s">
        <v>1893</v>
      </c>
      <c r="MQ37" t="s">
        <v>1893</v>
      </c>
      <c r="MR37" t="s">
        <v>1893</v>
      </c>
      <c r="MS37" t="s">
        <v>1893</v>
      </c>
      <c r="MT37" t="s">
        <v>1893</v>
      </c>
      <c r="MU37" t="s">
        <v>1893</v>
      </c>
      <c r="MV37" t="s">
        <v>1893</v>
      </c>
      <c r="MW37" t="s">
        <v>1893</v>
      </c>
      <c r="MX37" t="s">
        <v>1983</v>
      </c>
      <c r="MY37" t="s">
        <v>1893</v>
      </c>
      <c r="MZ37" t="s">
        <v>1983</v>
      </c>
      <c r="NA37" t="s">
        <v>1893</v>
      </c>
      <c r="NB37" t="s">
        <v>1893</v>
      </c>
      <c r="NC37" t="s">
        <v>1893</v>
      </c>
      <c r="ND37" t="s">
        <v>1893</v>
      </c>
      <c r="NG37" t="s">
        <v>1893</v>
      </c>
      <c r="NH37" t="s">
        <v>1893</v>
      </c>
      <c r="NI37" t="s">
        <v>1893</v>
      </c>
      <c r="NJ37" t="s">
        <v>1893</v>
      </c>
      <c r="NK37" t="s">
        <v>1893</v>
      </c>
      <c r="NL37" t="s">
        <v>1893</v>
      </c>
      <c r="NM37" t="s">
        <v>1893</v>
      </c>
      <c r="NN37" t="s">
        <v>1983</v>
      </c>
      <c r="NR37" t="s">
        <v>1493</v>
      </c>
      <c r="NS37" t="s">
        <v>2061</v>
      </c>
      <c r="NX37" t="s">
        <v>2062</v>
      </c>
      <c r="NY37" t="s">
        <v>1885</v>
      </c>
    </row>
    <row r="38" spans="1:389" ht="15" customHeight="1" x14ac:dyDescent="0.25">
      <c r="A38" t="s">
        <v>2063</v>
      </c>
      <c r="B38" t="s">
        <v>2064</v>
      </c>
      <c r="C38" t="s">
        <v>1841</v>
      </c>
      <c r="D38" t="s">
        <v>1494</v>
      </c>
      <c r="G38" t="s">
        <v>2063</v>
      </c>
      <c r="H38" t="s">
        <v>1939</v>
      </c>
      <c r="I38" t="s">
        <v>1939</v>
      </c>
      <c r="J38" t="s">
        <v>1939</v>
      </c>
      <c r="K38" t="s">
        <v>2063</v>
      </c>
      <c r="L38" t="s">
        <v>2063</v>
      </c>
      <c r="M38" t="s">
        <v>2063</v>
      </c>
      <c r="N38" t="s">
        <v>2063</v>
      </c>
      <c r="O38" t="s">
        <v>1939</v>
      </c>
      <c r="P38" t="s">
        <v>2063</v>
      </c>
      <c r="Q38" t="s">
        <v>1939</v>
      </c>
      <c r="R38" t="s">
        <v>2063</v>
      </c>
      <c r="S38" t="s">
        <v>2063</v>
      </c>
      <c r="T38" t="s">
        <v>1939</v>
      </c>
      <c r="U38" t="s">
        <v>1939</v>
      </c>
      <c r="V38" t="s">
        <v>1939</v>
      </c>
      <c r="W38" t="s">
        <v>1939</v>
      </c>
      <c r="X38" t="s">
        <v>1939</v>
      </c>
      <c r="Y38" t="s">
        <v>1939</v>
      </c>
      <c r="AA38" t="s">
        <v>1939</v>
      </c>
      <c r="AB38" t="s">
        <v>1939</v>
      </c>
      <c r="AC38" t="s">
        <v>1939</v>
      </c>
      <c r="AD38" t="s">
        <v>1939</v>
      </c>
      <c r="AE38" t="s">
        <v>1939</v>
      </c>
      <c r="AF38" t="s">
        <v>1939</v>
      </c>
      <c r="AG38" t="s">
        <v>1939</v>
      </c>
      <c r="AH38" t="s">
        <v>2063</v>
      </c>
      <c r="AI38" t="s">
        <v>1939</v>
      </c>
      <c r="AJ38" t="s">
        <v>1939</v>
      </c>
      <c r="AK38" t="s">
        <v>1939</v>
      </c>
      <c r="AL38" t="s">
        <v>1939</v>
      </c>
      <c r="AM38" t="s">
        <v>2063</v>
      </c>
      <c r="AN38" t="s">
        <v>1939</v>
      </c>
      <c r="AO38" t="s">
        <v>2063</v>
      </c>
      <c r="AP38" t="s">
        <v>2063</v>
      </c>
      <c r="AQ38" t="s">
        <v>2063</v>
      </c>
      <c r="AR38" t="s">
        <v>2063</v>
      </c>
      <c r="AS38" t="s">
        <v>1939</v>
      </c>
      <c r="AT38" t="s">
        <v>1939</v>
      </c>
      <c r="AU38" t="s">
        <v>1939</v>
      </c>
      <c r="AV38" t="s">
        <v>1939</v>
      </c>
      <c r="AW38" t="s">
        <v>1939</v>
      </c>
      <c r="AX38" t="s">
        <v>1939</v>
      </c>
      <c r="AY38" t="s">
        <v>1939</v>
      </c>
      <c r="AZ38" t="s">
        <v>1939</v>
      </c>
      <c r="BA38" t="s">
        <v>1939</v>
      </c>
      <c r="BB38" t="s">
        <v>1939</v>
      </c>
      <c r="BC38" t="s">
        <v>1939</v>
      </c>
      <c r="BD38" t="s">
        <v>1939</v>
      </c>
      <c r="BE38" t="s">
        <v>1939</v>
      </c>
      <c r="BF38" t="s">
        <v>1939</v>
      </c>
      <c r="BG38" t="s">
        <v>1939</v>
      </c>
      <c r="BH38" t="s">
        <v>1939</v>
      </c>
      <c r="BI38" t="s">
        <v>1939</v>
      </c>
      <c r="BJ38" t="s">
        <v>1939</v>
      </c>
      <c r="BK38" t="s">
        <v>1939</v>
      </c>
      <c r="BL38" t="s">
        <v>1939</v>
      </c>
      <c r="BM38" t="s">
        <v>1939</v>
      </c>
      <c r="BN38" t="s">
        <v>1939</v>
      </c>
      <c r="BO38" t="s">
        <v>1939</v>
      </c>
      <c r="BP38" t="s">
        <v>1939</v>
      </c>
      <c r="BQ38" t="s">
        <v>1939</v>
      </c>
      <c r="BR38" t="s">
        <v>1939</v>
      </c>
      <c r="BS38" t="s">
        <v>1939</v>
      </c>
      <c r="BT38" t="s">
        <v>1939</v>
      </c>
      <c r="BU38" t="s">
        <v>1939</v>
      </c>
      <c r="BV38" t="s">
        <v>1939</v>
      </c>
      <c r="BW38" t="s">
        <v>1939</v>
      </c>
      <c r="BX38" t="s">
        <v>1939</v>
      </c>
      <c r="BY38" t="s">
        <v>1939</v>
      </c>
      <c r="BZ38" t="s">
        <v>2063</v>
      </c>
      <c r="CA38" t="s">
        <v>2063</v>
      </c>
      <c r="CB38" t="s">
        <v>1939</v>
      </c>
      <c r="CC38" t="s">
        <v>1939</v>
      </c>
      <c r="CD38" t="s">
        <v>1939</v>
      </c>
      <c r="CE38" t="s">
        <v>2063</v>
      </c>
      <c r="CF38" t="s">
        <v>1939</v>
      </c>
      <c r="CG38" t="s">
        <v>1939</v>
      </c>
      <c r="CH38" t="s">
        <v>1939</v>
      </c>
      <c r="CI38" t="s">
        <v>1939</v>
      </c>
      <c r="CJ38" t="s">
        <v>1939</v>
      </c>
      <c r="CK38" t="s">
        <v>2063</v>
      </c>
      <c r="CL38" t="s">
        <v>2063</v>
      </c>
      <c r="CM38" t="s">
        <v>2063</v>
      </c>
      <c r="CN38" t="s">
        <v>2063</v>
      </c>
      <c r="CO38" t="s">
        <v>2063</v>
      </c>
      <c r="CP38" t="s">
        <v>2063</v>
      </c>
      <c r="CQ38" t="s">
        <v>2063</v>
      </c>
      <c r="CR38" t="s">
        <v>2063</v>
      </c>
      <c r="CS38" t="s">
        <v>1939</v>
      </c>
      <c r="CT38" t="s">
        <v>1939</v>
      </c>
      <c r="CU38" t="s">
        <v>2063</v>
      </c>
      <c r="CV38" t="s">
        <v>1939</v>
      </c>
      <c r="CW38" t="s">
        <v>1939</v>
      </c>
      <c r="CX38" t="s">
        <v>1939</v>
      </c>
      <c r="CY38" t="s">
        <v>1939</v>
      </c>
      <c r="CZ38" t="s">
        <v>2063</v>
      </c>
      <c r="DA38" t="s">
        <v>2063</v>
      </c>
      <c r="DB38" t="s">
        <v>2063</v>
      </c>
      <c r="DC38" t="s">
        <v>2063</v>
      </c>
      <c r="DD38" t="s">
        <v>1939</v>
      </c>
      <c r="DE38" t="s">
        <v>1939</v>
      </c>
      <c r="DF38" t="s">
        <v>1939</v>
      </c>
      <c r="DG38" t="s">
        <v>1939</v>
      </c>
      <c r="DH38" t="s">
        <v>1939</v>
      </c>
      <c r="DI38" t="s">
        <v>1939</v>
      </c>
      <c r="DJ38" t="s">
        <v>2063</v>
      </c>
      <c r="DK38" t="s">
        <v>2063</v>
      </c>
      <c r="DL38" t="s">
        <v>1939</v>
      </c>
      <c r="DM38" t="s">
        <v>1939</v>
      </c>
      <c r="DN38" t="s">
        <v>1939</v>
      </c>
      <c r="DO38" t="s">
        <v>2063</v>
      </c>
      <c r="DP38" t="s">
        <v>2063</v>
      </c>
      <c r="DQ38" t="s">
        <v>2063</v>
      </c>
      <c r="DR38" t="s">
        <v>2063</v>
      </c>
      <c r="DS38" t="s">
        <v>1939</v>
      </c>
      <c r="DT38" t="s">
        <v>2063</v>
      </c>
      <c r="DU38" t="s">
        <v>2063</v>
      </c>
      <c r="DV38" t="s">
        <v>2063</v>
      </c>
      <c r="DW38" t="s">
        <v>1939</v>
      </c>
      <c r="DX38" t="s">
        <v>1939</v>
      </c>
      <c r="DY38" t="s">
        <v>1939</v>
      </c>
      <c r="DZ38" t="s">
        <v>1939</v>
      </c>
      <c r="EA38" t="s">
        <v>2063</v>
      </c>
      <c r="EB38" t="s">
        <v>2063</v>
      </c>
      <c r="EC38" t="s">
        <v>2063</v>
      </c>
      <c r="ED38" t="s">
        <v>1939</v>
      </c>
      <c r="EE38" t="s">
        <v>1939</v>
      </c>
      <c r="EF38" t="s">
        <v>1939</v>
      </c>
      <c r="EG38" t="s">
        <v>2063</v>
      </c>
      <c r="EH38" t="s">
        <v>2063</v>
      </c>
      <c r="EI38" t="s">
        <v>2063</v>
      </c>
      <c r="EJ38" t="s">
        <v>2063</v>
      </c>
      <c r="EK38" t="s">
        <v>2063</v>
      </c>
      <c r="EL38" t="s">
        <v>2063</v>
      </c>
      <c r="EM38" t="s">
        <v>1939</v>
      </c>
      <c r="EN38" t="s">
        <v>1939</v>
      </c>
      <c r="EO38" t="s">
        <v>1939</v>
      </c>
      <c r="ET38" t="s">
        <v>1939</v>
      </c>
      <c r="EU38" t="s">
        <v>1939</v>
      </c>
      <c r="EV38" t="s">
        <v>1939</v>
      </c>
      <c r="EW38" t="s">
        <v>1939</v>
      </c>
      <c r="EX38" t="s">
        <v>1893</v>
      </c>
      <c r="EY38" t="s">
        <v>2063</v>
      </c>
      <c r="EZ38" t="s">
        <v>1939</v>
      </c>
      <c r="FA38" t="s">
        <v>2063</v>
      </c>
      <c r="FB38" t="s">
        <v>2063</v>
      </c>
      <c r="FC38" t="s">
        <v>2063</v>
      </c>
      <c r="FD38" t="s">
        <v>1939</v>
      </c>
      <c r="FE38" t="s">
        <v>1939</v>
      </c>
      <c r="FF38" t="s">
        <v>2063</v>
      </c>
      <c r="FG38" t="s">
        <v>2063</v>
      </c>
      <c r="FH38" t="s">
        <v>2063</v>
      </c>
      <c r="FI38" t="s">
        <v>2063</v>
      </c>
      <c r="FJ38" t="s">
        <v>1893</v>
      </c>
      <c r="FK38" t="s">
        <v>1939</v>
      </c>
      <c r="FL38" t="s">
        <v>1939</v>
      </c>
      <c r="FM38" t="s">
        <v>1939</v>
      </c>
      <c r="FN38" t="s">
        <v>1939</v>
      </c>
      <c r="FO38" t="s">
        <v>1939</v>
      </c>
      <c r="FP38" t="s">
        <v>1939</v>
      </c>
      <c r="FQ38" t="s">
        <v>1939</v>
      </c>
      <c r="FR38" t="s">
        <v>1939</v>
      </c>
      <c r="FS38" t="s">
        <v>1939</v>
      </c>
      <c r="FT38" t="s">
        <v>1939</v>
      </c>
      <c r="FU38" t="s">
        <v>1939</v>
      </c>
      <c r="FV38" t="s">
        <v>1939</v>
      </c>
      <c r="FW38" t="s">
        <v>1939</v>
      </c>
      <c r="FX38" t="s">
        <v>1939</v>
      </c>
      <c r="FY38" t="s">
        <v>2063</v>
      </c>
      <c r="FZ38" t="s">
        <v>2063</v>
      </c>
      <c r="GA38" t="s">
        <v>2063</v>
      </c>
      <c r="GB38" t="s">
        <v>1939</v>
      </c>
      <c r="GC38" t="s">
        <v>1939</v>
      </c>
      <c r="GD38" t="s">
        <v>1939</v>
      </c>
      <c r="GE38" t="s">
        <v>1939</v>
      </c>
      <c r="GF38" t="s">
        <v>1939</v>
      </c>
      <c r="GG38" t="s">
        <v>1939</v>
      </c>
      <c r="GH38" t="s">
        <v>1939</v>
      </c>
      <c r="GI38" t="s">
        <v>1939</v>
      </c>
      <c r="GJ38" t="s">
        <v>1939</v>
      </c>
      <c r="GK38" t="s">
        <v>1939</v>
      </c>
      <c r="GL38" t="s">
        <v>1939</v>
      </c>
      <c r="GM38" t="s">
        <v>1939</v>
      </c>
      <c r="GN38" t="s">
        <v>1939</v>
      </c>
      <c r="GO38" t="s">
        <v>1939</v>
      </c>
      <c r="GP38" t="s">
        <v>1939</v>
      </c>
      <c r="GQ38" t="s">
        <v>1939</v>
      </c>
      <c r="GR38" t="s">
        <v>1939</v>
      </c>
      <c r="GS38" t="s">
        <v>1939</v>
      </c>
      <c r="GT38" t="s">
        <v>1939</v>
      </c>
      <c r="GU38" t="s">
        <v>1939</v>
      </c>
      <c r="GV38" t="s">
        <v>1939</v>
      </c>
      <c r="GW38" t="s">
        <v>1939</v>
      </c>
      <c r="GX38" t="s">
        <v>1939</v>
      </c>
      <c r="GY38" t="s">
        <v>1939</v>
      </c>
      <c r="GZ38" t="s">
        <v>1939</v>
      </c>
      <c r="HA38" t="s">
        <v>1939</v>
      </c>
      <c r="HB38" t="s">
        <v>1939</v>
      </c>
      <c r="HC38" t="s">
        <v>1893</v>
      </c>
      <c r="HD38" t="s">
        <v>2063</v>
      </c>
      <c r="HE38" t="s">
        <v>1893</v>
      </c>
      <c r="HF38" t="s">
        <v>2063</v>
      </c>
      <c r="HG38" t="s">
        <v>1939</v>
      </c>
      <c r="HH38" t="s">
        <v>1893</v>
      </c>
      <c r="HI38" t="s">
        <v>1893</v>
      </c>
      <c r="HJ38" t="s">
        <v>1939</v>
      </c>
      <c r="HK38" t="s">
        <v>1939</v>
      </c>
      <c r="HL38" t="s">
        <v>1939</v>
      </c>
      <c r="HM38" t="s">
        <v>1893</v>
      </c>
      <c r="HN38" t="s">
        <v>1939</v>
      </c>
      <c r="HO38" t="s">
        <v>2063</v>
      </c>
      <c r="HP38" t="s">
        <v>1893</v>
      </c>
      <c r="HQ38" t="s">
        <v>2063</v>
      </c>
      <c r="HR38" t="s">
        <v>2063</v>
      </c>
      <c r="HS38" t="s">
        <v>2063</v>
      </c>
      <c r="HT38" t="s">
        <v>1939</v>
      </c>
      <c r="HU38" t="s">
        <v>1939</v>
      </c>
      <c r="HV38" t="s">
        <v>1939</v>
      </c>
      <c r="HW38" t="s">
        <v>1939</v>
      </c>
      <c r="HX38" t="s">
        <v>1939</v>
      </c>
      <c r="HY38" t="s">
        <v>1939</v>
      </c>
      <c r="HZ38" t="s">
        <v>1893</v>
      </c>
      <c r="IA38" t="s">
        <v>1939</v>
      </c>
      <c r="IB38" t="s">
        <v>1939</v>
      </c>
      <c r="IC38" t="s">
        <v>1893</v>
      </c>
      <c r="ID38" t="s">
        <v>1939</v>
      </c>
      <c r="IE38" t="s">
        <v>1939</v>
      </c>
      <c r="IF38" t="s">
        <v>2063</v>
      </c>
      <c r="IG38" t="s">
        <v>2063</v>
      </c>
      <c r="IH38" t="s">
        <v>2063</v>
      </c>
      <c r="II38" t="s">
        <v>2063</v>
      </c>
      <c r="IJ38" t="s">
        <v>2063</v>
      </c>
      <c r="IK38" t="s">
        <v>1939</v>
      </c>
      <c r="IL38" t="s">
        <v>1893</v>
      </c>
      <c r="IM38" t="s">
        <v>1939</v>
      </c>
      <c r="IN38" t="s">
        <v>1939</v>
      </c>
      <c r="IO38" t="s">
        <v>2063</v>
      </c>
      <c r="IP38" t="s">
        <v>1939</v>
      </c>
      <c r="IQ38" t="s">
        <v>1939</v>
      </c>
      <c r="IR38" t="s">
        <v>1893</v>
      </c>
      <c r="IS38" t="s">
        <v>1939</v>
      </c>
      <c r="IT38" t="s">
        <v>1939</v>
      </c>
      <c r="IU38" t="s">
        <v>1939</v>
      </c>
      <c r="IV38" t="s">
        <v>1939</v>
      </c>
      <c r="IW38" t="s">
        <v>1939</v>
      </c>
      <c r="IX38" t="s">
        <v>1939</v>
      </c>
      <c r="IY38" t="s">
        <v>1939</v>
      </c>
      <c r="IZ38" t="s">
        <v>1939</v>
      </c>
      <c r="JA38" t="s">
        <v>1939</v>
      </c>
      <c r="JB38" t="s">
        <v>2063</v>
      </c>
      <c r="JC38" t="s">
        <v>1939</v>
      </c>
      <c r="JD38" t="s">
        <v>1939</v>
      </c>
      <c r="JE38" t="s">
        <v>1939</v>
      </c>
      <c r="JF38" t="s">
        <v>1939</v>
      </c>
      <c r="JG38" t="s">
        <v>1939</v>
      </c>
      <c r="JH38" t="s">
        <v>1939</v>
      </c>
      <c r="JI38" t="s">
        <v>1939</v>
      </c>
      <c r="JJ38" t="s">
        <v>1939</v>
      </c>
      <c r="JK38" t="s">
        <v>1893</v>
      </c>
      <c r="JL38" t="s">
        <v>2063</v>
      </c>
      <c r="JM38" t="s">
        <v>1939</v>
      </c>
      <c r="JN38" t="s">
        <v>1939</v>
      </c>
      <c r="JO38" t="s">
        <v>1893</v>
      </c>
      <c r="JP38" t="s">
        <v>1893</v>
      </c>
      <c r="JQ38" t="s">
        <v>1939</v>
      </c>
      <c r="JR38" t="s">
        <v>1939</v>
      </c>
      <c r="JS38" t="s">
        <v>1893</v>
      </c>
      <c r="JT38" t="s">
        <v>2063</v>
      </c>
      <c r="JU38" t="s">
        <v>1893</v>
      </c>
      <c r="JV38" t="s">
        <v>2063</v>
      </c>
      <c r="JW38" t="s">
        <v>1939</v>
      </c>
      <c r="JX38" t="s">
        <v>1939</v>
      </c>
      <c r="JY38" t="s">
        <v>1939</v>
      </c>
      <c r="JZ38" t="s">
        <v>2063</v>
      </c>
      <c r="KA38" t="s">
        <v>1939</v>
      </c>
      <c r="KB38" t="s">
        <v>1939</v>
      </c>
      <c r="KC38" t="s">
        <v>1939</v>
      </c>
      <c r="KD38" t="s">
        <v>1939</v>
      </c>
      <c r="KE38" t="s">
        <v>1939</v>
      </c>
      <c r="KF38" t="s">
        <v>1939</v>
      </c>
      <c r="KG38" t="s">
        <v>1939</v>
      </c>
      <c r="KH38" t="s">
        <v>1939</v>
      </c>
      <c r="KI38" t="s">
        <v>1939</v>
      </c>
      <c r="KJ38" t="s">
        <v>1893</v>
      </c>
      <c r="KK38" t="s">
        <v>1939</v>
      </c>
      <c r="KL38" t="s">
        <v>1939</v>
      </c>
      <c r="KM38" t="s">
        <v>1939</v>
      </c>
      <c r="KN38" t="s">
        <v>2063</v>
      </c>
      <c r="KO38" t="s">
        <v>1939</v>
      </c>
      <c r="KP38" t="s">
        <v>1893</v>
      </c>
      <c r="KQ38" t="s">
        <v>1893</v>
      </c>
      <c r="KR38" t="s">
        <v>1939</v>
      </c>
      <c r="KS38" t="s">
        <v>1939</v>
      </c>
      <c r="KT38" t="s">
        <v>1939</v>
      </c>
      <c r="KU38" t="s">
        <v>1939</v>
      </c>
      <c r="KV38" t="s">
        <v>1939</v>
      </c>
      <c r="KW38" t="s">
        <v>1939</v>
      </c>
      <c r="KX38" t="s">
        <v>1939</v>
      </c>
      <c r="KY38" t="s">
        <v>1939</v>
      </c>
      <c r="KZ38" t="s">
        <v>1939</v>
      </c>
      <c r="LA38" t="s">
        <v>1939</v>
      </c>
      <c r="LB38" t="s">
        <v>1939</v>
      </c>
      <c r="LC38" t="s">
        <v>1939</v>
      </c>
      <c r="LD38" t="s">
        <v>1939</v>
      </c>
      <c r="LE38" t="s">
        <v>1939</v>
      </c>
      <c r="LF38" t="s">
        <v>1939</v>
      </c>
      <c r="LG38" t="s">
        <v>2063</v>
      </c>
      <c r="LH38" t="s">
        <v>2063</v>
      </c>
      <c r="LI38" t="s">
        <v>2063</v>
      </c>
      <c r="LJ38" t="s">
        <v>1939</v>
      </c>
      <c r="LK38" t="s">
        <v>2063</v>
      </c>
      <c r="LL38" t="s">
        <v>2063</v>
      </c>
      <c r="LM38" t="s">
        <v>1939</v>
      </c>
      <c r="LN38" t="s">
        <v>1939</v>
      </c>
      <c r="LO38" t="s">
        <v>2063</v>
      </c>
      <c r="LP38" t="s">
        <v>2063</v>
      </c>
      <c r="LQ38" t="s">
        <v>2063</v>
      </c>
      <c r="LR38" t="s">
        <v>2063</v>
      </c>
      <c r="LS38" t="s">
        <v>1893</v>
      </c>
      <c r="LT38" t="s">
        <v>1893</v>
      </c>
      <c r="LU38" t="s">
        <v>1939</v>
      </c>
      <c r="LV38" t="s">
        <v>1939</v>
      </c>
      <c r="LW38" t="s">
        <v>2063</v>
      </c>
      <c r="LX38" t="s">
        <v>1939</v>
      </c>
      <c r="LY38" t="s">
        <v>1939</v>
      </c>
      <c r="LZ38" t="s">
        <v>1939</v>
      </c>
      <c r="MA38" t="s">
        <v>1939</v>
      </c>
      <c r="MB38" t="s">
        <v>1939</v>
      </c>
      <c r="MC38" t="s">
        <v>1939</v>
      </c>
      <c r="MD38" t="s">
        <v>2063</v>
      </c>
      <c r="ME38" t="s">
        <v>1939</v>
      </c>
      <c r="MF38" t="s">
        <v>1939</v>
      </c>
      <c r="MG38" t="s">
        <v>2063</v>
      </c>
      <c r="MH38" t="s">
        <v>2063</v>
      </c>
      <c r="MI38" t="s">
        <v>2063</v>
      </c>
      <c r="MJ38" t="s">
        <v>1939</v>
      </c>
      <c r="MK38" t="s">
        <v>1939</v>
      </c>
      <c r="ML38" t="s">
        <v>1939</v>
      </c>
      <c r="MM38" t="s">
        <v>1939</v>
      </c>
      <c r="MN38" t="s">
        <v>1939</v>
      </c>
      <c r="MO38" t="s">
        <v>1939</v>
      </c>
      <c r="MP38" t="s">
        <v>1939</v>
      </c>
      <c r="MQ38" t="s">
        <v>1939</v>
      </c>
      <c r="MR38" t="s">
        <v>1939</v>
      </c>
      <c r="MS38" t="s">
        <v>1939</v>
      </c>
      <c r="MT38" t="s">
        <v>1939</v>
      </c>
      <c r="MU38" t="s">
        <v>1939</v>
      </c>
      <c r="MV38" t="s">
        <v>1939</v>
      </c>
      <c r="MW38" t="s">
        <v>1939</v>
      </c>
      <c r="MX38" t="s">
        <v>2063</v>
      </c>
      <c r="MY38" t="s">
        <v>1939</v>
      </c>
      <c r="MZ38" t="s">
        <v>2063</v>
      </c>
      <c r="NA38" t="s">
        <v>1939</v>
      </c>
      <c r="NB38" t="s">
        <v>1939</v>
      </c>
      <c r="NC38" t="s">
        <v>1939</v>
      </c>
      <c r="ND38" t="s">
        <v>1939</v>
      </c>
      <c r="NG38" t="s">
        <v>1939</v>
      </c>
      <c r="NH38" t="s">
        <v>1939</v>
      </c>
      <c r="NI38" t="s">
        <v>1939</v>
      </c>
      <c r="NJ38" t="s">
        <v>1939</v>
      </c>
      <c r="NK38" t="s">
        <v>1939</v>
      </c>
      <c r="NL38" t="s">
        <v>1939</v>
      </c>
      <c r="NM38" t="s">
        <v>1939</v>
      </c>
      <c r="NN38" t="s">
        <v>2063</v>
      </c>
      <c r="NR38" t="s">
        <v>1494</v>
      </c>
      <c r="NS38" t="s">
        <v>2065</v>
      </c>
      <c r="NX38" t="s">
        <v>2066</v>
      </c>
      <c r="NY38" t="s">
        <v>1885</v>
      </c>
    </row>
    <row r="39" spans="1:389" ht="15" customHeight="1" x14ac:dyDescent="0.25">
      <c r="A39" t="s">
        <v>1991</v>
      </c>
      <c r="B39" t="s">
        <v>1950</v>
      </c>
      <c r="C39" t="s">
        <v>1850</v>
      </c>
      <c r="D39" t="s">
        <v>1495</v>
      </c>
      <c r="G39" t="s">
        <v>1991</v>
      </c>
      <c r="H39" t="s">
        <v>1901</v>
      </c>
      <c r="I39" t="s">
        <v>1901</v>
      </c>
      <c r="J39" t="s">
        <v>1901</v>
      </c>
      <c r="K39" t="s">
        <v>1991</v>
      </c>
      <c r="L39" t="s">
        <v>1991</v>
      </c>
      <c r="M39" t="s">
        <v>1991</v>
      </c>
      <c r="N39" t="s">
        <v>1991</v>
      </c>
      <c r="O39" t="s">
        <v>1901</v>
      </c>
      <c r="P39" t="s">
        <v>1991</v>
      </c>
      <c r="Q39" t="s">
        <v>1901</v>
      </c>
      <c r="R39" t="s">
        <v>1991</v>
      </c>
      <c r="S39" t="s">
        <v>1991</v>
      </c>
      <c r="T39" t="s">
        <v>1901</v>
      </c>
      <c r="U39" t="s">
        <v>1901</v>
      </c>
      <c r="V39" t="s">
        <v>1901</v>
      </c>
      <c r="W39" t="s">
        <v>1901</v>
      </c>
      <c r="X39" t="s">
        <v>1901</v>
      </c>
      <c r="Y39" t="s">
        <v>1901</v>
      </c>
      <c r="AA39" t="s">
        <v>1901</v>
      </c>
      <c r="AB39" t="s">
        <v>1901</v>
      </c>
      <c r="AC39" t="s">
        <v>1901</v>
      </c>
      <c r="AD39" t="s">
        <v>1901</v>
      </c>
      <c r="AE39" t="s">
        <v>1901</v>
      </c>
      <c r="AF39" t="s">
        <v>1901</v>
      </c>
      <c r="AG39" t="s">
        <v>1901</v>
      </c>
      <c r="AH39" t="s">
        <v>1991</v>
      </c>
      <c r="AI39" t="s">
        <v>1901</v>
      </c>
      <c r="AJ39" t="s">
        <v>1901</v>
      </c>
      <c r="AK39" t="s">
        <v>1901</v>
      </c>
      <c r="AL39" t="s">
        <v>1901</v>
      </c>
      <c r="AM39" t="s">
        <v>1991</v>
      </c>
      <c r="AN39" t="s">
        <v>1901</v>
      </c>
      <c r="AO39" t="s">
        <v>1991</v>
      </c>
      <c r="AP39" t="s">
        <v>1991</v>
      </c>
      <c r="AQ39" t="s">
        <v>1991</v>
      </c>
      <c r="AR39" t="s">
        <v>1991</v>
      </c>
      <c r="AS39" t="s">
        <v>1901</v>
      </c>
      <c r="AT39" t="s">
        <v>1901</v>
      </c>
      <c r="AU39" t="s">
        <v>1901</v>
      </c>
      <c r="AV39" t="s">
        <v>1901</v>
      </c>
      <c r="AW39" t="s">
        <v>1901</v>
      </c>
      <c r="AX39" t="s">
        <v>1901</v>
      </c>
      <c r="AY39" t="s">
        <v>1901</v>
      </c>
      <c r="AZ39" t="s">
        <v>1901</v>
      </c>
      <c r="BA39" t="s">
        <v>1901</v>
      </c>
      <c r="BB39" t="s">
        <v>1901</v>
      </c>
      <c r="BC39" t="s">
        <v>1901</v>
      </c>
      <c r="BD39" t="s">
        <v>1901</v>
      </c>
      <c r="BE39" t="s">
        <v>1901</v>
      </c>
      <c r="BF39" t="s">
        <v>1901</v>
      </c>
      <c r="BG39" t="s">
        <v>1901</v>
      </c>
      <c r="BH39" t="s">
        <v>1901</v>
      </c>
      <c r="BI39" t="s">
        <v>1901</v>
      </c>
      <c r="BJ39" t="s">
        <v>1901</v>
      </c>
      <c r="BK39" t="s">
        <v>1901</v>
      </c>
      <c r="BL39" t="s">
        <v>1901</v>
      </c>
      <c r="BM39" t="s">
        <v>1901</v>
      </c>
      <c r="BN39" t="s">
        <v>1901</v>
      </c>
      <c r="BO39" t="s">
        <v>1901</v>
      </c>
      <c r="BP39" t="s">
        <v>1901</v>
      </c>
      <c r="BQ39" t="s">
        <v>1901</v>
      </c>
      <c r="BR39" t="s">
        <v>1901</v>
      </c>
      <c r="BS39" t="s">
        <v>1901</v>
      </c>
      <c r="BT39" t="s">
        <v>1901</v>
      </c>
      <c r="BU39" t="s">
        <v>1901</v>
      </c>
      <c r="BV39" t="s">
        <v>1901</v>
      </c>
      <c r="BW39" t="s">
        <v>1901</v>
      </c>
      <c r="BX39" t="s">
        <v>1901</v>
      </c>
      <c r="BY39" t="s">
        <v>1901</v>
      </c>
      <c r="BZ39" t="s">
        <v>1991</v>
      </c>
      <c r="CA39" t="s">
        <v>1991</v>
      </c>
      <c r="CB39" t="s">
        <v>1901</v>
      </c>
      <c r="CC39" t="s">
        <v>1901</v>
      </c>
      <c r="CD39" t="s">
        <v>1901</v>
      </c>
      <c r="CE39" t="s">
        <v>1991</v>
      </c>
      <c r="CF39" t="s">
        <v>1901</v>
      </c>
      <c r="CG39" t="s">
        <v>1901</v>
      </c>
      <c r="CH39" t="s">
        <v>1901</v>
      </c>
      <c r="CI39" t="s">
        <v>1901</v>
      </c>
      <c r="CJ39" t="s">
        <v>1901</v>
      </c>
      <c r="CK39" t="s">
        <v>1991</v>
      </c>
      <c r="CL39" t="s">
        <v>1991</v>
      </c>
      <c r="CM39" t="s">
        <v>1991</v>
      </c>
      <c r="CN39" t="s">
        <v>1991</v>
      </c>
      <c r="CO39" t="s">
        <v>1991</v>
      </c>
      <c r="CP39" t="s">
        <v>1991</v>
      </c>
      <c r="CQ39" t="s">
        <v>1991</v>
      </c>
      <c r="CR39" t="s">
        <v>1991</v>
      </c>
      <c r="CS39" t="s">
        <v>1901</v>
      </c>
      <c r="CT39" t="s">
        <v>1901</v>
      </c>
      <c r="CU39" t="s">
        <v>1991</v>
      </c>
      <c r="CV39" t="s">
        <v>1901</v>
      </c>
      <c r="CW39" t="s">
        <v>1901</v>
      </c>
      <c r="CX39" t="s">
        <v>1901</v>
      </c>
      <c r="CY39" t="s">
        <v>1901</v>
      </c>
      <c r="CZ39" t="s">
        <v>1991</v>
      </c>
      <c r="DA39" t="s">
        <v>1991</v>
      </c>
      <c r="DB39" t="s">
        <v>1991</v>
      </c>
      <c r="DC39" t="s">
        <v>1991</v>
      </c>
      <c r="DD39" t="s">
        <v>1901</v>
      </c>
      <c r="DE39" t="s">
        <v>1901</v>
      </c>
      <c r="DF39" t="s">
        <v>1901</v>
      </c>
      <c r="DG39" t="s">
        <v>1901</v>
      </c>
      <c r="DH39" t="s">
        <v>1901</v>
      </c>
      <c r="DI39" t="s">
        <v>1901</v>
      </c>
      <c r="DJ39" t="s">
        <v>1991</v>
      </c>
      <c r="DK39" t="s">
        <v>1991</v>
      </c>
      <c r="DL39" t="s">
        <v>1901</v>
      </c>
      <c r="DM39" t="s">
        <v>1901</v>
      </c>
      <c r="DN39" t="s">
        <v>1901</v>
      </c>
      <c r="DO39" t="s">
        <v>1991</v>
      </c>
      <c r="DP39" t="s">
        <v>1991</v>
      </c>
      <c r="DQ39" t="s">
        <v>1991</v>
      </c>
      <c r="DR39" t="s">
        <v>1991</v>
      </c>
      <c r="DS39" t="s">
        <v>1901</v>
      </c>
      <c r="DT39" t="s">
        <v>1991</v>
      </c>
      <c r="DU39" t="s">
        <v>1991</v>
      </c>
      <c r="DV39" t="s">
        <v>1991</v>
      </c>
      <c r="DW39" t="s">
        <v>1901</v>
      </c>
      <c r="DX39" t="s">
        <v>1901</v>
      </c>
      <c r="DY39" t="s">
        <v>1901</v>
      </c>
      <c r="DZ39" t="s">
        <v>1901</v>
      </c>
      <c r="EA39" t="s">
        <v>1991</v>
      </c>
      <c r="EB39" t="s">
        <v>1991</v>
      </c>
      <c r="EC39" t="s">
        <v>1991</v>
      </c>
      <c r="ED39" t="s">
        <v>1901</v>
      </c>
      <c r="EE39" t="s">
        <v>1901</v>
      </c>
      <c r="EF39" t="s">
        <v>1901</v>
      </c>
      <c r="EG39" t="s">
        <v>1991</v>
      </c>
      <c r="EH39" t="s">
        <v>1991</v>
      </c>
      <c r="EI39" t="s">
        <v>1991</v>
      </c>
      <c r="EJ39" t="s">
        <v>1991</v>
      </c>
      <c r="EK39" t="s">
        <v>1991</v>
      </c>
      <c r="EL39" t="s">
        <v>1991</v>
      </c>
      <c r="EM39" t="s">
        <v>1901</v>
      </c>
      <c r="EN39" t="s">
        <v>1901</v>
      </c>
      <c r="EO39" t="s">
        <v>1901</v>
      </c>
      <c r="ET39" t="s">
        <v>1901</v>
      </c>
      <c r="EU39" t="s">
        <v>1901</v>
      </c>
      <c r="EV39" t="s">
        <v>1901</v>
      </c>
      <c r="EW39" t="s">
        <v>1901</v>
      </c>
      <c r="EX39" t="s">
        <v>1939</v>
      </c>
      <c r="EY39" t="s">
        <v>1991</v>
      </c>
      <c r="EZ39" t="s">
        <v>1901</v>
      </c>
      <c r="FA39" t="s">
        <v>1991</v>
      </c>
      <c r="FB39" t="s">
        <v>1991</v>
      </c>
      <c r="FC39" t="s">
        <v>1991</v>
      </c>
      <c r="FD39" t="s">
        <v>1901</v>
      </c>
      <c r="FE39" t="s">
        <v>1901</v>
      </c>
      <c r="FF39" t="s">
        <v>1991</v>
      </c>
      <c r="FG39" t="s">
        <v>1991</v>
      </c>
      <c r="FH39" t="s">
        <v>1991</v>
      </c>
      <c r="FI39" t="s">
        <v>1991</v>
      </c>
      <c r="FJ39" t="s">
        <v>1939</v>
      </c>
      <c r="FK39" t="s">
        <v>1901</v>
      </c>
      <c r="FL39" t="s">
        <v>1901</v>
      </c>
      <c r="FM39" t="s">
        <v>1901</v>
      </c>
      <c r="FN39" t="s">
        <v>1901</v>
      </c>
      <c r="FO39" t="s">
        <v>1901</v>
      </c>
      <c r="FP39" t="s">
        <v>1901</v>
      </c>
      <c r="FQ39" t="s">
        <v>1901</v>
      </c>
      <c r="FR39" t="s">
        <v>1901</v>
      </c>
      <c r="FS39" t="s">
        <v>1901</v>
      </c>
      <c r="FT39" t="s">
        <v>1901</v>
      </c>
      <c r="FU39" t="s">
        <v>1901</v>
      </c>
      <c r="FV39" t="s">
        <v>1901</v>
      </c>
      <c r="FW39" t="s">
        <v>1901</v>
      </c>
      <c r="FX39" t="s">
        <v>1901</v>
      </c>
      <c r="FY39" t="s">
        <v>1991</v>
      </c>
      <c r="FZ39" t="s">
        <v>1991</v>
      </c>
      <c r="GA39" t="s">
        <v>1991</v>
      </c>
      <c r="GB39" t="s">
        <v>1901</v>
      </c>
      <c r="GC39" t="s">
        <v>1901</v>
      </c>
      <c r="GD39" t="s">
        <v>1901</v>
      </c>
      <c r="GE39" t="s">
        <v>1901</v>
      </c>
      <c r="GF39" t="s">
        <v>1901</v>
      </c>
      <c r="GG39" t="s">
        <v>1901</v>
      </c>
      <c r="GH39" t="s">
        <v>1901</v>
      </c>
      <c r="GI39" t="s">
        <v>1901</v>
      </c>
      <c r="GJ39" t="s">
        <v>1901</v>
      </c>
      <c r="GK39" t="s">
        <v>1901</v>
      </c>
      <c r="GL39" t="s">
        <v>1901</v>
      </c>
      <c r="GM39" t="s">
        <v>1901</v>
      </c>
      <c r="GN39" t="s">
        <v>1901</v>
      </c>
      <c r="GO39" t="s">
        <v>1901</v>
      </c>
      <c r="GP39" t="s">
        <v>1901</v>
      </c>
      <c r="GQ39" t="s">
        <v>1901</v>
      </c>
      <c r="GR39" t="s">
        <v>1901</v>
      </c>
      <c r="GS39" t="s">
        <v>1901</v>
      </c>
      <c r="GT39" t="s">
        <v>1901</v>
      </c>
      <c r="GU39" t="s">
        <v>1901</v>
      </c>
      <c r="GV39" t="s">
        <v>1901</v>
      </c>
      <c r="GW39" t="s">
        <v>1901</v>
      </c>
      <c r="GX39" t="s">
        <v>1901</v>
      </c>
      <c r="GY39" t="s">
        <v>1901</v>
      </c>
      <c r="GZ39" t="s">
        <v>1901</v>
      </c>
      <c r="HA39" t="s">
        <v>1901</v>
      </c>
      <c r="HB39" t="s">
        <v>1901</v>
      </c>
      <c r="HC39" t="s">
        <v>1939</v>
      </c>
      <c r="HD39" t="s">
        <v>1991</v>
      </c>
      <c r="HE39" t="s">
        <v>1939</v>
      </c>
      <c r="HF39" t="s">
        <v>1991</v>
      </c>
      <c r="HG39" t="s">
        <v>1901</v>
      </c>
      <c r="HH39" t="s">
        <v>1939</v>
      </c>
      <c r="HI39" t="s">
        <v>1939</v>
      </c>
      <c r="HJ39" t="s">
        <v>1901</v>
      </c>
      <c r="HK39" t="s">
        <v>1901</v>
      </c>
      <c r="HL39" t="s">
        <v>1901</v>
      </c>
      <c r="HM39" t="s">
        <v>1939</v>
      </c>
      <c r="HN39" t="s">
        <v>1901</v>
      </c>
      <c r="HO39" t="s">
        <v>1991</v>
      </c>
      <c r="HP39" t="s">
        <v>1939</v>
      </c>
      <c r="HQ39" t="s">
        <v>1991</v>
      </c>
      <c r="HR39" t="s">
        <v>1991</v>
      </c>
      <c r="HS39" t="s">
        <v>1991</v>
      </c>
      <c r="HT39" t="s">
        <v>1901</v>
      </c>
      <c r="HU39" t="s">
        <v>1901</v>
      </c>
      <c r="HV39" t="s">
        <v>1901</v>
      </c>
      <c r="HW39" t="s">
        <v>1901</v>
      </c>
      <c r="HX39" t="s">
        <v>1901</v>
      </c>
      <c r="HY39" t="s">
        <v>1901</v>
      </c>
      <c r="HZ39" t="s">
        <v>1939</v>
      </c>
      <c r="IA39" t="s">
        <v>1901</v>
      </c>
      <c r="IB39" t="s">
        <v>1901</v>
      </c>
      <c r="IC39" t="s">
        <v>1939</v>
      </c>
      <c r="ID39" t="s">
        <v>1901</v>
      </c>
      <c r="IE39" t="s">
        <v>1901</v>
      </c>
      <c r="IF39" t="s">
        <v>1991</v>
      </c>
      <c r="IG39" t="s">
        <v>1991</v>
      </c>
      <c r="IH39" t="s">
        <v>1991</v>
      </c>
      <c r="II39" t="s">
        <v>1991</v>
      </c>
      <c r="IJ39" t="s">
        <v>1991</v>
      </c>
      <c r="IK39" t="s">
        <v>1901</v>
      </c>
      <c r="IL39" t="s">
        <v>1939</v>
      </c>
      <c r="IM39" t="s">
        <v>1901</v>
      </c>
      <c r="IN39" t="s">
        <v>1901</v>
      </c>
      <c r="IO39" t="s">
        <v>1991</v>
      </c>
      <c r="IP39" t="s">
        <v>1901</v>
      </c>
      <c r="IQ39" t="s">
        <v>1901</v>
      </c>
      <c r="IR39" t="s">
        <v>1939</v>
      </c>
      <c r="IS39" t="s">
        <v>1901</v>
      </c>
      <c r="IT39" t="s">
        <v>1901</v>
      </c>
      <c r="IU39" t="s">
        <v>1901</v>
      </c>
      <c r="IV39" t="s">
        <v>1901</v>
      </c>
      <c r="IW39" t="s">
        <v>1901</v>
      </c>
      <c r="IX39" t="s">
        <v>1901</v>
      </c>
      <c r="IY39" t="s">
        <v>1901</v>
      </c>
      <c r="IZ39" t="s">
        <v>1901</v>
      </c>
      <c r="JA39" t="s">
        <v>1901</v>
      </c>
      <c r="JB39" t="s">
        <v>1991</v>
      </c>
      <c r="JC39" t="s">
        <v>1901</v>
      </c>
      <c r="JD39" t="s">
        <v>1901</v>
      </c>
      <c r="JE39" t="s">
        <v>1901</v>
      </c>
      <c r="JF39" t="s">
        <v>1901</v>
      </c>
      <c r="JG39" t="s">
        <v>1901</v>
      </c>
      <c r="JH39" t="s">
        <v>1901</v>
      </c>
      <c r="JI39" t="s">
        <v>1901</v>
      </c>
      <c r="JJ39" t="s">
        <v>1901</v>
      </c>
      <c r="JK39" t="s">
        <v>1939</v>
      </c>
      <c r="JL39" t="s">
        <v>1991</v>
      </c>
      <c r="JM39" t="s">
        <v>1901</v>
      </c>
      <c r="JN39" t="s">
        <v>1901</v>
      </c>
      <c r="JO39" t="s">
        <v>1939</v>
      </c>
      <c r="JP39" t="s">
        <v>1939</v>
      </c>
      <c r="JQ39" t="s">
        <v>1901</v>
      </c>
      <c r="JR39" t="s">
        <v>1901</v>
      </c>
      <c r="JS39" t="s">
        <v>1939</v>
      </c>
      <c r="JT39" t="s">
        <v>1991</v>
      </c>
      <c r="JU39" t="s">
        <v>1939</v>
      </c>
      <c r="JV39" t="s">
        <v>1991</v>
      </c>
      <c r="JW39" t="s">
        <v>1901</v>
      </c>
      <c r="JX39" t="s">
        <v>1901</v>
      </c>
      <c r="JY39" t="s">
        <v>1901</v>
      </c>
      <c r="JZ39" t="s">
        <v>1991</v>
      </c>
      <c r="KA39" t="s">
        <v>1901</v>
      </c>
      <c r="KB39" t="s">
        <v>1901</v>
      </c>
      <c r="KC39" t="s">
        <v>1901</v>
      </c>
      <c r="KD39" t="s">
        <v>1901</v>
      </c>
      <c r="KE39" t="s">
        <v>1901</v>
      </c>
      <c r="KF39" t="s">
        <v>1901</v>
      </c>
      <c r="KG39" t="s">
        <v>1901</v>
      </c>
      <c r="KH39" t="s">
        <v>1901</v>
      </c>
      <c r="KI39" t="s">
        <v>1901</v>
      </c>
      <c r="KJ39" t="s">
        <v>1939</v>
      </c>
      <c r="KK39" t="s">
        <v>1901</v>
      </c>
      <c r="KL39" t="s">
        <v>1901</v>
      </c>
      <c r="KM39" t="s">
        <v>1901</v>
      </c>
      <c r="KN39" t="s">
        <v>1991</v>
      </c>
      <c r="KO39" t="s">
        <v>1901</v>
      </c>
      <c r="KP39" t="s">
        <v>1939</v>
      </c>
      <c r="KQ39" t="s">
        <v>1939</v>
      </c>
      <c r="KR39" t="s">
        <v>1901</v>
      </c>
      <c r="KS39" t="s">
        <v>1901</v>
      </c>
      <c r="KT39" t="s">
        <v>1901</v>
      </c>
      <c r="KU39" t="s">
        <v>1901</v>
      </c>
      <c r="KV39" t="s">
        <v>1901</v>
      </c>
      <c r="KW39" t="s">
        <v>1901</v>
      </c>
      <c r="KX39" t="s">
        <v>1901</v>
      </c>
      <c r="KY39" t="s">
        <v>1901</v>
      </c>
      <c r="KZ39" t="s">
        <v>1901</v>
      </c>
      <c r="LA39" t="s">
        <v>1901</v>
      </c>
      <c r="LB39" t="s">
        <v>1901</v>
      </c>
      <c r="LC39" t="s">
        <v>1901</v>
      </c>
      <c r="LD39" t="s">
        <v>1901</v>
      </c>
      <c r="LE39" t="s">
        <v>1901</v>
      </c>
      <c r="LF39" t="s">
        <v>1901</v>
      </c>
      <c r="LG39" t="s">
        <v>1991</v>
      </c>
      <c r="LH39" t="s">
        <v>1991</v>
      </c>
      <c r="LI39" t="s">
        <v>1991</v>
      </c>
      <c r="LJ39" t="s">
        <v>1901</v>
      </c>
      <c r="LK39" t="s">
        <v>1991</v>
      </c>
      <c r="LL39" t="s">
        <v>1991</v>
      </c>
      <c r="LM39" t="s">
        <v>1901</v>
      </c>
      <c r="LN39" t="s">
        <v>1901</v>
      </c>
      <c r="LO39" t="s">
        <v>1991</v>
      </c>
      <c r="LP39" t="s">
        <v>1991</v>
      </c>
      <c r="LQ39" t="s">
        <v>1991</v>
      </c>
      <c r="LR39" t="s">
        <v>1991</v>
      </c>
      <c r="LS39" t="s">
        <v>1939</v>
      </c>
      <c r="LT39" t="s">
        <v>1939</v>
      </c>
      <c r="LU39" t="s">
        <v>1901</v>
      </c>
      <c r="LV39" t="s">
        <v>1901</v>
      </c>
      <c r="LW39" t="s">
        <v>1991</v>
      </c>
      <c r="LX39" t="s">
        <v>1901</v>
      </c>
      <c r="LY39" t="s">
        <v>1901</v>
      </c>
      <c r="LZ39" t="s">
        <v>1901</v>
      </c>
      <c r="MA39" t="s">
        <v>1901</v>
      </c>
      <c r="MB39" t="s">
        <v>1901</v>
      </c>
      <c r="MC39" t="s">
        <v>1901</v>
      </c>
      <c r="MD39" t="s">
        <v>1991</v>
      </c>
      <c r="ME39" t="s">
        <v>1901</v>
      </c>
      <c r="MF39" t="s">
        <v>1901</v>
      </c>
      <c r="MG39" t="s">
        <v>1991</v>
      </c>
      <c r="MH39" t="s">
        <v>1991</v>
      </c>
      <c r="MI39" t="s">
        <v>1991</v>
      </c>
      <c r="MJ39" t="s">
        <v>1901</v>
      </c>
      <c r="MK39" t="s">
        <v>1901</v>
      </c>
      <c r="ML39" t="s">
        <v>1901</v>
      </c>
      <c r="MM39" t="s">
        <v>1901</v>
      </c>
      <c r="MN39" t="s">
        <v>1901</v>
      </c>
      <c r="MO39" t="s">
        <v>1901</v>
      </c>
      <c r="MP39" t="s">
        <v>1901</v>
      </c>
      <c r="MQ39" t="s">
        <v>1901</v>
      </c>
      <c r="MR39" t="s">
        <v>1901</v>
      </c>
      <c r="MS39" t="s">
        <v>1901</v>
      </c>
      <c r="MT39" t="s">
        <v>1901</v>
      </c>
      <c r="MU39" t="s">
        <v>1901</v>
      </c>
      <c r="MV39" t="s">
        <v>1901</v>
      </c>
      <c r="MW39" t="s">
        <v>1901</v>
      </c>
      <c r="MX39" t="s">
        <v>1991</v>
      </c>
      <c r="MY39" t="s">
        <v>1901</v>
      </c>
      <c r="MZ39" t="s">
        <v>1991</v>
      </c>
      <c r="NA39" t="s">
        <v>1901</v>
      </c>
      <c r="NB39" t="s">
        <v>1901</v>
      </c>
      <c r="NC39" t="s">
        <v>1901</v>
      </c>
      <c r="ND39" t="s">
        <v>1901</v>
      </c>
      <c r="NG39" t="s">
        <v>1901</v>
      </c>
      <c r="NH39" t="s">
        <v>1901</v>
      </c>
      <c r="NI39" t="s">
        <v>1901</v>
      </c>
      <c r="NJ39" t="s">
        <v>1901</v>
      </c>
      <c r="NK39" t="s">
        <v>1901</v>
      </c>
      <c r="NL39" t="s">
        <v>1901</v>
      </c>
      <c r="NM39" t="s">
        <v>1901</v>
      </c>
      <c r="NN39" t="s">
        <v>1991</v>
      </c>
      <c r="NR39" t="s">
        <v>1495</v>
      </c>
      <c r="NS39" t="s">
        <v>2067</v>
      </c>
      <c r="NX39" t="s">
        <v>2068</v>
      </c>
      <c r="NY39" t="s">
        <v>1885</v>
      </c>
    </row>
    <row r="40" spans="1:389" ht="15" customHeight="1" x14ac:dyDescent="0.25">
      <c r="A40" t="s">
        <v>2069</v>
      </c>
      <c r="B40" t="s">
        <v>1962</v>
      </c>
      <c r="C40" t="s">
        <v>1841</v>
      </c>
      <c r="D40" t="s">
        <v>1496</v>
      </c>
      <c r="G40" t="s">
        <v>2069</v>
      </c>
      <c r="H40" t="s">
        <v>1909</v>
      </c>
      <c r="I40" t="s">
        <v>1909</v>
      </c>
      <c r="J40" t="s">
        <v>1909</v>
      </c>
      <c r="K40" t="s">
        <v>2069</v>
      </c>
      <c r="L40" t="s">
        <v>2069</v>
      </c>
      <c r="M40" t="s">
        <v>2069</v>
      </c>
      <c r="N40" t="s">
        <v>2069</v>
      </c>
      <c r="O40" t="s">
        <v>1909</v>
      </c>
      <c r="P40" t="s">
        <v>2069</v>
      </c>
      <c r="Q40" t="s">
        <v>1909</v>
      </c>
      <c r="R40" t="s">
        <v>2069</v>
      </c>
      <c r="S40" t="s">
        <v>2069</v>
      </c>
      <c r="T40" t="s">
        <v>1909</v>
      </c>
      <c r="U40" t="s">
        <v>1909</v>
      </c>
      <c r="V40" t="s">
        <v>1909</v>
      </c>
      <c r="W40" t="s">
        <v>1909</v>
      </c>
      <c r="X40" t="s">
        <v>1909</v>
      </c>
      <c r="Y40" t="s">
        <v>1909</v>
      </c>
      <c r="AA40" t="s">
        <v>1909</v>
      </c>
      <c r="AB40" t="s">
        <v>1909</v>
      </c>
      <c r="AC40" t="s">
        <v>1909</v>
      </c>
      <c r="AD40" t="s">
        <v>1909</v>
      </c>
      <c r="AE40" t="s">
        <v>1909</v>
      </c>
      <c r="AF40" t="s">
        <v>1909</v>
      </c>
      <c r="AG40" t="s">
        <v>1909</v>
      </c>
      <c r="AH40" t="s">
        <v>2069</v>
      </c>
      <c r="AI40" t="s">
        <v>1909</v>
      </c>
      <c r="AJ40" t="s">
        <v>1909</v>
      </c>
      <c r="AK40" t="s">
        <v>1909</v>
      </c>
      <c r="AL40" t="s">
        <v>1909</v>
      </c>
      <c r="AM40" t="s">
        <v>2069</v>
      </c>
      <c r="AN40" t="s">
        <v>1909</v>
      </c>
      <c r="AO40" t="s">
        <v>2069</v>
      </c>
      <c r="AP40" t="s">
        <v>2069</v>
      </c>
      <c r="AQ40" t="s">
        <v>2069</v>
      </c>
      <c r="AR40" t="s">
        <v>2069</v>
      </c>
      <c r="AS40" t="s">
        <v>1909</v>
      </c>
      <c r="AT40" t="s">
        <v>1909</v>
      </c>
      <c r="AU40" t="s">
        <v>1909</v>
      </c>
      <c r="AV40" t="s">
        <v>1909</v>
      </c>
      <c r="AW40" t="s">
        <v>1909</v>
      </c>
      <c r="AX40" t="s">
        <v>1909</v>
      </c>
      <c r="AY40" t="s">
        <v>1909</v>
      </c>
      <c r="AZ40" t="s">
        <v>1909</v>
      </c>
      <c r="BA40" t="s">
        <v>1909</v>
      </c>
      <c r="BB40" t="s">
        <v>1909</v>
      </c>
      <c r="BC40" t="s">
        <v>1909</v>
      </c>
      <c r="BD40" t="s">
        <v>1909</v>
      </c>
      <c r="BE40" t="s">
        <v>1909</v>
      </c>
      <c r="BF40" t="s">
        <v>1909</v>
      </c>
      <c r="BG40" t="s">
        <v>1909</v>
      </c>
      <c r="BH40" t="s">
        <v>1909</v>
      </c>
      <c r="BI40" t="s">
        <v>1909</v>
      </c>
      <c r="BJ40" t="s">
        <v>1909</v>
      </c>
      <c r="BK40" t="s">
        <v>1909</v>
      </c>
      <c r="BL40" t="s">
        <v>1909</v>
      </c>
      <c r="BM40" t="s">
        <v>1909</v>
      </c>
      <c r="BN40" t="s">
        <v>1909</v>
      </c>
      <c r="BO40" t="s">
        <v>1909</v>
      </c>
      <c r="BP40" t="s">
        <v>1909</v>
      </c>
      <c r="BQ40" t="s">
        <v>1909</v>
      </c>
      <c r="BR40" t="s">
        <v>1909</v>
      </c>
      <c r="BS40" t="s">
        <v>1909</v>
      </c>
      <c r="BT40" t="s">
        <v>1909</v>
      </c>
      <c r="BU40" t="s">
        <v>1909</v>
      </c>
      <c r="BV40" t="s">
        <v>1909</v>
      </c>
      <c r="BW40" t="s">
        <v>1909</v>
      </c>
      <c r="BX40" t="s">
        <v>1909</v>
      </c>
      <c r="BY40" t="s">
        <v>1909</v>
      </c>
      <c r="BZ40" t="s">
        <v>2069</v>
      </c>
      <c r="CA40" t="s">
        <v>2069</v>
      </c>
      <c r="CB40" t="s">
        <v>1909</v>
      </c>
      <c r="CC40" t="s">
        <v>1909</v>
      </c>
      <c r="CD40" t="s">
        <v>1909</v>
      </c>
      <c r="CE40" t="s">
        <v>2069</v>
      </c>
      <c r="CF40" t="s">
        <v>1909</v>
      </c>
      <c r="CG40" t="s">
        <v>1909</v>
      </c>
      <c r="CH40" t="s">
        <v>1909</v>
      </c>
      <c r="CI40" t="s">
        <v>1909</v>
      </c>
      <c r="CJ40" t="s">
        <v>1909</v>
      </c>
      <c r="CK40" t="s">
        <v>2069</v>
      </c>
      <c r="CL40" t="s">
        <v>2069</v>
      </c>
      <c r="CM40" t="s">
        <v>2069</v>
      </c>
      <c r="CN40" t="s">
        <v>2069</v>
      </c>
      <c r="CO40" t="s">
        <v>2069</v>
      </c>
      <c r="CP40" t="s">
        <v>2069</v>
      </c>
      <c r="CQ40" t="s">
        <v>2069</v>
      </c>
      <c r="CR40" t="s">
        <v>2069</v>
      </c>
      <c r="CS40" t="s">
        <v>1909</v>
      </c>
      <c r="CT40" t="s">
        <v>1909</v>
      </c>
      <c r="CU40" t="s">
        <v>2069</v>
      </c>
      <c r="CV40" t="s">
        <v>1909</v>
      </c>
      <c r="CW40" t="s">
        <v>1909</v>
      </c>
      <c r="CX40" t="s">
        <v>1909</v>
      </c>
      <c r="CY40" t="s">
        <v>1909</v>
      </c>
      <c r="CZ40" t="s">
        <v>2069</v>
      </c>
      <c r="DA40" t="s">
        <v>2069</v>
      </c>
      <c r="DB40" t="s">
        <v>2069</v>
      </c>
      <c r="DC40" t="s">
        <v>2069</v>
      </c>
      <c r="DD40" t="s">
        <v>1909</v>
      </c>
      <c r="DE40" t="s">
        <v>1909</v>
      </c>
      <c r="DF40" t="s">
        <v>1909</v>
      </c>
      <c r="DG40" t="s">
        <v>1909</v>
      </c>
      <c r="DH40" t="s">
        <v>1909</v>
      </c>
      <c r="DI40" t="s">
        <v>1909</v>
      </c>
      <c r="DJ40" t="s">
        <v>2069</v>
      </c>
      <c r="DK40" t="s">
        <v>2069</v>
      </c>
      <c r="DL40" t="s">
        <v>1909</v>
      </c>
      <c r="DM40" t="s">
        <v>1909</v>
      </c>
      <c r="DN40" t="s">
        <v>1909</v>
      </c>
      <c r="DO40" t="s">
        <v>2069</v>
      </c>
      <c r="DP40" t="s">
        <v>2069</v>
      </c>
      <c r="DQ40" t="s">
        <v>2069</v>
      </c>
      <c r="DR40" t="s">
        <v>2069</v>
      </c>
      <c r="DS40" t="s">
        <v>1909</v>
      </c>
      <c r="DT40" t="s">
        <v>2069</v>
      </c>
      <c r="DU40" t="s">
        <v>2069</v>
      </c>
      <c r="DV40" t="s">
        <v>2069</v>
      </c>
      <c r="DW40" t="s">
        <v>1909</v>
      </c>
      <c r="DX40" t="s">
        <v>1909</v>
      </c>
      <c r="DY40" t="s">
        <v>1909</v>
      </c>
      <c r="DZ40" t="s">
        <v>1909</v>
      </c>
      <c r="EA40" t="s">
        <v>2069</v>
      </c>
      <c r="EB40" t="s">
        <v>2069</v>
      </c>
      <c r="EC40" t="s">
        <v>2069</v>
      </c>
      <c r="ED40" t="s">
        <v>1909</v>
      </c>
      <c r="EE40" t="s">
        <v>1909</v>
      </c>
      <c r="EF40" t="s">
        <v>1909</v>
      </c>
      <c r="EG40" t="s">
        <v>2069</v>
      </c>
      <c r="EH40" t="s">
        <v>2069</v>
      </c>
      <c r="EI40" t="s">
        <v>2069</v>
      </c>
      <c r="EJ40" t="s">
        <v>2069</v>
      </c>
      <c r="EK40" t="s">
        <v>2069</v>
      </c>
      <c r="EL40" t="s">
        <v>2069</v>
      </c>
      <c r="EM40" t="s">
        <v>1909</v>
      </c>
      <c r="EN40" t="s">
        <v>1909</v>
      </c>
      <c r="EO40" t="s">
        <v>1909</v>
      </c>
      <c r="ET40" t="s">
        <v>1909</v>
      </c>
      <c r="EU40" t="s">
        <v>1909</v>
      </c>
      <c r="EV40" t="s">
        <v>1909</v>
      </c>
      <c r="EW40" t="s">
        <v>1909</v>
      </c>
      <c r="EX40" t="s">
        <v>1901</v>
      </c>
      <c r="EY40" t="s">
        <v>2069</v>
      </c>
      <c r="EZ40" t="s">
        <v>1909</v>
      </c>
      <c r="FA40" t="s">
        <v>2069</v>
      </c>
      <c r="FB40" t="s">
        <v>2069</v>
      </c>
      <c r="FC40" t="s">
        <v>2069</v>
      </c>
      <c r="FD40" t="s">
        <v>1909</v>
      </c>
      <c r="FE40" t="s">
        <v>1909</v>
      </c>
      <c r="FF40" t="s">
        <v>2069</v>
      </c>
      <c r="FG40" t="s">
        <v>2069</v>
      </c>
      <c r="FH40" t="s">
        <v>2069</v>
      </c>
      <c r="FI40" t="s">
        <v>2069</v>
      </c>
      <c r="FJ40" t="s">
        <v>1901</v>
      </c>
      <c r="FK40" t="s">
        <v>1909</v>
      </c>
      <c r="FL40" t="s">
        <v>1909</v>
      </c>
      <c r="FM40" t="s">
        <v>1909</v>
      </c>
      <c r="FN40" t="s">
        <v>1909</v>
      </c>
      <c r="FO40" t="s">
        <v>1909</v>
      </c>
      <c r="FP40" t="s">
        <v>1909</v>
      </c>
      <c r="FQ40" t="s">
        <v>1909</v>
      </c>
      <c r="FR40" t="s">
        <v>1909</v>
      </c>
      <c r="FS40" t="s">
        <v>1909</v>
      </c>
      <c r="FT40" t="s">
        <v>1909</v>
      </c>
      <c r="FU40" t="s">
        <v>1909</v>
      </c>
      <c r="FV40" t="s">
        <v>1909</v>
      </c>
      <c r="FW40" t="s">
        <v>1909</v>
      </c>
      <c r="FX40" t="s">
        <v>1909</v>
      </c>
      <c r="FY40" t="s">
        <v>2069</v>
      </c>
      <c r="FZ40" t="s">
        <v>2069</v>
      </c>
      <c r="GA40" t="s">
        <v>2069</v>
      </c>
      <c r="GB40" t="s">
        <v>1909</v>
      </c>
      <c r="GC40" t="s">
        <v>1909</v>
      </c>
      <c r="GD40" t="s">
        <v>1909</v>
      </c>
      <c r="GE40" t="s">
        <v>1909</v>
      </c>
      <c r="GF40" t="s">
        <v>1909</v>
      </c>
      <c r="GG40" t="s">
        <v>1909</v>
      </c>
      <c r="GH40" t="s">
        <v>1909</v>
      </c>
      <c r="GI40" t="s">
        <v>1909</v>
      </c>
      <c r="GJ40" t="s">
        <v>1909</v>
      </c>
      <c r="GK40" t="s">
        <v>1909</v>
      </c>
      <c r="GL40" t="s">
        <v>1909</v>
      </c>
      <c r="GM40" t="s">
        <v>1909</v>
      </c>
      <c r="GN40" t="s">
        <v>1909</v>
      </c>
      <c r="GO40" t="s">
        <v>1909</v>
      </c>
      <c r="GP40" t="s">
        <v>1909</v>
      </c>
      <c r="GQ40" t="s">
        <v>1909</v>
      </c>
      <c r="GR40" t="s">
        <v>1909</v>
      </c>
      <c r="GS40" t="s">
        <v>1909</v>
      </c>
      <c r="GT40" t="s">
        <v>1909</v>
      </c>
      <c r="GU40" t="s">
        <v>1909</v>
      </c>
      <c r="GV40" t="s">
        <v>1909</v>
      </c>
      <c r="GW40" t="s">
        <v>1909</v>
      </c>
      <c r="GX40" t="s">
        <v>1909</v>
      </c>
      <c r="GY40" t="s">
        <v>1909</v>
      </c>
      <c r="GZ40" t="s">
        <v>1909</v>
      </c>
      <c r="HA40" t="s">
        <v>1909</v>
      </c>
      <c r="HB40" t="s">
        <v>1909</v>
      </c>
      <c r="HC40" t="s">
        <v>1901</v>
      </c>
      <c r="HD40" t="s">
        <v>2069</v>
      </c>
      <c r="HE40" t="s">
        <v>1901</v>
      </c>
      <c r="HF40" t="s">
        <v>2069</v>
      </c>
      <c r="HG40" t="s">
        <v>1909</v>
      </c>
      <c r="HH40" t="s">
        <v>1901</v>
      </c>
      <c r="HI40" t="s">
        <v>1901</v>
      </c>
      <c r="HJ40" t="s">
        <v>1909</v>
      </c>
      <c r="HK40" t="s">
        <v>1909</v>
      </c>
      <c r="HL40" t="s">
        <v>1909</v>
      </c>
      <c r="HM40" t="s">
        <v>1901</v>
      </c>
      <c r="HN40" t="s">
        <v>1909</v>
      </c>
      <c r="HO40" t="s">
        <v>2069</v>
      </c>
      <c r="HP40" t="s">
        <v>1901</v>
      </c>
      <c r="HQ40" t="s">
        <v>2069</v>
      </c>
      <c r="HR40" t="s">
        <v>2069</v>
      </c>
      <c r="HS40" t="s">
        <v>2069</v>
      </c>
      <c r="HT40" t="s">
        <v>1909</v>
      </c>
      <c r="HU40" t="s">
        <v>1909</v>
      </c>
      <c r="HV40" t="s">
        <v>1909</v>
      </c>
      <c r="HW40" t="s">
        <v>1909</v>
      </c>
      <c r="HX40" t="s">
        <v>1909</v>
      </c>
      <c r="HY40" t="s">
        <v>1909</v>
      </c>
      <c r="HZ40" t="s">
        <v>1901</v>
      </c>
      <c r="IA40" t="s">
        <v>1909</v>
      </c>
      <c r="IB40" t="s">
        <v>1909</v>
      </c>
      <c r="IC40" t="s">
        <v>1901</v>
      </c>
      <c r="ID40" t="s">
        <v>1909</v>
      </c>
      <c r="IE40" t="s">
        <v>1909</v>
      </c>
      <c r="IF40" t="s">
        <v>2069</v>
      </c>
      <c r="IG40" t="s">
        <v>2069</v>
      </c>
      <c r="IH40" t="s">
        <v>2069</v>
      </c>
      <c r="II40" t="s">
        <v>2069</v>
      </c>
      <c r="IJ40" t="s">
        <v>2069</v>
      </c>
      <c r="IK40" t="s">
        <v>1909</v>
      </c>
      <c r="IL40" t="s">
        <v>1901</v>
      </c>
      <c r="IM40" t="s">
        <v>1909</v>
      </c>
      <c r="IN40" t="s">
        <v>1909</v>
      </c>
      <c r="IO40" t="s">
        <v>2069</v>
      </c>
      <c r="IP40" t="s">
        <v>1909</v>
      </c>
      <c r="IQ40" t="s">
        <v>1909</v>
      </c>
      <c r="IR40" t="s">
        <v>1901</v>
      </c>
      <c r="IS40" t="s">
        <v>1909</v>
      </c>
      <c r="IT40" t="s">
        <v>1909</v>
      </c>
      <c r="IU40" t="s">
        <v>1909</v>
      </c>
      <c r="IV40" t="s">
        <v>1909</v>
      </c>
      <c r="IW40" t="s">
        <v>1909</v>
      </c>
      <c r="IX40" t="s">
        <v>1909</v>
      </c>
      <c r="IY40" t="s">
        <v>1909</v>
      </c>
      <c r="IZ40" t="s">
        <v>1909</v>
      </c>
      <c r="JA40" t="s">
        <v>1909</v>
      </c>
      <c r="JB40" t="s">
        <v>2069</v>
      </c>
      <c r="JC40" t="s">
        <v>1909</v>
      </c>
      <c r="JD40" t="s">
        <v>1909</v>
      </c>
      <c r="JE40" t="s">
        <v>1909</v>
      </c>
      <c r="JF40" t="s">
        <v>1909</v>
      </c>
      <c r="JG40" t="s">
        <v>1909</v>
      </c>
      <c r="JH40" t="s">
        <v>1909</v>
      </c>
      <c r="JI40" t="s">
        <v>1909</v>
      </c>
      <c r="JJ40" t="s">
        <v>1909</v>
      </c>
      <c r="JK40" t="s">
        <v>1901</v>
      </c>
      <c r="JL40" t="s">
        <v>2069</v>
      </c>
      <c r="JM40" t="s">
        <v>1909</v>
      </c>
      <c r="JN40" t="s">
        <v>1909</v>
      </c>
      <c r="JO40" t="s">
        <v>1901</v>
      </c>
      <c r="JP40" t="s">
        <v>1901</v>
      </c>
      <c r="JQ40" t="s">
        <v>1909</v>
      </c>
      <c r="JR40" t="s">
        <v>1909</v>
      </c>
      <c r="JS40" t="s">
        <v>1901</v>
      </c>
      <c r="JT40" t="s">
        <v>2069</v>
      </c>
      <c r="JU40" t="s">
        <v>1901</v>
      </c>
      <c r="JV40" t="s">
        <v>2069</v>
      </c>
      <c r="JW40" t="s">
        <v>1909</v>
      </c>
      <c r="JX40" t="s">
        <v>1909</v>
      </c>
      <c r="JY40" t="s">
        <v>1909</v>
      </c>
      <c r="JZ40" t="s">
        <v>2069</v>
      </c>
      <c r="KA40" t="s">
        <v>1909</v>
      </c>
      <c r="KB40" t="s">
        <v>1909</v>
      </c>
      <c r="KC40" t="s">
        <v>1909</v>
      </c>
      <c r="KD40" t="s">
        <v>1909</v>
      </c>
      <c r="KE40" t="s">
        <v>1909</v>
      </c>
      <c r="KF40" t="s">
        <v>1909</v>
      </c>
      <c r="KG40" t="s">
        <v>1909</v>
      </c>
      <c r="KH40" t="s">
        <v>1909</v>
      </c>
      <c r="KI40" t="s">
        <v>1909</v>
      </c>
      <c r="KJ40" t="s">
        <v>1901</v>
      </c>
      <c r="KK40" t="s">
        <v>1909</v>
      </c>
      <c r="KL40" t="s">
        <v>1909</v>
      </c>
      <c r="KM40" t="s">
        <v>1909</v>
      </c>
      <c r="KN40" t="s">
        <v>2069</v>
      </c>
      <c r="KO40" t="s">
        <v>1909</v>
      </c>
      <c r="KP40" t="s">
        <v>1901</v>
      </c>
      <c r="KQ40" t="s">
        <v>1901</v>
      </c>
      <c r="KR40" t="s">
        <v>1909</v>
      </c>
      <c r="KS40" t="s">
        <v>1909</v>
      </c>
      <c r="KT40" t="s">
        <v>1909</v>
      </c>
      <c r="KU40" t="s">
        <v>1909</v>
      </c>
      <c r="KV40" t="s">
        <v>1909</v>
      </c>
      <c r="KW40" t="s">
        <v>1909</v>
      </c>
      <c r="KX40" t="s">
        <v>1909</v>
      </c>
      <c r="KY40" t="s">
        <v>1909</v>
      </c>
      <c r="KZ40" t="s">
        <v>1909</v>
      </c>
      <c r="LA40" t="s">
        <v>1909</v>
      </c>
      <c r="LB40" t="s">
        <v>1909</v>
      </c>
      <c r="LC40" t="s">
        <v>1909</v>
      </c>
      <c r="LD40" t="s">
        <v>1909</v>
      </c>
      <c r="LE40" t="s">
        <v>1909</v>
      </c>
      <c r="LF40" t="s">
        <v>1909</v>
      </c>
      <c r="LG40" t="s">
        <v>2069</v>
      </c>
      <c r="LH40" t="s">
        <v>2069</v>
      </c>
      <c r="LI40" t="s">
        <v>2069</v>
      </c>
      <c r="LJ40" t="s">
        <v>1909</v>
      </c>
      <c r="LK40" t="s">
        <v>2069</v>
      </c>
      <c r="LL40" t="s">
        <v>2069</v>
      </c>
      <c r="LM40" t="s">
        <v>1909</v>
      </c>
      <c r="LN40" t="s">
        <v>1909</v>
      </c>
      <c r="LO40" t="s">
        <v>2069</v>
      </c>
      <c r="LP40" t="s">
        <v>2069</v>
      </c>
      <c r="LQ40" t="s">
        <v>2069</v>
      </c>
      <c r="LR40" t="s">
        <v>2069</v>
      </c>
      <c r="LS40" t="s">
        <v>1901</v>
      </c>
      <c r="LT40" t="s">
        <v>1901</v>
      </c>
      <c r="LU40" t="s">
        <v>1909</v>
      </c>
      <c r="LV40" t="s">
        <v>1909</v>
      </c>
      <c r="LW40" t="s">
        <v>2069</v>
      </c>
      <c r="LX40" t="s">
        <v>1909</v>
      </c>
      <c r="LY40" t="s">
        <v>1909</v>
      </c>
      <c r="LZ40" t="s">
        <v>1909</v>
      </c>
      <c r="MA40" t="s">
        <v>1909</v>
      </c>
      <c r="MB40" t="s">
        <v>1909</v>
      </c>
      <c r="MC40" t="s">
        <v>1909</v>
      </c>
      <c r="MD40" t="s">
        <v>2069</v>
      </c>
      <c r="ME40" t="s">
        <v>1909</v>
      </c>
      <c r="MF40" t="s">
        <v>1909</v>
      </c>
      <c r="MG40" t="s">
        <v>2069</v>
      </c>
      <c r="MH40" t="s">
        <v>2069</v>
      </c>
      <c r="MI40" t="s">
        <v>2069</v>
      </c>
      <c r="MJ40" t="s">
        <v>1909</v>
      </c>
      <c r="MK40" t="s">
        <v>1909</v>
      </c>
      <c r="ML40" t="s">
        <v>1909</v>
      </c>
      <c r="MM40" t="s">
        <v>1909</v>
      </c>
      <c r="MN40" t="s">
        <v>1909</v>
      </c>
      <c r="MO40" t="s">
        <v>1909</v>
      </c>
      <c r="MP40" t="s">
        <v>1909</v>
      </c>
      <c r="MQ40" t="s">
        <v>1909</v>
      </c>
      <c r="MR40" t="s">
        <v>1909</v>
      </c>
      <c r="MS40" t="s">
        <v>1909</v>
      </c>
      <c r="MT40" t="s">
        <v>1909</v>
      </c>
      <c r="MU40" t="s">
        <v>1909</v>
      </c>
      <c r="MV40" t="s">
        <v>1909</v>
      </c>
      <c r="MW40" t="s">
        <v>1909</v>
      </c>
      <c r="MX40" t="s">
        <v>2069</v>
      </c>
      <c r="MY40" t="s">
        <v>1909</v>
      </c>
      <c r="MZ40" t="s">
        <v>2069</v>
      </c>
      <c r="NA40" t="s">
        <v>1909</v>
      </c>
      <c r="NB40" t="s">
        <v>1909</v>
      </c>
      <c r="NC40" t="s">
        <v>1909</v>
      </c>
      <c r="ND40" t="s">
        <v>1909</v>
      </c>
      <c r="NG40" t="s">
        <v>1909</v>
      </c>
      <c r="NH40" t="s">
        <v>1909</v>
      </c>
      <c r="NI40" t="s">
        <v>1909</v>
      </c>
      <c r="NJ40" t="s">
        <v>1909</v>
      </c>
      <c r="NK40" t="s">
        <v>1909</v>
      </c>
      <c r="NL40" t="s">
        <v>1909</v>
      </c>
      <c r="NM40" t="s">
        <v>1909</v>
      </c>
      <c r="NN40" t="s">
        <v>2069</v>
      </c>
      <c r="NR40" t="s">
        <v>1496</v>
      </c>
      <c r="NS40" t="s">
        <v>2070</v>
      </c>
      <c r="NX40" t="s">
        <v>2071</v>
      </c>
      <c r="NY40" t="s">
        <v>1885</v>
      </c>
    </row>
    <row r="41" spans="1:389" ht="15" customHeight="1" x14ac:dyDescent="0.25">
      <c r="A41" t="s">
        <v>2072</v>
      </c>
      <c r="B41" t="s">
        <v>1841</v>
      </c>
      <c r="C41" t="s">
        <v>1850</v>
      </c>
      <c r="D41" t="s">
        <v>1497</v>
      </c>
      <c r="G41" t="s">
        <v>2072</v>
      </c>
      <c r="H41" t="s">
        <v>1916</v>
      </c>
      <c r="I41" t="s">
        <v>1916</v>
      </c>
      <c r="J41" t="s">
        <v>1916</v>
      </c>
      <c r="K41" t="s">
        <v>2072</v>
      </c>
      <c r="L41" t="s">
        <v>2072</v>
      </c>
      <c r="M41" t="s">
        <v>2072</v>
      </c>
      <c r="N41" t="s">
        <v>2072</v>
      </c>
      <c r="O41" t="s">
        <v>1916</v>
      </c>
      <c r="P41" t="s">
        <v>2072</v>
      </c>
      <c r="Q41" t="s">
        <v>1916</v>
      </c>
      <c r="R41" t="s">
        <v>2072</v>
      </c>
      <c r="S41" t="s">
        <v>2072</v>
      </c>
      <c r="T41" t="s">
        <v>1916</v>
      </c>
      <c r="U41" t="s">
        <v>1916</v>
      </c>
      <c r="V41" t="s">
        <v>1916</v>
      </c>
      <c r="W41" t="s">
        <v>1916</v>
      </c>
      <c r="X41" t="s">
        <v>1916</v>
      </c>
      <c r="Y41" t="s">
        <v>1916</v>
      </c>
      <c r="AA41" t="s">
        <v>1916</v>
      </c>
      <c r="AB41" t="s">
        <v>1916</v>
      </c>
      <c r="AC41" t="s">
        <v>1916</v>
      </c>
      <c r="AD41" t="s">
        <v>1916</v>
      </c>
      <c r="AE41" t="s">
        <v>1916</v>
      </c>
      <c r="AF41" t="s">
        <v>1916</v>
      </c>
      <c r="AG41" t="s">
        <v>1916</v>
      </c>
      <c r="AH41" t="s">
        <v>2072</v>
      </c>
      <c r="AI41" t="s">
        <v>1916</v>
      </c>
      <c r="AJ41" t="s">
        <v>1916</v>
      </c>
      <c r="AK41" t="s">
        <v>1916</v>
      </c>
      <c r="AL41" t="s">
        <v>1916</v>
      </c>
      <c r="AM41" t="s">
        <v>2072</v>
      </c>
      <c r="AN41" t="s">
        <v>1916</v>
      </c>
      <c r="AO41" t="s">
        <v>2072</v>
      </c>
      <c r="AP41" t="s">
        <v>2072</v>
      </c>
      <c r="AQ41" t="s">
        <v>2072</v>
      </c>
      <c r="AR41" t="s">
        <v>2072</v>
      </c>
      <c r="AS41" t="s">
        <v>1916</v>
      </c>
      <c r="AT41" t="s">
        <v>1916</v>
      </c>
      <c r="AU41" t="s">
        <v>1916</v>
      </c>
      <c r="AV41" t="s">
        <v>1916</v>
      </c>
      <c r="AW41" t="s">
        <v>1916</v>
      </c>
      <c r="AX41" t="s">
        <v>1916</v>
      </c>
      <c r="AY41" t="s">
        <v>1916</v>
      </c>
      <c r="AZ41" t="s">
        <v>1916</v>
      </c>
      <c r="BA41" t="s">
        <v>1916</v>
      </c>
      <c r="BB41" t="s">
        <v>1916</v>
      </c>
      <c r="BC41" t="s">
        <v>1916</v>
      </c>
      <c r="BD41" t="s">
        <v>1916</v>
      </c>
      <c r="BE41" t="s">
        <v>1916</v>
      </c>
      <c r="BF41" t="s">
        <v>1916</v>
      </c>
      <c r="BG41" t="s">
        <v>1916</v>
      </c>
      <c r="BH41" t="s">
        <v>1916</v>
      </c>
      <c r="BI41" t="s">
        <v>1916</v>
      </c>
      <c r="BJ41" t="s">
        <v>1916</v>
      </c>
      <c r="BK41" t="s">
        <v>1916</v>
      </c>
      <c r="BL41" t="s">
        <v>1916</v>
      </c>
      <c r="BM41" t="s">
        <v>1916</v>
      </c>
      <c r="BN41" t="s">
        <v>1916</v>
      </c>
      <c r="BO41" t="s">
        <v>1916</v>
      </c>
      <c r="BP41" t="s">
        <v>1916</v>
      </c>
      <c r="BQ41" t="s">
        <v>1916</v>
      </c>
      <c r="BR41" t="s">
        <v>1916</v>
      </c>
      <c r="BS41" t="s">
        <v>1916</v>
      </c>
      <c r="BT41" t="s">
        <v>1916</v>
      </c>
      <c r="BU41" t="s">
        <v>1916</v>
      </c>
      <c r="BV41" t="s">
        <v>1916</v>
      </c>
      <c r="BW41" t="s">
        <v>1916</v>
      </c>
      <c r="BX41" t="s">
        <v>1916</v>
      </c>
      <c r="BY41" t="s">
        <v>1916</v>
      </c>
      <c r="BZ41" t="s">
        <v>2072</v>
      </c>
      <c r="CA41" t="s">
        <v>2072</v>
      </c>
      <c r="CB41" t="s">
        <v>1916</v>
      </c>
      <c r="CC41" t="s">
        <v>1916</v>
      </c>
      <c r="CD41" t="s">
        <v>1916</v>
      </c>
      <c r="CE41" t="s">
        <v>2072</v>
      </c>
      <c r="CF41" t="s">
        <v>1916</v>
      </c>
      <c r="CG41" t="s">
        <v>1916</v>
      </c>
      <c r="CH41" t="s">
        <v>1916</v>
      </c>
      <c r="CI41" t="s">
        <v>1916</v>
      </c>
      <c r="CJ41" t="s">
        <v>1916</v>
      </c>
      <c r="CK41" t="s">
        <v>2072</v>
      </c>
      <c r="CL41" t="s">
        <v>2072</v>
      </c>
      <c r="CM41" t="s">
        <v>2072</v>
      </c>
      <c r="CN41" t="s">
        <v>2072</v>
      </c>
      <c r="CO41" t="s">
        <v>2072</v>
      </c>
      <c r="CP41" t="s">
        <v>2072</v>
      </c>
      <c r="CQ41" t="s">
        <v>2072</v>
      </c>
      <c r="CR41" t="s">
        <v>2072</v>
      </c>
      <c r="CS41" t="s">
        <v>1916</v>
      </c>
      <c r="CT41" t="s">
        <v>1916</v>
      </c>
      <c r="CU41" t="s">
        <v>2072</v>
      </c>
      <c r="CV41" t="s">
        <v>1916</v>
      </c>
      <c r="CW41" t="s">
        <v>1916</v>
      </c>
      <c r="CX41" t="s">
        <v>1916</v>
      </c>
      <c r="CY41" t="s">
        <v>1916</v>
      </c>
      <c r="CZ41" t="s">
        <v>2072</v>
      </c>
      <c r="DA41" t="s">
        <v>2072</v>
      </c>
      <c r="DB41" t="s">
        <v>2072</v>
      </c>
      <c r="DC41" t="s">
        <v>2072</v>
      </c>
      <c r="DD41" t="s">
        <v>1916</v>
      </c>
      <c r="DE41" t="s">
        <v>1916</v>
      </c>
      <c r="DF41" t="s">
        <v>1916</v>
      </c>
      <c r="DG41" t="s">
        <v>1916</v>
      </c>
      <c r="DH41" t="s">
        <v>1916</v>
      </c>
      <c r="DI41" t="s">
        <v>1916</v>
      </c>
      <c r="DJ41" t="s">
        <v>2072</v>
      </c>
      <c r="DK41" t="s">
        <v>2072</v>
      </c>
      <c r="DL41" t="s">
        <v>1916</v>
      </c>
      <c r="DM41" t="s">
        <v>1916</v>
      </c>
      <c r="DN41" t="s">
        <v>1916</v>
      </c>
      <c r="DO41" t="s">
        <v>2072</v>
      </c>
      <c r="DP41" t="s">
        <v>2072</v>
      </c>
      <c r="DQ41" t="s">
        <v>2072</v>
      </c>
      <c r="DR41" t="s">
        <v>2072</v>
      </c>
      <c r="DS41" t="s">
        <v>1916</v>
      </c>
      <c r="DT41" t="s">
        <v>2072</v>
      </c>
      <c r="DU41" t="s">
        <v>2072</v>
      </c>
      <c r="DV41" t="s">
        <v>2072</v>
      </c>
      <c r="DW41" t="s">
        <v>1916</v>
      </c>
      <c r="DX41" t="s">
        <v>1916</v>
      </c>
      <c r="DY41" t="s">
        <v>1916</v>
      </c>
      <c r="DZ41" t="s">
        <v>1916</v>
      </c>
      <c r="EA41" t="s">
        <v>2072</v>
      </c>
      <c r="EB41" t="s">
        <v>2072</v>
      </c>
      <c r="EC41" t="s">
        <v>2072</v>
      </c>
      <c r="ED41" t="s">
        <v>1916</v>
      </c>
      <c r="EE41" t="s">
        <v>1916</v>
      </c>
      <c r="EF41" t="s">
        <v>1916</v>
      </c>
      <c r="EG41" t="s">
        <v>2072</v>
      </c>
      <c r="EH41" t="s">
        <v>2072</v>
      </c>
      <c r="EI41" t="s">
        <v>2072</v>
      </c>
      <c r="EJ41" t="s">
        <v>2072</v>
      </c>
      <c r="EK41" t="s">
        <v>2072</v>
      </c>
      <c r="EL41" t="s">
        <v>2072</v>
      </c>
      <c r="EM41" t="s">
        <v>1916</v>
      </c>
      <c r="EN41" t="s">
        <v>1916</v>
      </c>
      <c r="EO41" t="s">
        <v>1916</v>
      </c>
      <c r="ET41" t="s">
        <v>1916</v>
      </c>
      <c r="EU41" t="s">
        <v>1916</v>
      </c>
      <c r="EV41" t="s">
        <v>1916</v>
      </c>
      <c r="EW41" t="s">
        <v>1916</v>
      </c>
      <c r="EX41" t="s">
        <v>1909</v>
      </c>
      <c r="EY41" t="s">
        <v>2072</v>
      </c>
      <c r="EZ41" t="s">
        <v>1916</v>
      </c>
      <c r="FA41" t="s">
        <v>2072</v>
      </c>
      <c r="FB41" t="s">
        <v>2072</v>
      </c>
      <c r="FC41" t="s">
        <v>2072</v>
      </c>
      <c r="FD41" t="s">
        <v>1916</v>
      </c>
      <c r="FE41" t="s">
        <v>1916</v>
      </c>
      <c r="FF41" t="s">
        <v>2072</v>
      </c>
      <c r="FG41" t="s">
        <v>2072</v>
      </c>
      <c r="FH41" t="s">
        <v>2072</v>
      </c>
      <c r="FI41" t="s">
        <v>2072</v>
      </c>
      <c r="FJ41" t="s">
        <v>1909</v>
      </c>
      <c r="FK41" t="s">
        <v>1916</v>
      </c>
      <c r="FL41" t="s">
        <v>1916</v>
      </c>
      <c r="FM41" t="s">
        <v>1916</v>
      </c>
      <c r="FN41" t="s">
        <v>1916</v>
      </c>
      <c r="FO41" t="s">
        <v>1916</v>
      </c>
      <c r="FP41" t="s">
        <v>1916</v>
      </c>
      <c r="FQ41" t="s">
        <v>1916</v>
      </c>
      <c r="FR41" t="s">
        <v>1916</v>
      </c>
      <c r="FS41" t="s">
        <v>1916</v>
      </c>
      <c r="FT41" t="s">
        <v>1916</v>
      </c>
      <c r="FU41" t="s">
        <v>1916</v>
      </c>
      <c r="FV41" t="s">
        <v>1916</v>
      </c>
      <c r="FW41" t="s">
        <v>1916</v>
      </c>
      <c r="FX41" t="s">
        <v>1916</v>
      </c>
      <c r="FY41" t="s">
        <v>2072</v>
      </c>
      <c r="FZ41" t="s">
        <v>2072</v>
      </c>
      <c r="GA41" t="s">
        <v>2072</v>
      </c>
      <c r="GB41" t="s">
        <v>1916</v>
      </c>
      <c r="GC41" t="s">
        <v>1916</v>
      </c>
      <c r="GD41" t="s">
        <v>1916</v>
      </c>
      <c r="GE41" t="s">
        <v>1916</v>
      </c>
      <c r="GF41" t="s">
        <v>1916</v>
      </c>
      <c r="GG41" t="s">
        <v>1916</v>
      </c>
      <c r="GH41" t="s">
        <v>1916</v>
      </c>
      <c r="GI41" t="s">
        <v>1916</v>
      </c>
      <c r="GJ41" t="s">
        <v>1916</v>
      </c>
      <c r="GK41" t="s">
        <v>1916</v>
      </c>
      <c r="GL41" t="s">
        <v>1916</v>
      </c>
      <c r="GM41" t="s">
        <v>1916</v>
      </c>
      <c r="GN41" t="s">
        <v>1916</v>
      </c>
      <c r="GO41" t="s">
        <v>1916</v>
      </c>
      <c r="GP41" t="s">
        <v>1916</v>
      </c>
      <c r="GQ41" t="s">
        <v>1916</v>
      </c>
      <c r="GR41" t="s">
        <v>1916</v>
      </c>
      <c r="GS41" t="s">
        <v>1916</v>
      </c>
      <c r="GT41" t="s">
        <v>1916</v>
      </c>
      <c r="GU41" t="s">
        <v>1916</v>
      </c>
      <c r="GV41" t="s">
        <v>1916</v>
      </c>
      <c r="GW41" t="s">
        <v>1916</v>
      </c>
      <c r="GX41" t="s">
        <v>1916</v>
      </c>
      <c r="GY41" t="s">
        <v>1916</v>
      </c>
      <c r="GZ41" t="s">
        <v>1916</v>
      </c>
      <c r="HA41" t="s">
        <v>1916</v>
      </c>
      <c r="HB41" t="s">
        <v>1916</v>
      </c>
      <c r="HC41" t="s">
        <v>1909</v>
      </c>
      <c r="HD41" t="s">
        <v>2072</v>
      </c>
      <c r="HE41" t="s">
        <v>1909</v>
      </c>
      <c r="HF41" t="s">
        <v>2072</v>
      </c>
      <c r="HG41" t="s">
        <v>1916</v>
      </c>
      <c r="HH41" t="s">
        <v>1909</v>
      </c>
      <c r="HI41" t="s">
        <v>1909</v>
      </c>
      <c r="HJ41" t="s">
        <v>1916</v>
      </c>
      <c r="HK41" t="s">
        <v>1916</v>
      </c>
      <c r="HL41" t="s">
        <v>1916</v>
      </c>
      <c r="HM41" t="s">
        <v>1909</v>
      </c>
      <c r="HN41" t="s">
        <v>1916</v>
      </c>
      <c r="HO41" t="s">
        <v>2072</v>
      </c>
      <c r="HP41" t="s">
        <v>1909</v>
      </c>
      <c r="HQ41" t="s">
        <v>2072</v>
      </c>
      <c r="HR41" t="s">
        <v>2072</v>
      </c>
      <c r="HS41" t="s">
        <v>2072</v>
      </c>
      <c r="HT41" t="s">
        <v>1916</v>
      </c>
      <c r="HU41" t="s">
        <v>1916</v>
      </c>
      <c r="HV41" t="s">
        <v>1916</v>
      </c>
      <c r="HW41" t="s">
        <v>1916</v>
      </c>
      <c r="HX41" t="s">
        <v>1916</v>
      </c>
      <c r="HY41" t="s">
        <v>1916</v>
      </c>
      <c r="HZ41" t="s">
        <v>1909</v>
      </c>
      <c r="IA41" t="s">
        <v>1916</v>
      </c>
      <c r="IB41" t="s">
        <v>1916</v>
      </c>
      <c r="IC41" t="s">
        <v>1909</v>
      </c>
      <c r="ID41" t="s">
        <v>1916</v>
      </c>
      <c r="IE41" t="s">
        <v>1916</v>
      </c>
      <c r="IF41" t="s">
        <v>2072</v>
      </c>
      <c r="IG41" t="s">
        <v>2072</v>
      </c>
      <c r="IH41" t="s">
        <v>2072</v>
      </c>
      <c r="II41" t="s">
        <v>2072</v>
      </c>
      <c r="IJ41" t="s">
        <v>2072</v>
      </c>
      <c r="IK41" t="s">
        <v>1916</v>
      </c>
      <c r="IL41" t="s">
        <v>1909</v>
      </c>
      <c r="IM41" t="s">
        <v>1916</v>
      </c>
      <c r="IN41" t="s">
        <v>1916</v>
      </c>
      <c r="IO41" t="s">
        <v>2072</v>
      </c>
      <c r="IP41" t="s">
        <v>1916</v>
      </c>
      <c r="IQ41" t="s">
        <v>1916</v>
      </c>
      <c r="IR41" t="s">
        <v>1909</v>
      </c>
      <c r="IS41" t="s">
        <v>1916</v>
      </c>
      <c r="IT41" t="s">
        <v>1916</v>
      </c>
      <c r="IU41" t="s">
        <v>1916</v>
      </c>
      <c r="IV41" t="s">
        <v>1916</v>
      </c>
      <c r="IW41" t="s">
        <v>1916</v>
      </c>
      <c r="IX41" t="s">
        <v>1916</v>
      </c>
      <c r="IY41" t="s">
        <v>1916</v>
      </c>
      <c r="IZ41" t="s">
        <v>1916</v>
      </c>
      <c r="JA41" t="s">
        <v>1916</v>
      </c>
      <c r="JB41" t="s">
        <v>2072</v>
      </c>
      <c r="JC41" t="s">
        <v>1916</v>
      </c>
      <c r="JD41" t="s">
        <v>1916</v>
      </c>
      <c r="JE41" t="s">
        <v>1916</v>
      </c>
      <c r="JF41" t="s">
        <v>1916</v>
      </c>
      <c r="JG41" t="s">
        <v>1916</v>
      </c>
      <c r="JH41" t="s">
        <v>1916</v>
      </c>
      <c r="JI41" t="s">
        <v>1916</v>
      </c>
      <c r="JJ41" t="s">
        <v>1916</v>
      </c>
      <c r="JK41" t="s">
        <v>1909</v>
      </c>
      <c r="JL41" t="s">
        <v>2072</v>
      </c>
      <c r="JM41" t="s">
        <v>1916</v>
      </c>
      <c r="JN41" t="s">
        <v>1916</v>
      </c>
      <c r="JO41" t="s">
        <v>1909</v>
      </c>
      <c r="JP41" t="s">
        <v>1909</v>
      </c>
      <c r="JQ41" t="s">
        <v>1916</v>
      </c>
      <c r="JR41" t="s">
        <v>1916</v>
      </c>
      <c r="JS41" t="s">
        <v>1909</v>
      </c>
      <c r="JT41" t="s">
        <v>2072</v>
      </c>
      <c r="JU41" t="s">
        <v>1909</v>
      </c>
      <c r="JV41" t="s">
        <v>2072</v>
      </c>
      <c r="JW41" t="s">
        <v>1916</v>
      </c>
      <c r="JX41" t="s">
        <v>1916</v>
      </c>
      <c r="JY41" t="s">
        <v>1916</v>
      </c>
      <c r="JZ41" t="s">
        <v>2072</v>
      </c>
      <c r="KA41" t="s">
        <v>1916</v>
      </c>
      <c r="KB41" t="s">
        <v>1916</v>
      </c>
      <c r="KC41" t="s">
        <v>1916</v>
      </c>
      <c r="KD41" t="s">
        <v>1916</v>
      </c>
      <c r="KE41" t="s">
        <v>1916</v>
      </c>
      <c r="KF41" t="s">
        <v>1916</v>
      </c>
      <c r="KG41" t="s">
        <v>1916</v>
      </c>
      <c r="KH41" t="s">
        <v>1916</v>
      </c>
      <c r="KI41" t="s">
        <v>1916</v>
      </c>
      <c r="KJ41" t="s">
        <v>1909</v>
      </c>
      <c r="KK41" t="s">
        <v>1916</v>
      </c>
      <c r="KL41" t="s">
        <v>1916</v>
      </c>
      <c r="KM41" t="s">
        <v>1916</v>
      </c>
      <c r="KN41" t="s">
        <v>2072</v>
      </c>
      <c r="KO41" t="s">
        <v>1916</v>
      </c>
      <c r="KP41" t="s">
        <v>1909</v>
      </c>
      <c r="KQ41" t="s">
        <v>1909</v>
      </c>
      <c r="KR41" t="s">
        <v>1916</v>
      </c>
      <c r="KS41" t="s">
        <v>1916</v>
      </c>
      <c r="KT41" t="s">
        <v>1916</v>
      </c>
      <c r="KU41" t="s">
        <v>1916</v>
      </c>
      <c r="KV41" t="s">
        <v>1916</v>
      </c>
      <c r="KW41" t="s">
        <v>1916</v>
      </c>
      <c r="KX41" t="s">
        <v>1916</v>
      </c>
      <c r="KY41" t="s">
        <v>1916</v>
      </c>
      <c r="KZ41" t="s">
        <v>1916</v>
      </c>
      <c r="LA41" t="s">
        <v>1916</v>
      </c>
      <c r="LB41" t="s">
        <v>1916</v>
      </c>
      <c r="LC41" t="s">
        <v>1916</v>
      </c>
      <c r="LD41" t="s">
        <v>1916</v>
      </c>
      <c r="LE41" t="s">
        <v>1916</v>
      </c>
      <c r="LF41" t="s">
        <v>1916</v>
      </c>
      <c r="LG41" t="s">
        <v>2072</v>
      </c>
      <c r="LH41" t="s">
        <v>2072</v>
      </c>
      <c r="LI41" t="s">
        <v>2072</v>
      </c>
      <c r="LJ41" t="s">
        <v>1916</v>
      </c>
      <c r="LK41" t="s">
        <v>2072</v>
      </c>
      <c r="LL41" t="s">
        <v>2072</v>
      </c>
      <c r="LM41" t="s">
        <v>1916</v>
      </c>
      <c r="LN41" t="s">
        <v>1916</v>
      </c>
      <c r="LO41" t="s">
        <v>2072</v>
      </c>
      <c r="LP41" t="s">
        <v>2072</v>
      </c>
      <c r="LQ41" t="s">
        <v>2072</v>
      </c>
      <c r="LR41" t="s">
        <v>2072</v>
      </c>
      <c r="LS41" t="s">
        <v>1909</v>
      </c>
      <c r="LT41" t="s">
        <v>1909</v>
      </c>
      <c r="LU41" t="s">
        <v>1916</v>
      </c>
      <c r="LV41" t="s">
        <v>1916</v>
      </c>
      <c r="LW41" t="s">
        <v>2072</v>
      </c>
      <c r="LX41" t="s">
        <v>1916</v>
      </c>
      <c r="LY41" t="s">
        <v>1916</v>
      </c>
      <c r="LZ41" t="s">
        <v>1916</v>
      </c>
      <c r="MA41" t="s">
        <v>1916</v>
      </c>
      <c r="MB41" t="s">
        <v>1916</v>
      </c>
      <c r="MC41" t="s">
        <v>1916</v>
      </c>
      <c r="MD41" t="s">
        <v>2072</v>
      </c>
      <c r="ME41" t="s">
        <v>1916</v>
      </c>
      <c r="MF41" t="s">
        <v>1916</v>
      </c>
      <c r="MG41" t="s">
        <v>2072</v>
      </c>
      <c r="MH41" t="s">
        <v>2072</v>
      </c>
      <c r="MI41" t="s">
        <v>2072</v>
      </c>
      <c r="MJ41" t="s">
        <v>1916</v>
      </c>
      <c r="MK41" t="s">
        <v>1916</v>
      </c>
      <c r="ML41" t="s">
        <v>1916</v>
      </c>
      <c r="MM41" t="s">
        <v>1916</v>
      </c>
      <c r="MN41" t="s">
        <v>1916</v>
      </c>
      <c r="MO41" t="s">
        <v>1916</v>
      </c>
      <c r="MP41" t="s">
        <v>1916</v>
      </c>
      <c r="MQ41" t="s">
        <v>1916</v>
      </c>
      <c r="MR41" t="s">
        <v>1916</v>
      </c>
      <c r="MS41" t="s">
        <v>1916</v>
      </c>
      <c r="MT41" t="s">
        <v>1916</v>
      </c>
      <c r="MU41" t="s">
        <v>1916</v>
      </c>
      <c r="MV41" t="s">
        <v>1916</v>
      </c>
      <c r="MW41" t="s">
        <v>1916</v>
      </c>
      <c r="MX41" t="s">
        <v>2072</v>
      </c>
      <c r="MY41" t="s">
        <v>1916</v>
      </c>
      <c r="MZ41" t="s">
        <v>2072</v>
      </c>
      <c r="NA41" t="s">
        <v>1916</v>
      </c>
      <c r="NB41" t="s">
        <v>1916</v>
      </c>
      <c r="NC41" t="s">
        <v>1916</v>
      </c>
      <c r="ND41" t="s">
        <v>1916</v>
      </c>
      <c r="NG41" t="s">
        <v>1916</v>
      </c>
      <c r="NH41" t="s">
        <v>1916</v>
      </c>
      <c r="NI41" t="s">
        <v>1916</v>
      </c>
      <c r="NJ41" t="s">
        <v>1916</v>
      </c>
      <c r="NK41" t="s">
        <v>1916</v>
      </c>
      <c r="NL41" t="s">
        <v>1916</v>
      </c>
      <c r="NM41" t="s">
        <v>1916</v>
      </c>
      <c r="NN41" t="s">
        <v>2072</v>
      </c>
      <c r="NR41" t="s">
        <v>1497</v>
      </c>
      <c r="NS41" t="s">
        <v>2073</v>
      </c>
      <c r="NX41" t="s">
        <v>2074</v>
      </c>
      <c r="NY41" t="s">
        <v>1885</v>
      </c>
    </row>
    <row r="42" spans="1:389" ht="15" customHeight="1" x14ac:dyDescent="0.25">
      <c r="A42" t="s">
        <v>1999</v>
      </c>
      <c r="B42" t="s">
        <v>1969</v>
      </c>
      <c r="C42" t="s">
        <v>1850</v>
      </c>
      <c r="D42" t="s">
        <v>1498</v>
      </c>
      <c r="G42" t="s">
        <v>1999</v>
      </c>
      <c r="H42" t="s">
        <v>1964</v>
      </c>
      <c r="I42" t="s">
        <v>1964</v>
      </c>
      <c r="J42" t="s">
        <v>1964</v>
      </c>
      <c r="K42" t="s">
        <v>1999</v>
      </c>
      <c r="L42" t="s">
        <v>1999</v>
      </c>
      <c r="M42" t="s">
        <v>1999</v>
      </c>
      <c r="N42" t="s">
        <v>1999</v>
      </c>
      <c r="O42" t="s">
        <v>1964</v>
      </c>
      <c r="P42" t="s">
        <v>1999</v>
      </c>
      <c r="Q42" t="s">
        <v>1964</v>
      </c>
      <c r="R42" t="s">
        <v>1999</v>
      </c>
      <c r="S42" t="s">
        <v>1999</v>
      </c>
      <c r="T42" t="s">
        <v>1964</v>
      </c>
      <c r="U42" t="s">
        <v>1964</v>
      </c>
      <c r="V42" t="s">
        <v>1964</v>
      </c>
      <c r="W42" t="s">
        <v>1964</v>
      </c>
      <c r="X42" t="s">
        <v>1964</v>
      </c>
      <c r="Y42" t="s">
        <v>1964</v>
      </c>
      <c r="AA42" t="s">
        <v>1964</v>
      </c>
      <c r="AB42" t="s">
        <v>1964</v>
      </c>
      <c r="AC42" t="s">
        <v>1964</v>
      </c>
      <c r="AD42" t="s">
        <v>1964</v>
      </c>
      <c r="AE42" t="s">
        <v>1964</v>
      </c>
      <c r="AF42" t="s">
        <v>1964</v>
      </c>
      <c r="AG42" t="s">
        <v>1964</v>
      </c>
      <c r="AH42" t="s">
        <v>1999</v>
      </c>
      <c r="AI42" t="s">
        <v>1964</v>
      </c>
      <c r="AJ42" t="s">
        <v>1964</v>
      </c>
      <c r="AK42" t="s">
        <v>1964</v>
      </c>
      <c r="AL42" t="s">
        <v>1964</v>
      </c>
      <c r="AM42" t="s">
        <v>1999</v>
      </c>
      <c r="AN42" t="s">
        <v>1964</v>
      </c>
      <c r="AO42" t="s">
        <v>1999</v>
      </c>
      <c r="AP42" t="s">
        <v>1999</v>
      </c>
      <c r="AQ42" t="s">
        <v>1999</v>
      </c>
      <c r="AR42" t="s">
        <v>1999</v>
      </c>
      <c r="AS42" t="s">
        <v>1964</v>
      </c>
      <c r="AT42" t="s">
        <v>1964</v>
      </c>
      <c r="AU42" t="s">
        <v>1964</v>
      </c>
      <c r="AV42" t="s">
        <v>1964</v>
      </c>
      <c r="AW42" t="s">
        <v>1964</v>
      </c>
      <c r="AX42" t="s">
        <v>1964</v>
      </c>
      <c r="AY42" t="s">
        <v>1964</v>
      </c>
      <c r="AZ42" t="s">
        <v>1964</v>
      </c>
      <c r="BA42" t="s">
        <v>1964</v>
      </c>
      <c r="BB42" t="s">
        <v>1964</v>
      </c>
      <c r="BC42" t="s">
        <v>1964</v>
      </c>
      <c r="BD42" t="s">
        <v>1964</v>
      </c>
      <c r="BE42" t="s">
        <v>1964</v>
      </c>
      <c r="BF42" t="s">
        <v>1964</v>
      </c>
      <c r="BG42" t="s">
        <v>1964</v>
      </c>
      <c r="BH42" t="s">
        <v>1964</v>
      </c>
      <c r="BI42" t="s">
        <v>1964</v>
      </c>
      <c r="BJ42" t="s">
        <v>1964</v>
      </c>
      <c r="BK42" t="s">
        <v>1964</v>
      </c>
      <c r="BL42" t="s">
        <v>1964</v>
      </c>
      <c r="BM42" t="s">
        <v>1964</v>
      </c>
      <c r="BN42" t="s">
        <v>1964</v>
      </c>
      <c r="BO42" t="s">
        <v>1964</v>
      </c>
      <c r="BP42" t="s">
        <v>1964</v>
      </c>
      <c r="BQ42" t="s">
        <v>1964</v>
      </c>
      <c r="BR42" t="s">
        <v>1964</v>
      </c>
      <c r="BS42" t="s">
        <v>1964</v>
      </c>
      <c r="BT42" t="s">
        <v>1964</v>
      </c>
      <c r="BU42" t="s">
        <v>1964</v>
      </c>
      <c r="BV42" t="s">
        <v>1964</v>
      </c>
      <c r="BW42" t="s">
        <v>1964</v>
      </c>
      <c r="BX42" t="s">
        <v>1964</v>
      </c>
      <c r="BY42" t="s">
        <v>1964</v>
      </c>
      <c r="BZ42" t="s">
        <v>1999</v>
      </c>
      <c r="CA42" t="s">
        <v>1999</v>
      </c>
      <c r="CB42" t="s">
        <v>1964</v>
      </c>
      <c r="CC42" t="s">
        <v>1964</v>
      </c>
      <c r="CD42" t="s">
        <v>1964</v>
      </c>
      <c r="CE42" t="s">
        <v>1999</v>
      </c>
      <c r="CF42" t="s">
        <v>1964</v>
      </c>
      <c r="CG42" t="s">
        <v>1964</v>
      </c>
      <c r="CH42" t="s">
        <v>1964</v>
      </c>
      <c r="CI42" t="s">
        <v>1964</v>
      </c>
      <c r="CJ42" t="s">
        <v>1964</v>
      </c>
      <c r="CK42" t="s">
        <v>1999</v>
      </c>
      <c r="CL42" t="s">
        <v>1999</v>
      </c>
      <c r="CM42" t="s">
        <v>1999</v>
      </c>
      <c r="CN42" t="s">
        <v>1999</v>
      </c>
      <c r="CO42" t="s">
        <v>1999</v>
      </c>
      <c r="CP42" t="s">
        <v>1999</v>
      </c>
      <c r="CQ42" t="s">
        <v>1999</v>
      </c>
      <c r="CR42" t="s">
        <v>1999</v>
      </c>
      <c r="CS42" t="s">
        <v>1964</v>
      </c>
      <c r="CT42" t="s">
        <v>1964</v>
      </c>
      <c r="CU42" t="s">
        <v>1999</v>
      </c>
      <c r="CV42" t="s">
        <v>1964</v>
      </c>
      <c r="CW42" t="s">
        <v>1964</v>
      </c>
      <c r="CX42" t="s">
        <v>1964</v>
      </c>
      <c r="CY42" t="s">
        <v>1964</v>
      </c>
      <c r="CZ42" t="s">
        <v>1999</v>
      </c>
      <c r="DA42" t="s">
        <v>1999</v>
      </c>
      <c r="DB42" t="s">
        <v>1999</v>
      </c>
      <c r="DC42" t="s">
        <v>1999</v>
      </c>
      <c r="DD42" t="s">
        <v>1964</v>
      </c>
      <c r="DE42" t="s">
        <v>1964</v>
      </c>
      <c r="DF42" t="s">
        <v>1964</v>
      </c>
      <c r="DG42" t="s">
        <v>1964</v>
      </c>
      <c r="DH42" t="s">
        <v>1964</v>
      </c>
      <c r="DI42" t="s">
        <v>1964</v>
      </c>
      <c r="DJ42" t="s">
        <v>1999</v>
      </c>
      <c r="DK42" t="s">
        <v>1999</v>
      </c>
      <c r="DL42" t="s">
        <v>1964</v>
      </c>
      <c r="DM42" t="s">
        <v>1964</v>
      </c>
      <c r="DN42" t="s">
        <v>1964</v>
      </c>
      <c r="DO42" t="s">
        <v>1999</v>
      </c>
      <c r="DP42" t="s">
        <v>1999</v>
      </c>
      <c r="DQ42" t="s">
        <v>1999</v>
      </c>
      <c r="DR42" t="s">
        <v>1999</v>
      </c>
      <c r="DS42" t="s">
        <v>1964</v>
      </c>
      <c r="DT42" t="s">
        <v>1999</v>
      </c>
      <c r="DU42" t="s">
        <v>1999</v>
      </c>
      <c r="DV42" t="s">
        <v>1999</v>
      </c>
      <c r="DW42" t="s">
        <v>1964</v>
      </c>
      <c r="DX42" t="s">
        <v>1964</v>
      </c>
      <c r="DY42" t="s">
        <v>1964</v>
      </c>
      <c r="DZ42" t="s">
        <v>1964</v>
      </c>
      <c r="EA42" t="s">
        <v>1999</v>
      </c>
      <c r="EB42" t="s">
        <v>1999</v>
      </c>
      <c r="EC42" t="s">
        <v>1999</v>
      </c>
      <c r="ED42" t="s">
        <v>1964</v>
      </c>
      <c r="EE42" t="s">
        <v>1964</v>
      </c>
      <c r="EF42" t="s">
        <v>1964</v>
      </c>
      <c r="EG42" t="s">
        <v>1999</v>
      </c>
      <c r="EH42" t="s">
        <v>1999</v>
      </c>
      <c r="EI42" t="s">
        <v>1999</v>
      </c>
      <c r="EJ42" t="s">
        <v>1999</v>
      </c>
      <c r="EK42" t="s">
        <v>1999</v>
      </c>
      <c r="EL42" t="s">
        <v>1999</v>
      </c>
      <c r="EM42" t="s">
        <v>1964</v>
      </c>
      <c r="EN42" t="s">
        <v>1964</v>
      </c>
      <c r="EO42" t="s">
        <v>1964</v>
      </c>
      <c r="ET42" t="s">
        <v>1964</v>
      </c>
      <c r="EU42" t="s">
        <v>1964</v>
      </c>
      <c r="EV42" t="s">
        <v>1964</v>
      </c>
      <c r="EW42" t="s">
        <v>1964</v>
      </c>
      <c r="EX42" t="s">
        <v>1916</v>
      </c>
      <c r="EY42" t="s">
        <v>1999</v>
      </c>
      <c r="EZ42" t="s">
        <v>1964</v>
      </c>
      <c r="FA42" t="s">
        <v>1999</v>
      </c>
      <c r="FB42" t="s">
        <v>1999</v>
      </c>
      <c r="FC42" t="s">
        <v>1999</v>
      </c>
      <c r="FD42" t="s">
        <v>1964</v>
      </c>
      <c r="FE42" t="s">
        <v>1964</v>
      </c>
      <c r="FF42" t="s">
        <v>1999</v>
      </c>
      <c r="FG42" t="s">
        <v>1999</v>
      </c>
      <c r="FH42" t="s">
        <v>1999</v>
      </c>
      <c r="FI42" t="s">
        <v>1999</v>
      </c>
      <c r="FJ42" t="s">
        <v>1916</v>
      </c>
      <c r="FK42" t="s">
        <v>1964</v>
      </c>
      <c r="FL42" t="s">
        <v>1964</v>
      </c>
      <c r="FM42" t="s">
        <v>1964</v>
      </c>
      <c r="FN42" t="s">
        <v>1964</v>
      </c>
      <c r="FO42" t="s">
        <v>1964</v>
      </c>
      <c r="FP42" t="s">
        <v>1964</v>
      </c>
      <c r="FQ42" t="s">
        <v>1964</v>
      </c>
      <c r="FR42" t="s">
        <v>1964</v>
      </c>
      <c r="FS42" t="s">
        <v>1964</v>
      </c>
      <c r="FT42" t="s">
        <v>1964</v>
      </c>
      <c r="FU42" t="s">
        <v>1964</v>
      </c>
      <c r="FV42" t="s">
        <v>1964</v>
      </c>
      <c r="FW42" t="s">
        <v>1964</v>
      </c>
      <c r="FX42" t="s">
        <v>1964</v>
      </c>
      <c r="FY42" t="s">
        <v>1999</v>
      </c>
      <c r="FZ42" t="s">
        <v>1999</v>
      </c>
      <c r="GA42" t="s">
        <v>1999</v>
      </c>
      <c r="GB42" t="s">
        <v>1964</v>
      </c>
      <c r="GC42" t="s">
        <v>1964</v>
      </c>
      <c r="GD42" t="s">
        <v>1964</v>
      </c>
      <c r="GE42" t="s">
        <v>1964</v>
      </c>
      <c r="GF42" t="s">
        <v>1964</v>
      </c>
      <c r="GG42" t="s">
        <v>1964</v>
      </c>
      <c r="GH42" t="s">
        <v>1964</v>
      </c>
      <c r="GI42" t="s">
        <v>1964</v>
      </c>
      <c r="GJ42" t="s">
        <v>1964</v>
      </c>
      <c r="GK42" t="s">
        <v>1964</v>
      </c>
      <c r="GL42" t="s">
        <v>1964</v>
      </c>
      <c r="GM42" t="s">
        <v>1964</v>
      </c>
      <c r="GN42" t="s">
        <v>1964</v>
      </c>
      <c r="GO42" t="s">
        <v>1964</v>
      </c>
      <c r="GP42" t="s">
        <v>1964</v>
      </c>
      <c r="GQ42" t="s">
        <v>1964</v>
      </c>
      <c r="GR42" t="s">
        <v>1964</v>
      </c>
      <c r="GS42" t="s">
        <v>1964</v>
      </c>
      <c r="GT42" t="s">
        <v>1964</v>
      </c>
      <c r="GU42" t="s">
        <v>1964</v>
      </c>
      <c r="GV42" t="s">
        <v>1964</v>
      </c>
      <c r="GW42" t="s">
        <v>1964</v>
      </c>
      <c r="GX42" t="s">
        <v>1964</v>
      </c>
      <c r="GY42" t="s">
        <v>1964</v>
      </c>
      <c r="GZ42" t="s">
        <v>1964</v>
      </c>
      <c r="HA42" t="s">
        <v>1964</v>
      </c>
      <c r="HB42" t="s">
        <v>1964</v>
      </c>
      <c r="HC42" t="s">
        <v>1916</v>
      </c>
      <c r="HD42" t="s">
        <v>1999</v>
      </c>
      <c r="HE42" t="s">
        <v>1916</v>
      </c>
      <c r="HF42" t="s">
        <v>1999</v>
      </c>
      <c r="HG42" t="s">
        <v>1964</v>
      </c>
      <c r="HH42" t="s">
        <v>1916</v>
      </c>
      <c r="HI42" t="s">
        <v>1916</v>
      </c>
      <c r="HJ42" t="s">
        <v>1964</v>
      </c>
      <c r="HK42" t="s">
        <v>1964</v>
      </c>
      <c r="HL42" t="s">
        <v>1964</v>
      </c>
      <c r="HM42" t="s">
        <v>1916</v>
      </c>
      <c r="HN42" t="s">
        <v>1964</v>
      </c>
      <c r="HO42" t="s">
        <v>1999</v>
      </c>
      <c r="HP42" t="s">
        <v>1916</v>
      </c>
      <c r="HQ42" t="s">
        <v>1999</v>
      </c>
      <c r="HR42" t="s">
        <v>1999</v>
      </c>
      <c r="HS42" t="s">
        <v>1999</v>
      </c>
      <c r="HT42" t="s">
        <v>1964</v>
      </c>
      <c r="HU42" t="s">
        <v>1964</v>
      </c>
      <c r="HV42" t="s">
        <v>1964</v>
      </c>
      <c r="HW42" t="s">
        <v>1964</v>
      </c>
      <c r="HX42" t="s">
        <v>1964</v>
      </c>
      <c r="HY42" t="s">
        <v>1964</v>
      </c>
      <c r="HZ42" t="s">
        <v>1916</v>
      </c>
      <c r="IA42" t="s">
        <v>1964</v>
      </c>
      <c r="IB42" t="s">
        <v>1964</v>
      </c>
      <c r="IC42" t="s">
        <v>1916</v>
      </c>
      <c r="ID42" t="s">
        <v>1964</v>
      </c>
      <c r="IE42" t="s">
        <v>1964</v>
      </c>
      <c r="IF42" t="s">
        <v>1999</v>
      </c>
      <c r="IG42" t="s">
        <v>1999</v>
      </c>
      <c r="IH42" t="s">
        <v>1999</v>
      </c>
      <c r="II42" t="s">
        <v>1999</v>
      </c>
      <c r="IJ42" t="s">
        <v>1999</v>
      </c>
      <c r="IK42" t="s">
        <v>1964</v>
      </c>
      <c r="IL42" t="s">
        <v>1916</v>
      </c>
      <c r="IM42" t="s">
        <v>1964</v>
      </c>
      <c r="IN42" t="s">
        <v>1964</v>
      </c>
      <c r="IO42" t="s">
        <v>1999</v>
      </c>
      <c r="IP42" t="s">
        <v>1964</v>
      </c>
      <c r="IQ42" t="s">
        <v>1964</v>
      </c>
      <c r="IR42" t="s">
        <v>1916</v>
      </c>
      <c r="IS42" t="s">
        <v>1964</v>
      </c>
      <c r="IT42" t="s">
        <v>1964</v>
      </c>
      <c r="IU42" t="s">
        <v>1964</v>
      </c>
      <c r="IV42" t="s">
        <v>1964</v>
      </c>
      <c r="IW42" t="s">
        <v>1964</v>
      </c>
      <c r="IX42" t="s">
        <v>1964</v>
      </c>
      <c r="IY42" t="s">
        <v>1964</v>
      </c>
      <c r="IZ42" t="s">
        <v>1964</v>
      </c>
      <c r="JA42" t="s">
        <v>1964</v>
      </c>
      <c r="JB42" t="s">
        <v>1999</v>
      </c>
      <c r="JC42" t="s">
        <v>1964</v>
      </c>
      <c r="JD42" t="s">
        <v>1964</v>
      </c>
      <c r="JE42" t="s">
        <v>1964</v>
      </c>
      <c r="JF42" t="s">
        <v>1964</v>
      </c>
      <c r="JG42" t="s">
        <v>1964</v>
      </c>
      <c r="JH42" t="s">
        <v>1964</v>
      </c>
      <c r="JI42" t="s">
        <v>1964</v>
      </c>
      <c r="JJ42" t="s">
        <v>1964</v>
      </c>
      <c r="JK42" t="s">
        <v>1916</v>
      </c>
      <c r="JL42" t="s">
        <v>1999</v>
      </c>
      <c r="JM42" t="s">
        <v>1964</v>
      </c>
      <c r="JN42" t="s">
        <v>1964</v>
      </c>
      <c r="JO42" t="s">
        <v>1916</v>
      </c>
      <c r="JP42" t="s">
        <v>1916</v>
      </c>
      <c r="JQ42" t="s">
        <v>1964</v>
      </c>
      <c r="JR42" t="s">
        <v>1964</v>
      </c>
      <c r="JS42" t="s">
        <v>1916</v>
      </c>
      <c r="JT42" t="s">
        <v>1999</v>
      </c>
      <c r="JU42" t="s">
        <v>1916</v>
      </c>
      <c r="JV42" t="s">
        <v>1999</v>
      </c>
      <c r="JW42" t="s">
        <v>1964</v>
      </c>
      <c r="JX42" t="s">
        <v>1964</v>
      </c>
      <c r="JY42" t="s">
        <v>1964</v>
      </c>
      <c r="JZ42" t="s">
        <v>1999</v>
      </c>
      <c r="KA42" t="s">
        <v>1964</v>
      </c>
      <c r="KB42" t="s">
        <v>1964</v>
      </c>
      <c r="KC42" t="s">
        <v>1964</v>
      </c>
      <c r="KD42" t="s">
        <v>1964</v>
      </c>
      <c r="KE42" t="s">
        <v>1964</v>
      </c>
      <c r="KF42" t="s">
        <v>1964</v>
      </c>
      <c r="KG42" t="s">
        <v>1964</v>
      </c>
      <c r="KH42" t="s">
        <v>1964</v>
      </c>
      <c r="KI42" t="s">
        <v>1964</v>
      </c>
      <c r="KJ42" t="s">
        <v>1916</v>
      </c>
      <c r="KK42" t="s">
        <v>1964</v>
      </c>
      <c r="KL42" t="s">
        <v>1964</v>
      </c>
      <c r="KM42" t="s">
        <v>1964</v>
      </c>
      <c r="KN42" t="s">
        <v>1999</v>
      </c>
      <c r="KO42" t="s">
        <v>1964</v>
      </c>
      <c r="KP42" t="s">
        <v>1916</v>
      </c>
      <c r="KQ42" t="s">
        <v>1916</v>
      </c>
      <c r="KR42" t="s">
        <v>1964</v>
      </c>
      <c r="KS42" t="s">
        <v>1964</v>
      </c>
      <c r="KT42" t="s">
        <v>1964</v>
      </c>
      <c r="KU42" t="s">
        <v>1964</v>
      </c>
      <c r="KV42" t="s">
        <v>1964</v>
      </c>
      <c r="KW42" t="s">
        <v>1964</v>
      </c>
      <c r="KX42" t="s">
        <v>1964</v>
      </c>
      <c r="KY42" t="s">
        <v>1964</v>
      </c>
      <c r="KZ42" t="s">
        <v>1964</v>
      </c>
      <c r="LA42" t="s">
        <v>1964</v>
      </c>
      <c r="LB42" t="s">
        <v>1964</v>
      </c>
      <c r="LC42" t="s">
        <v>1964</v>
      </c>
      <c r="LD42" t="s">
        <v>1964</v>
      </c>
      <c r="LE42" t="s">
        <v>1964</v>
      </c>
      <c r="LF42" t="s">
        <v>1964</v>
      </c>
      <c r="LG42" t="s">
        <v>1999</v>
      </c>
      <c r="LH42" t="s">
        <v>1999</v>
      </c>
      <c r="LI42" t="s">
        <v>1999</v>
      </c>
      <c r="LJ42" t="s">
        <v>1964</v>
      </c>
      <c r="LK42" t="s">
        <v>1999</v>
      </c>
      <c r="LL42" t="s">
        <v>1999</v>
      </c>
      <c r="LM42" t="s">
        <v>1964</v>
      </c>
      <c r="LN42" t="s">
        <v>1964</v>
      </c>
      <c r="LO42" t="s">
        <v>1999</v>
      </c>
      <c r="LP42" t="s">
        <v>1999</v>
      </c>
      <c r="LQ42" t="s">
        <v>1999</v>
      </c>
      <c r="LR42" t="s">
        <v>1999</v>
      </c>
      <c r="LS42" t="s">
        <v>1916</v>
      </c>
      <c r="LT42" t="s">
        <v>1916</v>
      </c>
      <c r="LU42" t="s">
        <v>1964</v>
      </c>
      <c r="LV42" t="s">
        <v>1964</v>
      </c>
      <c r="LW42" t="s">
        <v>1999</v>
      </c>
      <c r="LX42" t="s">
        <v>1964</v>
      </c>
      <c r="LY42" t="s">
        <v>1964</v>
      </c>
      <c r="LZ42" t="s">
        <v>1964</v>
      </c>
      <c r="MA42" t="s">
        <v>1964</v>
      </c>
      <c r="MB42" t="s">
        <v>1964</v>
      </c>
      <c r="MC42" t="s">
        <v>1964</v>
      </c>
      <c r="MD42" t="s">
        <v>1999</v>
      </c>
      <c r="ME42" t="s">
        <v>1964</v>
      </c>
      <c r="MF42" t="s">
        <v>1964</v>
      </c>
      <c r="MG42" t="s">
        <v>1999</v>
      </c>
      <c r="MH42" t="s">
        <v>1999</v>
      </c>
      <c r="MI42" t="s">
        <v>1999</v>
      </c>
      <c r="MJ42" t="s">
        <v>1964</v>
      </c>
      <c r="MK42" t="s">
        <v>1964</v>
      </c>
      <c r="ML42" t="s">
        <v>1964</v>
      </c>
      <c r="MM42" t="s">
        <v>1964</v>
      </c>
      <c r="MN42" t="s">
        <v>1964</v>
      </c>
      <c r="MO42" t="s">
        <v>1964</v>
      </c>
      <c r="MP42" t="s">
        <v>1964</v>
      </c>
      <c r="MQ42" t="s">
        <v>1964</v>
      </c>
      <c r="MR42" t="s">
        <v>1964</v>
      </c>
      <c r="MS42" t="s">
        <v>1964</v>
      </c>
      <c r="MT42" t="s">
        <v>1964</v>
      </c>
      <c r="MU42" t="s">
        <v>1964</v>
      </c>
      <c r="MV42" t="s">
        <v>1964</v>
      </c>
      <c r="MW42" t="s">
        <v>1964</v>
      </c>
      <c r="MX42" t="s">
        <v>1999</v>
      </c>
      <c r="MY42" t="s">
        <v>1964</v>
      </c>
      <c r="MZ42" t="s">
        <v>1999</v>
      </c>
      <c r="NA42" t="s">
        <v>1964</v>
      </c>
      <c r="NB42" t="s">
        <v>1964</v>
      </c>
      <c r="NC42" t="s">
        <v>1964</v>
      </c>
      <c r="ND42" t="s">
        <v>1964</v>
      </c>
      <c r="NG42" t="s">
        <v>1964</v>
      </c>
      <c r="NH42" t="s">
        <v>1964</v>
      </c>
      <c r="NI42" t="s">
        <v>1964</v>
      </c>
      <c r="NJ42" t="s">
        <v>1964</v>
      </c>
      <c r="NK42" t="s">
        <v>1964</v>
      </c>
      <c r="NL42" t="s">
        <v>1964</v>
      </c>
      <c r="NM42" t="s">
        <v>1964</v>
      </c>
      <c r="NN42" t="s">
        <v>1999</v>
      </c>
      <c r="NR42" t="s">
        <v>1498</v>
      </c>
      <c r="NS42" t="s">
        <v>2075</v>
      </c>
      <c r="NX42" t="s">
        <v>2076</v>
      </c>
      <c r="NY42" t="s">
        <v>1885</v>
      </c>
    </row>
    <row r="43" spans="1:389" ht="15" customHeight="1" x14ac:dyDescent="0.25">
      <c r="A43" t="s">
        <v>2004</v>
      </c>
      <c r="B43" t="s">
        <v>1978</v>
      </c>
      <c r="C43" t="s">
        <v>1850</v>
      </c>
      <c r="D43" t="s">
        <v>1499</v>
      </c>
      <c r="G43" t="s">
        <v>2004</v>
      </c>
      <c r="H43" t="s">
        <v>1911</v>
      </c>
      <c r="I43" t="s">
        <v>1911</v>
      </c>
      <c r="J43" t="s">
        <v>1911</v>
      </c>
      <c r="K43" t="s">
        <v>2004</v>
      </c>
      <c r="L43" t="s">
        <v>2004</v>
      </c>
      <c r="M43" t="s">
        <v>2004</v>
      </c>
      <c r="N43" t="s">
        <v>2004</v>
      </c>
      <c r="O43" t="s">
        <v>1911</v>
      </c>
      <c r="P43" t="s">
        <v>2004</v>
      </c>
      <c r="Q43" t="s">
        <v>1911</v>
      </c>
      <c r="R43" t="s">
        <v>2004</v>
      </c>
      <c r="S43" t="s">
        <v>2004</v>
      </c>
      <c r="T43" t="s">
        <v>1911</v>
      </c>
      <c r="U43" t="s">
        <v>1911</v>
      </c>
      <c r="V43" t="s">
        <v>1911</v>
      </c>
      <c r="W43" t="s">
        <v>1911</v>
      </c>
      <c r="X43" t="s">
        <v>1911</v>
      </c>
      <c r="Y43" t="s">
        <v>1911</v>
      </c>
      <c r="AA43" t="s">
        <v>1911</v>
      </c>
      <c r="AB43" t="s">
        <v>1911</v>
      </c>
      <c r="AC43" t="s">
        <v>1911</v>
      </c>
      <c r="AD43" t="s">
        <v>1911</v>
      </c>
      <c r="AE43" t="s">
        <v>1911</v>
      </c>
      <c r="AF43" t="s">
        <v>1911</v>
      </c>
      <c r="AG43" t="s">
        <v>1911</v>
      </c>
      <c r="AH43" t="s">
        <v>2004</v>
      </c>
      <c r="AI43" t="s">
        <v>1911</v>
      </c>
      <c r="AJ43" t="s">
        <v>1911</v>
      </c>
      <c r="AK43" t="s">
        <v>1911</v>
      </c>
      <c r="AL43" t="s">
        <v>1911</v>
      </c>
      <c r="AM43" t="s">
        <v>2004</v>
      </c>
      <c r="AN43" t="s">
        <v>1911</v>
      </c>
      <c r="AO43" t="s">
        <v>2004</v>
      </c>
      <c r="AP43" t="s">
        <v>2004</v>
      </c>
      <c r="AQ43" t="s">
        <v>2004</v>
      </c>
      <c r="AR43" t="s">
        <v>2004</v>
      </c>
      <c r="AS43" t="s">
        <v>1911</v>
      </c>
      <c r="AT43" t="s">
        <v>1911</v>
      </c>
      <c r="AU43" t="s">
        <v>1911</v>
      </c>
      <c r="AV43" t="s">
        <v>1911</v>
      </c>
      <c r="AW43" t="s">
        <v>1911</v>
      </c>
      <c r="AX43" t="s">
        <v>1911</v>
      </c>
      <c r="AY43" t="s">
        <v>1911</v>
      </c>
      <c r="AZ43" t="s">
        <v>1911</v>
      </c>
      <c r="BA43" t="s">
        <v>1911</v>
      </c>
      <c r="BB43" t="s">
        <v>1911</v>
      </c>
      <c r="BC43" t="s">
        <v>1911</v>
      </c>
      <c r="BD43" t="s">
        <v>1911</v>
      </c>
      <c r="BE43" t="s">
        <v>1911</v>
      </c>
      <c r="BF43" t="s">
        <v>1911</v>
      </c>
      <c r="BG43" t="s">
        <v>1911</v>
      </c>
      <c r="BH43" t="s">
        <v>1911</v>
      </c>
      <c r="BI43" t="s">
        <v>1911</v>
      </c>
      <c r="BJ43" t="s">
        <v>1911</v>
      </c>
      <c r="BK43" t="s">
        <v>1911</v>
      </c>
      <c r="BL43" t="s">
        <v>1911</v>
      </c>
      <c r="BM43" t="s">
        <v>1911</v>
      </c>
      <c r="BN43" t="s">
        <v>1911</v>
      </c>
      <c r="BO43" t="s">
        <v>1911</v>
      </c>
      <c r="BP43" t="s">
        <v>1911</v>
      </c>
      <c r="BQ43" t="s">
        <v>1911</v>
      </c>
      <c r="BR43" t="s">
        <v>1911</v>
      </c>
      <c r="BS43" t="s">
        <v>1911</v>
      </c>
      <c r="BT43" t="s">
        <v>1911</v>
      </c>
      <c r="BU43" t="s">
        <v>1911</v>
      </c>
      <c r="BV43" t="s">
        <v>1911</v>
      </c>
      <c r="BW43" t="s">
        <v>1911</v>
      </c>
      <c r="BX43" t="s">
        <v>1911</v>
      </c>
      <c r="BY43" t="s">
        <v>1911</v>
      </c>
      <c r="BZ43" t="s">
        <v>2004</v>
      </c>
      <c r="CA43" t="s">
        <v>2004</v>
      </c>
      <c r="CB43" t="s">
        <v>1911</v>
      </c>
      <c r="CC43" t="s">
        <v>1911</v>
      </c>
      <c r="CD43" t="s">
        <v>1911</v>
      </c>
      <c r="CE43" t="s">
        <v>2004</v>
      </c>
      <c r="CF43" t="s">
        <v>1911</v>
      </c>
      <c r="CG43" t="s">
        <v>1911</v>
      </c>
      <c r="CH43" t="s">
        <v>1911</v>
      </c>
      <c r="CI43" t="s">
        <v>1911</v>
      </c>
      <c r="CJ43" t="s">
        <v>1911</v>
      </c>
      <c r="CK43" t="s">
        <v>2004</v>
      </c>
      <c r="CL43" t="s">
        <v>2004</v>
      </c>
      <c r="CM43" t="s">
        <v>2004</v>
      </c>
      <c r="CN43" t="s">
        <v>2004</v>
      </c>
      <c r="CO43" t="s">
        <v>2004</v>
      </c>
      <c r="CP43" t="s">
        <v>2004</v>
      </c>
      <c r="CQ43" t="s">
        <v>2004</v>
      </c>
      <c r="CR43" t="s">
        <v>2004</v>
      </c>
      <c r="CS43" t="s">
        <v>1911</v>
      </c>
      <c r="CT43" t="s">
        <v>1911</v>
      </c>
      <c r="CU43" t="s">
        <v>2004</v>
      </c>
      <c r="CV43" t="s">
        <v>1911</v>
      </c>
      <c r="CW43" t="s">
        <v>1911</v>
      </c>
      <c r="CX43" t="s">
        <v>1911</v>
      </c>
      <c r="CY43" t="s">
        <v>1911</v>
      </c>
      <c r="CZ43" t="s">
        <v>2004</v>
      </c>
      <c r="DA43" t="s">
        <v>2004</v>
      </c>
      <c r="DB43" t="s">
        <v>2004</v>
      </c>
      <c r="DC43" t="s">
        <v>2004</v>
      </c>
      <c r="DD43" t="s">
        <v>1911</v>
      </c>
      <c r="DE43" t="s">
        <v>1911</v>
      </c>
      <c r="DF43" t="s">
        <v>1911</v>
      </c>
      <c r="DG43" t="s">
        <v>1911</v>
      </c>
      <c r="DH43" t="s">
        <v>1911</v>
      </c>
      <c r="DI43" t="s">
        <v>1911</v>
      </c>
      <c r="DJ43" t="s">
        <v>2004</v>
      </c>
      <c r="DK43" t="s">
        <v>2004</v>
      </c>
      <c r="DL43" t="s">
        <v>1911</v>
      </c>
      <c r="DM43" t="s">
        <v>1911</v>
      </c>
      <c r="DN43" t="s">
        <v>1911</v>
      </c>
      <c r="DO43" t="s">
        <v>2004</v>
      </c>
      <c r="DP43" t="s">
        <v>2004</v>
      </c>
      <c r="DQ43" t="s">
        <v>2004</v>
      </c>
      <c r="DR43" t="s">
        <v>2004</v>
      </c>
      <c r="DS43" t="s">
        <v>1911</v>
      </c>
      <c r="DT43" t="s">
        <v>2004</v>
      </c>
      <c r="DU43" t="s">
        <v>2004</v>
      </c>
      <c r="DV43" t="s">
        <v>2004</v>
      </c>
      <c r="DW43" t="s">
        <v>1911</v>
      </c>
      <c r="DX43" t="s">
        <v>1911</v>
      </c>
      <c r="DY43" t="s">
        <v>1911</v>
      </c>
      <c r="DZ43" t="s">
        <v>1911</v>
      </c>
      <c r="EA43" t="s">
        <v>2004</v>
      </c>
      <c r="EB43" t="s">
        <v>2004</v>
      </c>
      <c r="EC43" t="s">
        <v>2004</v>
      </c>
      <c r="ED43" t="s">
        <v>1911</v>
      </c>
      <c r="EE43" t="s">
        <v>1911</v>
      </c>
      <c r="EF43" t="s">
        <v>1911</v>
      </c>
      <c r="EG43" t="s">
        <v>2004</v>
      </c>
      <c r="EH43" t="s">
        <v>2004</v>
      </c>
      <c r="EI43" t="s">
        <v>2004</v>
      </c>
      <c r="EJ43" t="s">
        <v>2004</v>
      </c>
      <c r="EK43" t="s">
        <v>2004</v>
      </c>
      <c r="EL43" t="s">
        <v>2004</v>
      </c>
      <c r="EM43" t="s">
        <v>1911</v>
      </c>
      <c r="EN43" t="s">
        <v>1911</v>
      </c>
      <c r="EO43" t="s">
        <v>1911</v>
      </c>
      <c r="ET43" t="s">
        <v>1911</v>
      </c>
      <c r="EU43" t="s">
        <v>1911</v>
      </c>
      <c r="EV43" t="s">
        <v>1911</v>
      </c>
      <c r="EW43" t="s">
        <v>1911</v>
      </c>
      <c r="EX43" t="s">
        <v>1923</v>
      </c>
      <c r="EY43" t="s">
        <v>2004</v>
      </c>
      <c r="EZ43" t="s">
        <v>1911</v>
      </c>
      <c r="FA43" t="s">
        <v>2004</v>
      </c>
      <c r="FB43" t="s">
        <v>2004</v>
      </c>
      <c r="FC43" t="s">
        <v>2004</v>
      </c>
      <c r="FD43" t="s">
        <v>1911</v>
      </c>
      <c r="FE43" t="s">
        <v>1911</v>
      </c>
      <c r="FF43" t="s">
        <v>2004</v>
      </c>
      <c r="FG43" t="s">
        <v>2004</v>
      </c>
      <c r="FH43" t="s">
        <v>2004</v>
      </c>
      <c r="FI43" t="s">
        <v>2004</v>
      </c>
      <c r="FJ43" t="s">
        <v>1923</v>
      </c>
      <c r="FK43" t="s">
        <v>1911</v>
      </c>
      <c r="FL43" t="s">
        <v>1911</v>
      </c>
      <c r="FM43" t="s">
        <v>1911</v>
      </c>
      <c r="FN43" t="s">
        <v>1911</v>
      </c>
      <c r="FO43" t="s">
        <v>1911</v>
      </c>
      <c r="FP43" t="s">
        <v>1911</v>
      </c>
      <c r="FQ43" t="s">
        <v>1911</v>
      </c>
      <c r="FR43" t="s">
        <v>1911</v>
      </c>
      <c r="FS43" t="s">
        <v>1911</v>
      </c>
      <c r="FT43" t="s">
        <v>1911</v>
      </c>
      <c r="FU43" t="s">
        <v>1911</v>
      </c>
      <c r="FV43" t="s">
        <v>1911</v>
      </c>
      <c r="FW43" t="s">
        <v>1911</v>
      </c>
      <c r="FX43" t="s">
        <v>1911</v>
      </c>
      <c r="FY43" t="s">
        <v>2004</v>
      </c>
      <c r="FZ43" t="s">
        <v>2004</v>
      </c>
      <c r="GA43" t="s">
        <v>2004</v>
      </c>
      <c r="GB43" t="s">
        <v>1911</v>
      </c>
      <c r="GC43" t="s">
        <v>1911</v>
      </c>
      <c r="GD43" t="s">
        <v>1911</v>
      </c>
      <c r="GE43" t="s">
        <v>1911</v>
      </c>
      <c r="GF43" t="s">
        <v>1911</v>
      </c>
      <c r="GG43" t="s">
        <v>1911</v>
      </c>
      <c r="GH43" t="s">
        <v>1911</v>
      </c>
      <c r="GI43" t="s">
        <v>1911</v>
      </c>
      <c r="GJ43" t="s">
        <v>1911</v>
      </c>
      <c r="GK43" t="s">
        <v>1911</v>
      </c>
      <c r="GL43" t="s">
        <v>1911</v>
      </c>
      <c r="GM43" t="s">
        <v>1911</v>
      </c>
      <c r="GN43" t="s">
        <v>1911</v>
      </c>
      <c r="GO43" t="s">
        <v>1911</v>
      </c>
      <c r="GP43" t="s">
        <v>1911</v>
      </c>
      <c r="GQ43" t="s">
        <v>1911</v>
      </c>
      <c r="GR43" t="s">
        <v>1911</v>
      </c>
      <c r="GS43" t="s">
        <v>1911</v>
      </c>
      <c r="GT43" t="s">
        <v>1911</v>
      </c>
      <c r="GU43" t="s">
        <v>1911</v>
      </c>
      <c r="GV43" t="s">
        <v>1911</v>
      </c>
      <c r="GW43" t="s">
        <v>1911</v>
      </c>
      <c r="GX43" t="s">
        <v>1911</v>
      </c>
      <c r="GY43" t="s">
        <v>1911</v>
      </c>
      <c r="GZ43" t="s">
        <v>1911</v>
      </c>
      <c r="HA43" t="s">
        <v>1911</v>
      </c>
      <c r="HB43" t="s">
        <v>1911</v>
      </c>
      <c r="HC43" t="s">
        <v>1923</v>
      </c>
      <c r="HD43" t="s">
        <v>2004</v>
      </c>
      <c r="HE43" t="s">
        <v>1923</v>
      </c>
      <c r="HF43" t="s">
        <v>2004</v>
      </c>
      <c r="HG43" t="s">
        <v>1911</v>
      </c>
      <c r="HH43" t="s">
        <v>1923</v>
      </c>
      <c r="HI43" t="s">
        <v>1923</v>
      </c>
      <c r="HJ43" t="s">
        <v>1911</v>
      </c>
      <c r="HK43" t="s">
        <v>1911</v>
      </c>
      <c r="HL43" t="s">
        <v>1911</v>
      </c>
      <c r="HM43" t="s">
        <v>1923</v>
      </c>
      <c r="HN43" t="s">
        <v>1911</v>
      </c>
      <c r="HO43" t="s">
        <v>2004</v>
      </c>
      <c r="HP43" t="s">
        <v>1923</v>
      </c>
      <c r="HQ43" t="s">
        <v>2004</v>
      </c>
      <c r="HR43" t="s">
        <v>2004</v>
      </c>
      <c r="HS43" t="s">
        <v>2004</v>
      </c>
      <c r="HT43" t="s">
        <v>1911</v>
      </c>
      <c r="HU43" t="s">
        <v>1911</v>
      </c>
      <c r="HV43" t="s">
        <v>1911</v>
      </c>
      <c r="HW43" t="s">
        <v>1911</v>
      </c>
      <c r="HX43" t="s">
        <v>1911</v>
      </c>
      <c r="HY43" t="s">
        <v>1911</v>
      </c>
      <c r="HZ43" t="s">
        <v>1923</v>
      </c>
      <c r="IA43" t="s">
        <v>1911</v>
      </c>
      <c r="IB43" t="s">
        <v>1911</v>
      </c>
      <c r="IC43" t="s">
        <v>1923</v>
      </c>
      <c r="ID43" t="s">
        <v>1911</v>
      </c>
      <c r="IE43" t="s">
        <v>1911</v>
      </c>
      <c r="IF43" t="s">
        <v>2004</v>
      </c>
      <c r="IG43" t="s">
        <v>2004</v>
      </c>
      <c r="IH43" t="s">
        <v>2004</v>
      </c>
      <c r="II43" t="s">
        <v>2004</v>
      </c>
      <c r="IJ43" t="s">
        <v>2004</v>
      </c>
      <c r="IK43" t="s">
        <v>1911</v>
      </c>
      <c r="IL43" t="s">
        <v>1923</v>
      </c>
      <c r="IM43" t="s">
        <v>1911</v>
      </c>
      <c r="IN43" t="s">
        <v>1911</v>
      </c>
      <c r="IO43" t="s">
        <v>2004</v>
      </c>
      <c r="IP43" t="s">
        <v>1911</v>
      </c>
      <c r="IQ43" t="s">
        <v>1911</v>
      </c>
      <c r="IR43" t="s">
        <v>1923</v>
      </c>
      <c r="IS43" t="s">
        <v>1911</v>
      </c>
      <c r="IT43" t="s">
        <v>1911</v>
      </c>
      <c r="IU43" t="s">
        <v>1911</v>
      </c>
      <c r="IV43" t="s">
        <v>1911</v>
      </c>
      <c r="IW43" t="s">
        <v>1911</v>
      </c>
      <c r="IX43" t="s">
        <v>1911</v>
      </c>
      <c r="IY43" t="s">
        <v>1911</v>
      </c>
      <c r="IZ43" t="s">
        <v>1911</v>
      </c>
      <c r="JA43" t="s">
        <v>1911</v>
      </c>
      <c r="JB43" t="s">
        <v>2004</v>
      </c>
      <c r="JC43" t="s">
        <v>1911</v>
      </c>
      <c r="JD43" t="s">
        <v>1911</v>
      </c>
      <c r="JE43" t="s">
        <v>1911</v>
      </c>
      <c r="JF43" t="s">
        <v>1911</v>
      </c>
      <c r="JG43" t="s">
        <v>1911</v>
      </c>
      <c r="JH43" t="s">
        <v>1911</v>
      </c>
      <c r="JI43" t="s">
        <v>1911</v>
      </c>
      <c r="JJ43" t="s">
        <v>1911</v>
      </c>
      <c r="JK43" t="s">
        <v>1923</v>
      </c>
      <c r="JL43" t="s">
        <v>2004</v>
      </c>
      <c r="JM43" t="s">
        <v>1911</v>
      </c>
      <c r="JN43" t="s">
        <v>1911</v>
      </c>
      <c r="JO43" t="s">
        <v>1923</v>
      </c>
      <c r="JP43" t="s">
        <v>1923</v>
      </c>
      <c r="JQ43" t="s">
        <v>1911</v>
      </c>
      <c r="JR43" t="s">
        <v>1911</v>
      </c>
      <c r="JS43" t="s">
        <v>1923</v>
      </c>
      <c r="JT43" t="s">
        <v>2004</v>
      </c>
      <c r="JU43" t="s">
        <v>1923</v>
      </c>
      <c r="JV43" t="s">
        <v>2004</v>
      </c>
      <c r="JW43" t="s">
        <v>1911</v>
      </c>
      <c r="JX43" t="s">
        <v>1911</v>
      </c>
      <c r="JY43" t="s">
        <v>1911</v>
      </c>
      <c r="JZ43" t="s">
        <v>2004</v>
      </c>
      <c r="KA43" t="s">
        <v>1911</v>
      </c>
      <c r="KB43" t="s">
        <v>1911</v>
      </c>
      <c r="KC43" t="s">
        <v>1911</v>
      </c>
      <c r="KD43" t="s">
        <v>1911</v>
      </c>
      <c r="KE43" t="s">
        <v>1911</v>
      </c>
      <c r="KF43" t="s">
        <v>1911</v>
      </c>
      <c r="KG43" t="s">
        <v>1911</v>
      </c>
      <c r="KH43" t="s">
        <v>1911</v>
      </c>
      <c r="KI43" t="s">
        <v>1911</v>
      </c>
      <c r="KJ43" t="s">
        <v>1923</v>
      </c>
      <c r="KK43" t="s">
        <v>1911</v>
      </c>
      <c r="KL43" t="s">
        <v>1911</v>
      </c>
      <c r="KM43" t="s">
        <v>1911</v>
      </c>
      <c r="KN43" t="s">
        <v>2004</v>
      </c>
      <c r="KO43" t="s">
        <v>1911</v>
      </c>
      <c r="KP43" t="s">
        <v>1923</v>
      </c>
      <c r="KQ43" t="s">
        <v>1923</v>
      </c>
      <c r="KR43" t="s">
        <v>1911</v>
      </c>
      <c r="KS43" t="s">
        <v>1911</v>
      </c>
      <c r="KT43" t="s">
        <v>1911</v>
      </c>
      <c r="KU43" t="s">
        <v>1911</v>
      </c>
      <c r="KV43" t="s">
        <v>1911</v>
      </c>
      <c r="KW43" t="s">
        <v>1911</v>
      </c>
      <c r="KX43" t="s">
        <v>1911</v>
      </c>
      <c r="KY43" t="s">
        <v>1911</v>
      </c>
      <c r="KZ43" t="s">
        <v>1911</v>
      </c>
      <c r="LA43" t="s">
        <v>1911</v>
      </c>
      <c r="LB43" t="s">
        <v>1911</v>
      </c>
      <c r="LC43" t="s">
        <v>1911</v>
      </c>
      <c r="LD43" t="s">
        <v>1911</v>
      </c>
      <c r="LE43" t="s">
        <v>1911</v>
      </c>
      <c r="LF43" t="s">
        <v>1911</v>
      </c>
      <c r="LG43" t="s">
        <v>2004</v>
      </c>
      <c r="LH43" t="s">
        <v>2004</v>
      </c>
      <c r="LI43" t="s">
        <v>2004</v>
      </c>
      <c r="LJ43" t="s">
        <v>1911</v>
      </c>
      <c r="LK43" t="s">
        <v>2004</v>
      </c>
      <c r="LL43" t="s">
        <v>2004</v>
      </c>
      <c r="LM43" t="s">
        <v>1911</v>
      </c>
      <c r="LN43" t="s">
        <v>1911</v>
      </c>
      <c r="LO43" t="s">
        <v>2004</v>
      </c>
      <c r="LP43" t="s">
        <v>2004</v>
      </c>
      <c r="LQ43" t="s">
        <v>2004</v>
      </c>
      <c r="LR43" t="s">
        <v>2004</v>
      </c>
      <c r="LS43" t="s">
        <v>1923</v>
      </c>
      <c r="LT43" t="s">
        <v>1923</v>
      </c>
      <c r="LU43" t="s">
        <v>1911</v>
      </c>
      <c r="LV43" t="s">
        <v>1911</v>
      </c>
      <c r="LW43" t="s">
        <v>2004</v>
      </c>
      <c r="LX43" t="s">
        <v>1911</v>
      </c>
      <c r="LY43" t="s">
        <v>1911</v>
      </c>
      <c r="LZ43" t="s">
        <v>1911</v>
      </c>
      <c r="MA43" t="s">
        <v>1911</v>
      </c>
      <c r="MB43" t="s">
        <v>1911</v>
      </c>
      <c r="MC43" t="s">
        <v>1911</v>
      </c>
      <c r="MD43" t="s">
        <v>2004</v>
      </c>
      <c r="ME43" t="s">
        <v>1911</v>
      </c>
      <c r="MF43" t="s">
        <v>1911</v>
      </c>
      <c r="MG43" t="s">
        <v>2004</v>
      </c>
      <c r="MH43" t="s">
        <v>2004</v>
      </c>
      <c r="MI43" t="s">
        <v>2004</v>
      </c>
      <c r="MJ43" t="s">
        <v>1911</v>
      </c>
      <c r="MK43" t="s">
        <v>1911</v>
      </c>
      <c r="ML43" t="s">
        <v>1911</v>
      </c>
      <c r="MM43" t="s">
        <v>1911</v>
      </c>
      <c r="MN43" t="s">
        <v>1911</v>
      </c>
      <c r="MO43" t="s">
        <v>1911</v>
      </c>
      <c r="MP43" t="s">
        <v>1911</v>
      </c>
      <c r="MQ43" t="s">
        <v>1911</v>
      </c>
      <c r="MR43" t="s">
        <v>1911</v>
      </c>
      <c r="MS43" t="s">
        <v>1911</v>
      </c>
      <c r="MT43" t="s">
        <v>1911</v>
      </c>
      <c r="MU43" t="s">
        <v>1911</v>
      </c>
      <c r="MV43" t="s">
        <v>1911</v>
      </c>
      <c r="MW43" t="s">
        <v>1911</v>
      </c>
      <c r="MX43" t="s">
        <v>2004</v>
      </c>
      <c r="MY43" t="s">
        <v>1911</v>
      </c>
      <c r="MZ43" t="s">
        <v>2004</v>
      </c>
      <c r="NA43" t="s">
        <v>1911</v>
      </c>
      <c r="NB43" t="s">
        <v>1911</v>
      </c>
      <c r="NC43" t="s">
        <v>1911</v>
      </c>
      <c r="ND43" t="s">
        <v>1911</v>
      </c>
      <c r="NG43" t="s">
        <v>1911</v>
      </c>
      <c r="NH43" t="s">
        <v>1911</v>
      </c>
      <c r="NI43" t="s">
        <v>1911</v>
      </c>
      <c r="NJ43" t="s">
        <v>1911</v>
      </c>
      <c r="NK43" t="s">
        <v>1911</v>
      </c>
      <c r="NL43" t="s">
        <v>1911</v>
      </c>
      <c r="NM43" t="s">
        <v>1911</v>
      </c>
      <c r="NN43" t="s">
        <v>2004</v>
      </c>
      <c r="NR43" t="s">
        <v>1499</v>
      </c>
      <c r="NS43" t="s">
        <v>2077</v>
      </c>
      <c r="NX43" t="s">
        <v>2078</v>
      </c>
      <c r="NY43" t="s">
        <v>1885</v>
      </c>
    </row>
    <row r="44" spans="1:389" ht="15" customHeight="1" x14ac:dyDescent="0.25">
      <c r="A44" t="s">
        <v>2079</v>
      </c>
      <c r="B44" t="s">
        <v>2080</v>
      </c>
      <c r="C44" t="s">
        <v>1841</v>
      </c>
      <c r="D44" t="s">
        <v>1500</v>
      </c>
      <c r="G44" t="s">
        <v>2079</v>
      </c>
      <c r="H44" t="s">
        <v>1990</v>
      </c>
      <c r="I44" t="s">
        <v>1990</v>
      </c>
      <c r="J44" t="s">
        <v>1990</v>
      </c>
      <c r="K44" t="s">
        <v>2079</v>
      </c>
      <c r="L44" t="s">
        <v>2079</v>
      </c>
      <c r="M44" t="s">
        <v>2079</v>
      </c>
      <c r="N44" t="s">
        <v>2079</v>
      </c>
      <c r="O44" t="s">
        <v>1990</v>
      </c>
      <c r="P44" t="s">
        <v>2079</v>
      </c>
      <c r="Q44" t="s">
        <v>1990</v>
      </c>
      <c r="R44" t="s">
        <v>2079</v>
      </c>
      <c r="S44" t="s">
        <v>2079</v>
      </c>
      <c r="T44" t="s">
        <v>1990</v>
      </c>
      <c r="U44" t="s">
        <v>1990</v>
      </c>
      <c r="V44" t="s">
        <v>1990</v>
      </c>
      <c r="W44" t="s">
        <v>1990</v>
      </c>
      <c r="X44" t="s">
        <v>1990</v>
      </c>
      <c r="Y44" t="s">
        <v>1990</v>
      </c>
      <c r="AA44" t="s">
        <v>1990</v>
      </c>
      <c r="AB44" t="s">
        <v>1990</v>
      </c>
      <c r="AC44" t="s">
        <v>1990</v>
      </c>
      <c r="AD44" t="s">
        <v>1990</v>
      </c>
      <c r="AE44" t="s">
        <v>1990</v>
      </c>
      <c r="AF44" t="s">
        <v>1990</v>
      </c>
      <c r="AG44" t="s">
        <v>1990</v>
      </c>
      <c r="AH44" t="s">
        <v>2079</v>
      </c>
      <c r="AI44" t="s">
        <v>1990</v>
      </c>
      <c r="AJ44" t="s">
        <v>1990</v>
      </c>
      <c r="AK44" t="s">
        <v>1990</v>
      </c>
      <c r="AL44" t="s">
        <v>1990</v>
      </c>
      <c r="AM44" t="s">
        <v>2079</v>
      </c>
      <c r="AN44" t="s">
        <v>1990</v>
      </c>
      <c r="AO44" t="s">
        <v>2079</v>
      </c>
      <c r="AP44" t="s">
        <v>2079</v>
      </c>
      <c r="AQ44" t="s">
        <v>2079</v>
      </c>
      <c r="AR44" t="s">
        <v>2079</v>
      </c>
      <c r="AS44" t="s">
        <v>1990</v>
      </c>
      <c r="AT44" t="s">
        <v>1990</v>
      </c>
      <c r="AU44" t="s">
        <v>1990</v>
      </c>
      <c r="AV44" t="s">
        <v>1990</v>
      </c>
      <c r="AW44" t="s">
        <v>1990</v>
      </c>
      <c r="AX44" t="s">
        <v>1990</v>
      </c>
      <c r="AY44" t="s">
        <v>1990</v>
      </c>
      <c r="AZ44" t="s">
        <v>1990</v>
      </c>
      <c r="BA44" t="s">
        <v>1990</v>
      </c>
      <c r="BB44" t="s">
        <v>1990</v>
      </c>
      <c r="BC44" t="s">
        <v>1990</v>
      </c>
      <c r="BD44" t="s">
        <v>1990</v>
      </c>
      <c r="BE44" t="s">
        <v>1990</v>
      </c>
      <c r="BF44" t="s">
        <v>1990</v>
      </c>
      <c r="BG44" t="s">
        <v>1990</v>
      </c>
      <c r="BH44" t="s">
        <v>1990</v>
      </c>
      <c r="BI44" t="s">
        <v>1990</v>
      </c>
      <c r="BJ44" t="s">
        <v>1990</v>
      </c>
      <c r="BK44" t="s">
        <v>1990</v>
      </c>
      <c r="BL44" t="s">
        <v>1990</v>
      </c>
      <c r="BM44" t="s">
        <v>1990</v>
      </c>
      <c r="BN44" t="s">
        <v>1990</v>
      </c>
      <c r="BO44" t="s">
        <v>1990</v>
      </c>
      <c r="BP44" t="s">
        <v>1990</v>
      </c>
      <c r="BQ44" t="s">
        <v>1990</v>
      </c>
      <c r="BR44" t="s">
        <v>1990</v>
      </c>
      <c r="BS44" t="s">
        <v>1990</v>
      </c>
      <c r="BT44" t="s">
        <v>1990</v>
      </c>
      <c r="BU44" t="s">
        <v>1990</v>
      </c>
      <c r="BV44" t="s">
        <v>1990</v>
      </c>
      <c r="BW44" t="s">
        <v>1990</v>
      </c>
      <c r="BX44" t="s">
        <v>1990</v>
      </c>
      <c r="BY44" t="s">
        <v>1990</v>
      </c>
      <c r="BZ44" t="s">
        <v>2079</v>
      </c>
      <c r="CA44" t="s">
        <v>2079</v>
      </c>
      <c r="CB44" t="s">
        <v>1990</v>
      </c>
      <c r="CC44" t="s">
        <v>1990</v>
      </c>
      <c r="CD44" t="s">
        <v>1990</v>
      </c>
      <c r="CE44" t="s">
        <v>2079</v>
      </c>
      <c r="CF44" t="s">
        <v>1990</v>
      </c>
      <c r="CG44" t="s">
        <v>1990</v>
      </c>
      <c r="CH44" t="s">
        <v>1990</v>
      </c>
      <c r="CI44" t="s">
        <v>1990</v>
      </c>
      <c r="CJ44" t="s">
        <v>1990</v>
      </c>
      <c r="CK44" t="s">
        <v>2079</v>
      </c>
      <c r="CL44" t="s">
        <v>2079</v>
      </c>
      <c r="CM44" t="s">
        <v>2079</v>
      </c>
      <c r="CN44" t="s">
        <v>2079</v>
      </c>
      <c r="CO44" t="s">
        <v>2079</v>
      </c>
      <c r="CP44" t="s">
        <v>2079</v>
      </c>
      <c r="CQ44" t="s">
        <v>2079</v>
      </c>
      <c r="CR44" t="s">
        <v>2079</v>
      </c>
      <c r="CS44" t="s">
        <v>1990</v>
      </c>
      <c r="CT44" t="s">
        <v>1990</v>
      </c>
      <c r="CU44" t="s">
        <v>2079</v>
      </c>
      <c r="CV44" t="s">
        <v>1990</v>
      </c>
      <c r="CW44" t="s">
        <v>1990</v>
      </c>
      <c r="CX44" t="s">
        <v>1990</v>
      </c>
      <c r="CY44" t="s">
        <v>1990</v>
      </c>
      <c r="CZ44" t="s">
        <v>2079</v>
      </c>
      <c r="DA44" t="s">
        <v>2079</v>
      </c>
      <c r="DB44" t="s">
        <v>2079</v>
      </c>
      <c r="DC44" t="s">
        <v>2079</v>
      </c>
      <c r="DD44" t="s">
        <v>1990</v>
      </c>
      <c r="DE44" t="s">
        <v>1990</v>
      </c>
      <c r="DF44" t="s">
        <v>1990</v>
      </c>
      <c r="DG44" t="s">
        <v>1990</v>
      </c>
      <c r="DH44" t="s">
        <v>1990</v>
      </c>
      <c r="DI44" t="s">
        <v>1990</v>
      </c>
      <c r="DJ44" t="s">
        <v>2079</v>
      </c>
      <c r="DK44" t="s">
        <v>2079</v>
      </c>
      <c r="DL44" t="s">
        <v>1990</v>
      </c>
      <c r="DM44" t="s">
        <v>1990</v>
      </c>
      <c r="DN44" t="s">
        <v>1990</v>
      </c>
      <c r="DO44" t="s">
        <v>2079</v>
      </c>
      <c r="DP44" t="s">
        <v>2079</v>
      </c>
      <c r="DQ44" t="s">
        <v>2079</v>
      </c>
      <c r="DR44" t="s">
        <v>2079</v>
      </c>
      <c r="DS44" t="s">
        <v>1990</v>
      </c>
      <c r="DT44" t="s">
        <v>2079</v>
      </c>
      <c r="DU44" t="s">
        <v>2079</v>
      </c>
      <c r="DV44" t="s">
        <v>2079</v>
      </c>
      <c r="DW44" t="s">
        <v>1990</v>
      </c>
      <c r="DX44" t="s">
        <v>1990</v>
      </c>
      <c r="DY44" t="s">
        <v>1990</v>
      </c>
      <c r="DZ44" t="s">
        <v>1990</v>
      </c>
      <c r="EA44" t="s">
        <v>2079</v>
      </c>
      <c r="EB44" t="s">
        <v>2079</v>
      </c>
      <c r="EC44" t="s">
        <v>2079</v>
      </c>
      <c r="ED44" t="s">
        <v>1990</v>
      </c>
      <c r="EE44" t="s">
        <v>1990</v>
      </c>
      <c r="EF44" t="s">
        <v>1990</v>
      </c>
      <c r="EG44" t="s">
        <v>2079</v>
      </c>
      <c r="EH44" t="s">
        <v>2079</v>
      </c>
      <c r="EI44" t="s">
        <v>2079</v>
      </c>
      <c r="EJ44" t="s">
        <v>2079</v>
      </c>
      <c r="EK44" t="s">
        <v>2079</v>
      </c>
      <c r="EL44" t="s">
        <v>2079</v>
      </c>
      <c r="EM44" t="s">
        <v>1990</v>
      </c>
      <c r="EN44" t="s">
        <v>1990</v>
      </c>
      <c r="EO44" t="s">
        <v>1990</v>
      </c>
      <c r="ET44" t="s">
        <v>1990</v>
      </c>
      <c r="EU44" t="s">
        <v>1990</v>
      </c>
      <c r="EV44" t="s">
        <v>1990</v>
      </c>
      <c r="EW44" t="s">
        <v>1990</v>
      </c>
      <c r="EX44" t="s">
        <v>1964</v>
      </c>
      <c r="EY44" t="s">
        <v>2079</v>
      </c>
      <c r="EZ44" t="s">
        <v>1990</v>
      </c>
      <c r="FA44" t="s">
        <v>2079</v>
      </c>
      <c r="FB44" t="s">
        <v>2079</v>
      </c>
      <c r="FC44" t="s">
        <v>2079</v>
      </c>
      <c r="FD44" t="s">
        <v>1990</v>
      </c>
      <c r="FE44" t="s">
        <v>1990</v>
      </c>
      <c r="FF44" t="s">
        <v>2079</v>
      </c>
      <c r="FG44" t="s">
        <v>2079</v>
      </c>
      <c r="FH44" t="s">
        <v>2079</v>
      </c>
      <c r="FI44" t="s">
        <v>2079</v>
      </c>
      <c r="FJ44" t="s">
        <v>1964</v>
      </c>
      <c r="FK44" t="s">
        <v>1990</v>
      </c>
      <c r="FL44" t="s">
        <v>1990</v>
      </c>
      <c r="FM44" t="s">
        <v>1990</v>
      </c>
      <c r="FN44" t="s">
        <v>1990</v>
      </c>
      <c r="FO44" t="s">
        <v>1990</v>
      </c>
      <c r="FP44" t="s">
        <v>1990</v>
      </c>
      <c r="FQ44" t="s">
        <v>1990</v>
      </c>
      <c r="FR44" t="s">
        <v>1990</v>
      </c>
      <c r="FS44" t="s">
        <v>1990</v>
      </c>
      <c r="FT44" t="s">
        <v>1990</v>
      </c>
      <c r="FU44" t="s">
        <v>1990</v>
      </c>
      <c r="FV44" t="s">
        <v>1990</v>
      </c>
      <c r="FW44" t="s">
        <v>1990</v>
      </c>
      <c r="FX44" t="s">
        <v>1990</v>
      </c>
      <c r="FY44" t="s">
        <v>2079</v>
      </c>
      <c r="FZ44" t="s">
        <v>2079</v>
      </c>
      <c r="GA44" t="s">
        <v>2079</v>
      </c>
      <c r="GB44" t="s">
        <v>1990</v>
      </c>
      <c r="GC44" t="s">
        <v>1990</v>
      </c>
      <c r="GD44" t="s">
        <v>1990</v>
      </c>
      <c r="GE44" t="s">
        <v>1990</v>
      </c>
      <c r="GF44" t="s">
        <v>1990</v>
      </c>
      <c r="GG44" t="s">
        <v>1990</v>
      </c>
      <c r="GH44" t="s">
        <v>1990</v>
      </c>
      <c r="GI44" t="s">
        <v>1990</v>
      </c>
      <c r="GJ44" t="s">
        <v>1990</v>
      </c>
      <c r="GK44" t="s">
        <v>1990</v>
      </c>
      <c r="GL44" t="s">
        <v>1990</v>
      </c>
      <c r="GM44" t="s">
        <v>1990</v>
      </c>
      <c r="GN44" t="s">
        <v>1990</v>
      </c>
      <c r="GO44" t="s">
        <v>1990</v>
      </c>
      <c r="GP44" t="s">
        <v>1990</v>
      </c>
      <c r="GQ44" t="s">
        <v>1990</v>
      </c>
      <c r="GR44" t="s">
        <v>1990</v>
      </c>
      <c r="GS44" t="s">
        <v>1990</v>
      </c>
      <c r="GT44" t="s">
        <v>1990</v>
      </c>
      <c r="GU44" t="s">
        <v>1990</v>
      </c>
      <c r="GV44" t="s">
        <v>1990</v>
      </c>
      <c r="GW44" t="s">
        <v>1990</v>
      </c>
      <c r="GX44" t="s">
        <v>1990</v>
      </c>
      <c r="GY44" t="s">
        <v>1990</v>
      </c>
      <c r="GZ44" t="s">
        <v>1990</v>
      </c>
      <c r="HA44" t="s">
        <v>1990</v>
      </c>
      <c r="HB44" t="s">
        <v>1990</v>
      </c>
      <c r="HC44" t="s">
        <v>1964</v>
      </c>
      <c r="HD44" t="s">
        <v>2079</v>
      </c>
      <c r="HE44" t="s">
        <v>1964</v>
      </c>
      <c r="HF44" t="s">
        <v>2079</v>
      </c>
      <c r="HG44" t="s">
        <v>1990</v>
      </c>
      <c r="HH44" t="s">
        <v>1964</v>
      </c>
      <c r="HI44" t="s">
        <v>1964</v>
      </c>
      <c r="HJ44" t="s">
        <v>1990</v>
      </c>
      <c r="HK44" t="s">
        <v>1990</v>
      </c>
      <c r="HL44" t="s">
        <v>1990</v>
      </c>
      <c r="HM44" t="s">
        <v>1964</v>
      </c>
      <c r="HN44" t="s">
        <v>1990</v>
      </c>
      <c r="HO44" t="s">
        <v>2079</v>
      </c>
      <c r="HP44" t="s">
        <v>1964</v>
      </c>
      <c r="HQ44" t="s">
        <v>2079</v>
      </c>
      <c r="HR44" t="s">
        <v>2079</v>
      </c>
      <c r="HS44" t="s">
        <v>2079</v>
      </c>
      <c r="HT44" t="s">
        <v>1990</v>
      </c>
      <c r="HU44" t="s">
        <v>1990</v>
      </c>
      <c r="HV44" t="s">
        <v>1990</v>
      </c>
      <c r="HW44" t="s">
        <v>1990</v>
      </c>
      <c r="HX44" t="s">
        <v>1990</v>
      </c>
      <c r="HY44" t="s">
        <v>1990</v>
      </c>
      <c r="HZ44" t="s">
        <v>1964</v>
      </c>
      <c r="IA44" t="s">
        <v>1990</v>
      </c>
      <c r="IB44" t="s">
        <v>1990</v>
      </c>
      <c r="IC44" t="s">
        <v>1964</v>
      </c>
      <c r="ID44" t="s">
        <v>1990</v>
      </c>
      <c r="IE44" t="s">
        <v>1990</v>
      </c>
      <c r="IF44" t="s">
        <v>2079</v>
      </c>
      <c r="IG44" t="s">
        <v>2079</v>
      </c>
      <c r="IH44" t="s">
        <v>2079</v>
      </c>
      <c r="II44" t="s">
        <v>2079</v>
      </c>
      <c r="IJ44" t="s">
        <v>2079</v>
      </c>
      <c r="IK44" t="s">
        <v>1990</v>
      </c>
      <c r="IL44" t="s">
        <v>1964</v>
      </c>
      <c r="IM44" t="s">
        <v>1990</v>
      </c>
      <c r="IN44" t="s">
        <v>1990</v>
      </c>
      <c r="IO44" t="s">
        <v>2079</v>
      </c>
      <c r="IP44" t="s">
        <v>1990</v>
      </c>
      <c r="IQ44" t="s">
        <v>1990</v>
      </c>
      <c r="IR44" t="s">
        <v>1964</v>
      </c>
      <c r="IS44" t="s">
        <v>1990</v>
      </c>
      <c r="IT44" t="s">
        <v>1990</v>
      </c>
      <c r="IU44" t="s">
        <v>1990</v>
      </c>
      <c r="IV44" t="s">
        <v>1990</v>
      </c>
      <c r="IW44" t="s">
        <v>1990</v>
      </c>
      <c r="IX44" t="s">
        <v>1990</v>
      </c>
      <c r="IY44" t="s">
        <v>1990</v>
      </c>
      <c r="IZ44" t="s">
        <v>1990</v>
      </c>
      <c r="JA44" t="s">
        <v>1990</v>
      </c>
      <c r="JB44" t="s">
        <v>2079</v>
      </c>
      <c r="JC44" t="s">
        <v>1990</v>
      </c>
      <c r="JD44" t="s">
        <v>1990</v>
      </c>
      <c r="JE44" t="s">
        <v>1990</v>
      </c>
      <c r="JF44" t="s">
        <v>1990</v>
      </c>
      <c r="JG44" t="s">
        <v>1990</v>
      </c>
      <c r="JH44" t="s">
        <v>1990</v>
      </c>
      <c r="JI44" t="s">
        <v>1990</v>
      </c>
      <c r="JJ44" t="s">
        <v>1990</v>
      </c>
      <c r="JK44" t="s">
        <v>1964</v>
      </c>
      <c r="JL44" t="s">
        <v>2079</v>
      </c>
      <c r="JM44" t="s">
        <v>1990</v>
      </c>
      <c r="JN44" t="s">
        <v>1990</v>
      </c>
      <c r="JO44" t="s">
        <v>1964</v>
      </c>
      <c r="JP44" t="s">
        <v>1964</v>
      </c>
      <c r="JQ44" t="s">
        <v>1990</v>
      </c>
      <c r="JR44" t="s">
        <v>1990</v>
      </c>
      <c r="JS44" t="s">
        <v>1964</v>
      </c>
      <c r="JT44" t="s">
        <v>2079</v>
      </c>
      <c r="JU44" t="s">
        <v>1964</v>
      </c>
      <c r="JV44" t="s">
        <v>2079</v>
      </c>
      <c r="JW44" t="s">
        <v>1990</v>
      </c>
      <c r="JX44" t="s">
        <v>1990</v>
      </c>
      <c r="JY44" t="s">
        <v>1990</v>
      </c>
      <c r="JZ44" t="s">
        <v>2079</v>
      </c>
      <c r="KA44" t="s">
        <v>1990</v>
      </c>
      <c r="KB44" t="s">
        <v>1990</v>
      </c>
      <c r="KC44" t="s">
        <v>1990</v>
      </c>
      <c r="KD44" t="s">
        <v>1990</v>
      </c>
      <c r="KE44" t="s">
        <v>1990</v>
      </c>
      <c r="KF44" t="s">
        <v>1990</v>
      </c>
      <c r="KG44" t="s">
        <v>1990</v>
      </c>
      <c r="KH44" t="s">
        <v>1990</v>
      </c>
      <c r="KI44" t="s">
        <v>1990</v>
      </c>
      <c r="KJ44" t="s">
        <v>1964</v>
      </c>
      <c r="KK44" t="s">
        <v>1990</v>
      </c>
      <c r="KL44" t="s">
        <v>1990</v>
      </c>
      <c r="KM44" t="s">
        <v>1990</v>
      </c>
      <c r="KN44" t="s">
        <v>2079</v>
      </c>
      <c r="KO44" t="s">
        <v>1990</v>
      </c>
      <c r="KP44" t="s">
        <v>1964</v>
      </c>
      <c r="KQ44" t="s">
        <v>1964</v>
      </c>
      <c r="KR44" t="s">
        <v>1990</v>
      </c>
      <c r="KS44" t="s">
        <v>1990</v>
      </c>
      <c r="KT44" t="s">
        <v>1990</v>
      </c>
      <c r="KU44" t="s">
        <v>1990</v>
      </c>
      <c r="KV44" t="s">
        <v>1990</v>
      </c>
      <c r="KW44" t="s">
        <v>1990</v>
      </c>
      <c r="KX44" t="s">
        <v>1990</v>
      </c>
      <c r="KY44" t="s">
        <v>1990</v>
      </c>
      <c r="KZ44" t="s">
        <v>1990</v>
      </c>
      <c r="LA44" t="s">
        <v>1990</v>
      </c>
      <c r="LB44" t="s">
        <v>1990</v>
      </c>
      <c r="LC44" t="s">
        <v>1990</v>
      </c>
      <c r="LD44" t="s">
        <v>1990</v>
      </c>
      <c r="LE44" t="s">
        <v>1990</v>
      </c>
      <c r="LF44" t="s">
        <v>1990</v>
      </c>
      <c r="LG44" t="s">
        <v>2079</v>
      </c>
      <c r="LH44" t="s">
        <v>2079</v>
      </c>
      <c r="LI44" t="s">
        <v>2079</v>
      </c>
      <c r="LJ44" t="s">
        <v>1990</v>
      </c>
      <c r="LK44" t="s">
        <v>2079</v>
      </c>
      <c r="LL44" t="s">
        <v>2079</v>
      </c>
      <c r="LM44" t="s">
        <v>1990</v>
      </c>
      <c r="LN44" t="s">
        <v>1990</v>
      </c>
      <c r="LO44" t="s">
        <v>2079</v>
      </c>
      <c r="LP44" t="s">
        <v>2079</v>
      </c>
      <c r="LQ44" t="s">
        <v>2079</v>
      </c>
      <c r="LR44" t="s">
        <v>2079</v>
      </c>
      <c r="LS44" t="s">
        <v>1964</v>
      </c>
      <c r="LT44" t="s">
        <v>1964</v>
      </c>
      <c r="LU44" t="s">
        <v>1990</v>
      </c>
      <c r="LV44" t="s">
        <v>1990</v>
      </c>
      <c r="LW44" t="s">
        <v>2079</v>
      </c>
      <c r="LX44" t="s">
        <v>1990</v>
      </c>
      <c r="LY44" t="s">
        <v>1990</v>
      </c>
      <c r="LZ44" t="s">
        <v>1990</v>
      </c>
      <c r="MA44" t="s">
        <v>1990</v>
      </c>
      <c r="MB44" t="s">
        <v>1990</v>
      </c>
      <c r="MC44" t="s">
        <v>1990</v>
      </c>
      <c r="MD44" t="s">
        <v>2079</v>
      </c>
      <c r="ME44" t="s">
        <v>1990</v>
      </c>
      <c r="MF44" t="s">
        <v>1990</v>
      </c>
      <c r="MG44" t="s">
        <v>2079</v>
      </c>
      <c r="MH44" t="s">
        <v>2079</v>
      </c>
      <c r="MI44" t="s">
        <v>2079</v>
      </c>
      <c r="MJ44" t="s">
        <v>1990</v>
      </c>
      <c r="MK44" t="s">
        <v>1990</v>
      </c>
      <c r="ML44" t="s">
        <v>1990</v>
      </c>
      <c r="MM44" t="s">
        <v>1990</v>
      </c>
      <c r="MN44" t="s">
        <v>1990</v>
      </c>
      <c r="MO44" t="s">
        <v>1990</v>
      </c>
      <c r="MP44" t="s">
        <v>1990</v>
      </c>
      <c r="MQ44" t="s">
        <v>1990</v>
      </c>
      <c r="MR44" t="s">
        <v>1990</v>
      </c>
      <c r="MS44" t="s">
        <v>1990</v>
      </c>
      <c r="MT44" t="s">
        <v>1990</v>
      </c>
      <c r="MU44" t="s">
        <v>1990</v>
      </c>
      <c r="MV44" t="s">
        <v>1990</v>
      </c>
      <c r="MW44" t="s">
        <v>1990</v>
      </c>
      <c r="MX44" t="s">
        <v>2079</v>
      </c>
      <c r="MY44" t="s">
        <v>1990</v>
      </c>
      <c r="MZ44" t="s">
        <v>2079</v>
      </c>
      <c r="NA44" t="s">
        <v>1990</v>
      </c>
      <c r="NB44" t="s">
        <v>1990</v>
      </c>
      <c r="NC44" t="s">
        <v>1990</v>
      </c>
      <c r="ND44" t="s">
        <v>1990</v>
      </c>
      <c r="NG44" t="s">
        <v>1990</v>
      </c>
      <c r="NH44" t="s">
        <v>1990</v>
      </c>
      <c r="NI44" t="s">
        <v>1990</v>
      </c>
      <c r="NJ44" t="s">
        <v>1990</v>
      </c>
      <c r="NK44" t="s">
        <v>1990</v>
      </c>
      <c r="NL44" t="s">
        <v>1990</v>
      </c>
      <c r="NM44" t="s">
        <v>1990</v>
      </c>
      <c r="NN44" t="s">
        <v>2079</v>
      </c>
      <c r="NR44" t="s">
        <v>1500</v>
      </c>
      <c r="NS44" t="s">
        <v>2081</v>
      </c>
      <c r="NX44" t="s">
        <v>2082</v>
      </c>
      <c r="NY44" t="s">
        <v>1885</v>
      </c>
    </row>
    <row r="45" spans="1:389" ht="15" customHeight="1" x14ac:dyDescent="0.25">
      <c r="A45" t="s">
        <v>2011</v>
      </c>
      <c r="B45" t="s">
        <v>2083</v>
      </c>
      <c r="C45" t="s">
        <v>1850</v>
      </c>
      <c r="D45" t="s">
        <v>1501</v>
      </c>
      <c r="G45" t="s">
        <v>2011</v>
      </c>
      <c r="H45" t="s">
        <v>1888</v>
      </c>
      <c r="I45" t="s">
        <v>1888</v>
      </c>
      <c r="J45" t="s">
        <v>1888</v>
      </c>
      <c r="K45" t="s">
        <v>2011</v>
      </c>
      <c r="L45" t="s">
        <v>2011</v>
      </c>
      <c r="M45" t="s">
        <v>2011</v>
      </c>
      <c r="N45" t="s">
        <v>2011</v>
      </c>
      <c r="O45" t="s">
        <v>1888</v>
      </c>
      <c r="P45" t="s">
        <v>2011</v>
      </c>
      <c r="Q45" t="s">
        <v>1888</v>
      </c>
      <c r="R45" t="s">
        <v>2011</v>
      </c>
      <c r="S45" t="s">
        <v>2011</v>
      </c>
      <c r="T45" t="s">
        <v>1888</v>
      </c>
      <c r="U45" t="s">
        <v>1888</v>
      </c>
      <c r="V45" t="s">
        <v>1888</v>
      </c>
      <c r="W45" t="s">
        <v>1888</v>
      </c>
      <c r="X45" t="s">
        <v>1888</v>
      </c>
      <c r="Y45" t="s">
        <v>1888</v>
      </c>
      <c r="AA45" t="s">
        <v>1888</v>
      </c>
      <c r="AB45" t="s">
        <v>1888</v>
      </c>
      <c r="AC45" t="s">
        <v>1888</v>
      </c>
      <c r="AD45" t="s">
        <v>1888</v>
      </c>
      <c r="AE45" t="s">
        <v>1888</v>
      </c>
      <c r="AF45" t="s">
        <v>1888</v>
      </c>
      <c r="AG45" t="s">
        <v>1888</v>
      </c>
      <c r="AH45" t="s">
        <v>2011</v>
      </c>
      <c r="AI45" t="s">
        <v>1888</v>
      </c>
      <c r="AJ45" t="s">
        <v>1888</v>
      </c>
      <c r="AK45" t="s">
        <v>1888</v>
      </c>
      <c r="AL45" t="s">
        <v>1888</v>
      </c>
      <c r="AM45" t="s">
        <v>2011</v>
      </c>
      <c r="AN45" t="s">
        <v>1888</v>
      </c>
      <c r="AO45" t="s">
        <v>2011</v>
      </c>
      <c r="AP45" t="s">
        <v>2011</v>
      </c>
      <c r="AQ45" t="s">
        <v>2011</v>
      </c>
      <c r="AR45" t="s">
        <v>2011</v>
      </c>
      <c r="AS45" t="s">
        <v>1888</v>
      </c>
      <c r="AT45" t="s">
        <v>1888</v>
      </c>
      <c r="AU45" t="s">
        <v>1888</v>
      </c>
      <c r="AV45" t="s">
        <v>1888</v>
      </c>
      <c r="AW45" t="s">
        <v>1888</v>
      </c>
      <c r="AX45" t="s">
        <v>1888</v>
      </c>
      <c r="AY45" t="s">
        <v>1888</v>
      </c>
      <c r="AZ45" t="s">
        <v>1888</v>
      </c>
      <c r="BA45" t="s">
        <v>1888</v>
      </c>
      <c r="BB45" t="s">
        <v>1888</v>
      </c>
      <c r="BC45" t="s">
        <v>1888</v>
      </c>
      <c r="BD45" t="s">
        <v>1888</v>
      </c>
      <c r="BE45" t="s">
        <v>1888</v>
      </c>
      <c r="BF45" t="s">
        <v>1888</v>
      </c>
      <c r="BG45" t="s">
        <v>1888</v>
      </c>
      <c r="BH45" t="s">
        <v>1888</v>
      </c>
      <c r="BI45" t="s">
        <v>1888</v>
      </c>
      <c r="BJ45" t="s">
        <v>1888</v>
      </c>
      <c r="BK45" t="s">
        <v>1888</v>
      </c>
      <c r="BL45" t="s">
        <v>1888</v>
      </c>
      <c r="BM45" t="s">
        <v>1888</v>
      </c>
      <c r="BN45" t="s">
        <v>1888</v>
      </c>
      <c r="BO45" t="s">
        <v>1888</v>
      </c>
      <c r="BP45" t="s">
        <v>1888</v>
      </c>
      <c r="BQ45" t="s">
        <v>1888</v>
      </c>
      <c r="BR45" t="s">
        <v>1888</v>
      </c>
      <c r="BS45" t="s">
        <v>1888</v>
      </c>
      <c r="BT45" t="s">
        <v>1888</v>
      </c>
      <c r="BU45" t="s">
        <v>1888</v>
      </c>
      <c r="BV45" t="s">
        <v>1888</v>
      </c>
      <c r="BW45" t="s">
        <v>1888</v>
      </c>
      <c r="BX45" t="s">
        <v>1888</v>
      </c>
      <c r="BY45" t="s">
        <v>1888</v>
      </c>
      <c r="BZ45" t="s">
        <v>2011</v>
      </c>
      <c r="CA45" t="s">
        <v>2011</v>
      </c>
      <c r="CB45" t="s">
        <v>1888</v>
      </c>
      <c r="CC45" t="s">
        <v>1888</v>
      </c>
      <c r="CD45" t="s">
        <v>1888</v>
      </c>
      <c r="CE45" t="s">
        <v>2011</v>
      </c>
      <c r="CF45" t="s">
        <v>1888</v>
      </c>
      <c r="CG45" t="s">
        <v>1888</v>
      </c>
      <c r="CH45" t="s">
        <v>1888</v>
      </c>
      <c r="CI45" t="s">
        <v>1888</v>
      </c>
      <c r="CJ45" t="s">
        <v>1888</v>
      </c>
      <c r="CK45" t="s">
        <v>2011</v>
      </c>
      <c r="CL45" t="s">
        <v>2011</v>
      </c>
      <c r="CM45" t="s">
        <v>2011</v>
      </c>
      <c r="CN45" t="s">
        <v>2011</v>
      </c>
      <c r="CO45" t="s">
        <v>2011</v>
      </c>
      <c r="CP45" t="s">
        <v>2011</v>
      </c>
      <c r="CQ45" t="s">
        <v>2011</v>
      </c>
      <c r="CR45" t="s">
        <v>2011</v>
      </c>
      <c r="CS45" t="s">
        <v>1888</v>
      </c>
      <c r="CT45" t="s">
        <v>1888</v>
      </c>
      <c r="CU45" t="s">
        <v>2011</v>
      </c>
      <c r="CV45" t="s">
        <v>1888</v>
      </c>
      <c r="CW45" t="s">
        <v>1888</v>
      </c>
      <c r="CX45" t="s">
        <v>1888</v>
      </c>
      <c r="CY45" t="s">
        <v>1888</v>
      </c>
      <c r="CZ45" t="s">
        <v>2011</v>
      </c>
      <c r="DA45" t="s">
        <v>2011</v>
      </c>
      <c r="DB45" t="s">
        <v>2011</v>
      </c>
      <c r="DC45" t="s">
        <v>2011</v>
      </c>
      <c r="DD45" t="s">
        <v>1888</v>
      </c>
      <c r="DE45" t="s">
        <v>1888</v>
      </c>
      <c r="DF45" t="s">
        <v>1888</v>
      </c>
      <c r="DG45" t="s">
        <v>1888</v>
      </c>
      <c r="DH45" t="s">
        <v>1888</v>
      </c>
      <c r="DI45" t="s">
        <v>1888</v>
      </c>
      <c r="DJ45" t="s">
        <v>2011</v>
      </c>
      <c r="DK45" t="s">
        <v>2011</v>
      </c>
      <c r="DL45" t="s">
        <v>1888</v>
      </c>
      <c r="DM45" t="s">
        <v>1888</v>
      </c>
      <c r="DN45" t="s">
        <v>1888</v>
      </c>
      <c r="DO45" t="s">
        <v>2011</v>
      </c>
      <c r="DP45" t="s">
        <v>2011</v>
      </c>
      <c r="DQ45" t="s">
        <v>2011</v>
      </c>
      <c r="DR45" t="s">
        <v>2011</v>
      </c>
      <c r="DS45" t="s">
        <v>1888</v>
      </c>
      <c r="DT45" t="s">
        <v>2011</v>
      </c>
      <c r="DU45" t="s">
        <v>2011</v>
      </c>
      <c r="DV45" t="s">
        <v>2011</v>
      </c>
      <c r="DW45" t="s">
        <v>1888</v>
      </c>
      <c r="DX45" t="s">
        <v>1888</v>
      </c>
      <c r="DY45" t="s">
        <v>1888</v>
      </c>
      <c r="DZ45" t="s">
        <v>1888</v>
      </c>
      <c r="EA45" t="s">
        <v>2011</v>
      </c>
      <c r="EB45" t="s">
        <v>2011</v>
      </c>
      <c r="EC45" t="s">
        <v>2011</v>
      </c>
      <c r="ED45" t="s">
        <v>1888</v>
      </c>
      <c r="EE45" t="s">
        <v>1888</v>
      </c>
      <c r="EF45" t="s">
        <v>1888</v>
      </c>
      <c r="EG45" t="s">
        <v>2011</v>
      </c>
      <c r="EH45" t="s">
        <v>2011</v>
      </c>
      <c r="EI45" t="s">
        <v>2011</v>
      </c>
      <c r="EJ45" t="s">
        <v>2011</v>
      </c>
      <c r="EK45" t="s">
        <v>2011</v>
      </c>
      <c r="EL45" t="s">
        <v>2011</v>
      </c>
      <c r="EM45" t="s">
        <v>1888</v>
      </c>
      <c r="EN45" t="s">
        <v>1888</v>
      </c>
      <c r="EO45" t="s">
        <v>1888</v>
      </c>
      <c r="ET45" t="s">
        <v>1888</v>
      </c>
      <c r="EU45" t="s">
        <v>1888</v>
      </c>
      <c r="EV45" t="s">
        <v>1888</v>
      </c>
      <c r="EW45" t="s">
        <v>1888</v>
      </c>
      <c r="EX45" t="s">
        <v>1911</v>
      </c>
      <c r="EY45" t="s">
        <v>2011</v>
      </c>
      <c r="EZ45" t="s">
        <v>1888</v>
      </c>
      <c r="FA45" t="s">
        <v>2011</v>
      </c>
      <c r="FB45" t="s">
        <v>2011</v>
      </c>
      <c r="FC45" t="s">
        <v>2011</v>
      </c>
      <c r="FD45" t="s">
        <v>1888</v>
      </c>
      <c r="FE45" t="s">
        <v>1888</v>
      </c>
      <c r="FF45" t="s">
        <v>2011</v>
      </c>
      <c r="FG45" t="s">
        <v>2011</v>
      </c>
      <c r="FH45" t="s">
        <v>2011</v>
      </c>
      <c r="FI45" t="s">
        <v>2011</v>
      </c>
      <c r="FJ45" t="s">
        <v>1911</v>
      </c>
      <c r="FK45" t="s">
        <v>1888</v>
      </c>
      <c r="FL45" t="s">
        <v>1888</v>
      </c>
      <c r="FM45" t="s">
        <v>1888</v>
      </c>
      <c r="FN45" t="s">
        <v>1888</v>
      </c>
      <c r="FO45" t="s">
        <v>1888</v>
      </c>
      <c r="FP45" t="s">
        <v>1888</v>
      </c>
      <c r="FQ45" t="s">
        <v>1888</v>
      </c>
      <c r="FR45" t="s">
        <v>1888</v>
      </c>
      <c r="FS45" t="s">
        <v>1888</v>
      </c>
      <c r="FT45" t="s">
        <v>1888</v>
      </c>
      <c r="FU45" t="s">
        <v>1888</v>
      </c>
      <c r="FV45" t="s">
        <v>1888</v>
      </c>
      <c r="FW45" t="s">
        <v>1888</v>
      </c>
      <c r="FX45" t="s">
        <v>1888</v>
      </c>
      <c r="FY45" t="s">
        <v>2011</v>
      </c>
      <c r="FZ45" t="s">
        <v>2011</v>
      </c>
      <c r="GA45" t="s">
        <v>2011</v>
      </c>
      <c r="GB45" t="s">
        <v>1888</v>
      </c>
      <c r="GC45" t="s">
        <v>1888</v>
      </c>
      <c r="GD45" t="s">
        <v>1888</v>
      </c>
      <c r="GE45" t="s">
        <v>1888</v>
      </c>
      <c r="GF45" t="s">
        <v>1888</v>
      </c>
      <c r="GG45" t="s">
        <v>1888</v>
      </c>
      <c r="GH45" t="s">
        <v>1888</v>
      </c>
      <c r="GI45" t="s">
        <v>1888</v>
      </c>
      <c r="GJ45" t="s">
        <v>1888</v>
      </c>
      <c r="GK45" t="s">
        <v>1888</v>
      </c>
      <c r="GL45" t="s">
        <v>1888</v>
      </c>
      <c r="GM45" t="s">
        <v>1888</v>
      </c>
      <c r="GN45" t="s">
        <v>1888</v>
      </c>
      <c r="GO45" t="s">
        <v>1888</v>
      </c>
      <c r="GP45" t="s">
        <v>1888</v>
      </c>
      <c r="GQ45" t="s">
        <v>1888</v>
      </c>
      <c r="GR45" t="s">
        <v>1888</v>
      </c>
      <c r="GS45" t="s">
        <v>1888</v>
      </c>
      <c r="GT45" t="s">
        <v>1888</v>
      </c>
      <c r="GU45" t="s">
        <v>1888</v>
      </c>
      <c r="GV45" t="s">
        <v>1888</v>
      </c>
      <c r="GW45" t="s">
        <v>1888</v>
      </c>
      <c r="GX45" t="s">
        <v>1888</v>
      </c>
      <c r="GY45" t="s">
        <v>1888</v>
      </c>
      <c r="GZ45" t="s">
        <v>1888</v>
      </c>
      <c r="HA45" t="s">
        <v>1888</v>
      </c>
      <c r="HB45" t="s">
        <v>1888</v>
      </c>
      <c r="HC45" t="s">
        <v>1911</v>
      </c>
      <c r="HD45" t="s">
        <v>2011</v>
      </c>
      <c r="HE45" t="s">
        <v>1911</v>
      </c>
      <c r="HF45" t="s">
        <v>2011</v>
      </c>
      <c r="HG45" t="s">
        <v>1888</v>
      </c>
      <c r="HH45" t="s">
        <v>1911</v>
      </c>
      <c r="HI45" t="s">
        <v>1911</v>
      </c>
      <c r="HJ45" t="s">
        <v>1888</v>
      </c>
      <c r="HK45" t="s">
        <v>1888</v>
      </c>
      <c r="HL45" t="s">
        <v>1888</v>
      </c>
      <c r="HM45" t="s">
        <v>1911</v>
      </c>
      <c r="HN45" t="s">
        <v>1888</v>
      </c>
      <c r="HO45" t="s">
        <v>2011</v>
      </c>
      <c r="HP45" t="s">
        <v>1911</v>
      </c>
      <c r="HQ45" t="s">
        <v>2011</v>
      </c>
      <c r="HR45" t="s">
        <v>2011</v>
      </c>
      <c r="HS45" t="s">
        <v>2011</v>
      </c>
      <c r="HT45" t="s">
        <v>1888</v>
      </c>
      <c r="HU45" t="s">
        <v>1888</v>
      </c>
      <c r="HV45" t="s">
        <v>1888</v>
      </c>
      <c r="HW45" t="s">
        <v>1888</v>
      </c>
      <c r="HX45" t="s">
        <v>1888</v>
      </c>
      <c r="HY45" t="s">
        <v>1888</v>
      </c>
      <c r="HZ45" t="s">
        <v>1911</v>
      </c>
      <c r="IA45" t="s">
        <v>1888</v>
      </c>
      <c r="IB45" t="s">
        <v>1888</v>
      </c>
      <c r="IC45" t="s">
        <v>1911</v>
      </c>
      <c r="ID45" t="s">
        <v>1888</v>
      </c>
      <c r="IE45" t="s">
        <v>1888</v>
      </c>
      <c r="IF45" t="s">
        <v>2011</v>
      </c>
      <c r="IG45" t="s">
        <v>2011</v>
      </c>
      <c r="IH45" t="s">
        <v>2011</v>
      </c>
      <c r="II45" t="s">
        <v>2011</v>
      </c>
      <c r="IJ45" t="s">
        <v>2011</v>
      </c>
      <c r="IK45" t="s">
        <v>1888</v>
      </c>
      <c r="IL45" t="s">
        <v>1911</v>
      </c>
      <c r="IM45" t="s">
        <v>1888</v>
      </c>
      <c r="IN45" t="s">
        <v>1888</v>
      </c>
      <c r="IO45" t="s">
        <v>2011</v>
      </c>
      <c r="IP45" t="s">
        <v>1888</v>
      </c>
      <c r="IQ45" t="s">
        <v>1888</v>
      </c>
      <c r="IR45" t="s">
        <v>1911</v>
      </c>
      <c r="IS45" t="s">
        <v>1888</v>
      </c>
      <c r="IT45" t="s">
        <v>1888</v>
      </c>
      <c r="IU45" t="s">
        <v>1888</v>
      </c>
      <c r="IV45" t="s">
        <v>1888</v>
      </c>
      <c r="IW45" t="s">
        <v>1888</v>
      </c>
      <c r="IX45" t="s">
        <v>1888</v>
      </c>
      <c r="IY45" t="s">
        <v>1888</v>
      </c>
      <c r="IZ45" t="s">
        <v>1888</v>
      </c>
      <c r="JA45" t="s">
        <v>1888</v>
      </c>
      <c r="JB45" t="s">
        <v>2011</v>
      </c>
      <c r="JC45" t="s">
        <v>1888</v>
      </c>
      <c r="JD45" t="s">
        <v>1888</v>
      </c>
      <c r="JE45" t="s">
        <v>1888</v>
      </c>
      <c r="JF45" t="s">
        <v>1888</v>
      </c>
      <c r="JG45" t="s">
        <v>1888</v>
      </c>
      <c r="JH45" t="s">
        <v>1888</v>
      </c>
      <c r="JI45" t="s">
        <v>1888</v>
      </c>
      <c r="JJ45" t="s">
        <v>1888</v>
      </c>
      <c r="JK45" t="s">
        <v>1911</v>
      </c>
      <c r="JL45" t="s">
        <v>2011</v>
      </c>
      <c r="JM45" t="s">
        <v>1888</v>
      </c>
      <c r="JN45" t="s">
        <v>1888</v>
      </c>
      <c r="JO45" t="s">
        <v>1911</v>
      </c>
      <c r="JP45" t="s">
        <v>1911</v>
      </c>
      <c r="JQ45" t="s">
        <v>1888</v>
      </c>
      <c r="JR45" t="s">
        <v>1888</v>
      </c>
      <c r="JS45" t="s">
        <v>1911</v>
      </c>
      <c r="JT45" t="s">
        <v>2011</v>
      </c>
      <c r="JU45" t="s">
        <v>1911</v>
      </c>
      <c r="JV45" t="s">
        <v>2011</v>
      </c>
      <c r="JW45" t="s">
        <v>1888</v>
      </c>
      <c r="JX45" t="s">
        <v>1888</v>
      </c>
      <c r="JY45" t="s">
        <v>1888</v>
      </c>
      <c r="JZ45" t="s">
        <v>2011</v>
      </c>
      <c r="KA45" t="s">
        <v>1888</v>
      </c>
      <c r="KB45" t="s">
        <v>1888</v>
      </c>
      <c r="KC45" t="s">
        <v>1888</v>
      </c>
      <c r="KD45" t="s">
        <v>1888</v>
      </c>
      <c r="KE45" t="s">
        <v>1888</v>
      </c>
      <c r="KF45" t="s">
        <v>1888</v>
      </c>
      <c r="KG45" t="s">
        <v>1888</v>
      </c>
      <c r="KH45" t="s">
        <v>1888</v>
      </c>
      <c r="KI45" t="s">
        <v>1888</v>
      </c>
      <c r="KJ45" t="s">
        <v>1911</v>
      </c>
      <c r="KK45" t="s">
        <v>1888</v>
      </c>
      <c r="KL45" t="s">
        <v>1888</v>
      </c>
      <c r="KM45" t="s">
        <v>1888</v>
      </c>
      <c r="KN45" t="s">
        <v>2011</v>
      </c>
      <c r="KO45" t="s">
        <v>1888</v>
      </c>
      <c r="KP45" t="s">
        <v>1911</v>
      </c>
      <c r="KQ45" t="s">
        <v>1911</v>
      </c>
      <c r="KR45" t="s">
        <v>1888</v>
      </c>
      <c r="KS45" t="s">
        <v>1888</v>
      </c>
      <c r="KT45" t="s">
        <v>1888</v>
      </c>
      <c r="KU45" t="s">
        <v>1888</v>
      </c>
      <c r="KV45" t="s">
        <v>1888</v>
      </c>
      <c r="KW45" t="s">
        <v>1888</v>
      </c>
      <c r="KX45" t="s">
        <v>1888</v>
      </c>
      <c r="KY45" t="s">
        <v>1888</v>
      </c>
      <c r="KZ45" t="s">
        <v>1888</v>
      </c>
      <c r="LA45" t="s">
        <v>1888</v>
      </c>
      <c r="LB45" t="s">
        <v>1888</v>
      </c>
      <c r="LC45" t="s">
        <v>1888</v>
      </c>
      <c r="LD45" t="s">
        <v>1888</v>
      </c>
      <c r="LE45" t="s">
        <v>1888</v>
      </c>
      <c r="LF45" t="s">
        <v>1888</v>
      </c>
      <c r="LG45" t="s">
        <v>2011</v>
      </c>
      <c r="LH45" t="s">
        <v>2011</v>
      </c>
      <c r="LI45" t="s">
        <v>2011</v>
      </c>
      <c r="LJ45" t="s">
        <v>1888</v>
      </c>
      <c r="LK45" t="s">
        <v>2011</v>
      </c>
      <c r="LL45" t="s">
        <v>2011</v>
      </c>
      <c r="LM45" t="s">
        <v>1888</v>
      </c>
      <c r="LN45" t="s">
        <v>1888</v>
      </c>
      <c r="LO45" t="s">
        <v>2011</v>
      </c>
      <c r="LP45" t="s">
        <v>2011</v>
      </c>
      <c r="LQ45" t="s">
        <v>2011</v>
      </c>
      <c r="LR45" t="s">
        <v>2011</v>
      </c>
      <c r="LS45" t="s">
        <v>1911</v>
      </c>
      <c r="LT45" t="s">
        <v>1911</v>
      </c>
      <c r="LU45" t="s">
        <v>1888</v>
      </c>
      <c r="LV45" t="s">
        <v>1888</v>
      </c>
      <c r="LW45" t="s">
        <v>2011</v>
      </c>
      <c r="LX45" t="s">
        <v>1888</v>
      </c>
      <c r="LY45" t="s">
        <v>1888</v>
      </c>
      <c r="LZ45" t="s">
        <v>1888</v>
      </c>
      <c r="MA45" t="s">
        <v>1888</v>
      </c>
      <c r="MB45" t="s">
        <v>1888</v>
      </c>
      <c r="MC45" t="s">
        <v>1888</v>
      </c>
      <c r="MD45" t="s">
        <v>2011</v>
      </c>
      <c r="ME45" t="s">
        <v>1888</v>
      </c>
      <c r="MF45" t="s">
        <v>1888</v>
      </c>
      <c r="MG45" t="s">
        <v>2011</v>
      </c>
      <c r="MH45" t="s">
        <v>2011</v>
      </c>
      <c r="MI45" t="s">
        <v>2011</v>
      </c>
      <c r="MJ45" t="s">
        <v>1888</v>
      </c>
      <c r="MK45" t="s">
        <v>1888</v>
      </c>
      <c r="ML45" t="s">
        <v>1888</v>
      </c>
      <c r="MM45" t="s">
        <v>1888</v>
      </c>
      <c r="MN45" t="s">
        <v>1888</v>
      </c>
      <c r="MO45" t="s">
        <v>1888</v>
      </c>
      <c r="MP45" t="s">
        <v>1888</v>
      </c>
      <c r="MQ45" t="s">
        <v>1888</v>
      </c>
      <c r="MR45" t="s">
        <v>1888</v>
      </c>
      <c r="MS45" t="s">
        <v>1888</v>
      </c>
      <c r="MT45" t="s">
        <v>1888</v>
      </c>
      <c r="MU45" t="s">
        <v>1888</v>
      </c>
      <c r="MV45" t="s">
        <v>1888</v>
      </c>
      <c r="MW45" t="s">
        <v>1888</v>
      </c>
      <c r="MX45" t="s">
        <v>2011</v>
      </c>
      <c r="MY45" t="s">
        <v>1888</v>
      </c>
      <c r="MZ45" t="s">
        <v>2011</v>
      </c>
      <c r="NA45" t="s">
        <v>1888</v>
      </c>
      <c r="NB45" t="s">
        <v>1888</v>
      </c>
      <c r="NC45" t="s">
        <v>1888</v>
      </c>
      <c r="ND45" t="s">
        <v>1888</v>
      </c>
      <c r="NG45" t="s">
        <v>1888</v>
      </c>
      <c r="NH45" t="s">
        <v>1888</v>
      </c>
      <c r="NI45" t="s">
        <v>1888</v>
      </c>
      <c r="NJ45" t="s">
        <v>1888</v>
      </c>
      <c r="NK45" t="s">
        <v>1888</v>
      </c>
      <c r="NL45" t="s">
        <v>1888</v>
      </c>
      <c r="NM45" t="s">
        <v>1888</v>
      </c>
      <c r="NN45" t="s">
        <v>2011</v>
      </c>
      <c r="NR45" t="s">
        <v>1501</v>
      </c>
      <c r="NS45" t="s">
        <v>2081</v>
      </c>
      <c r="NX45" t="s">
        <v>2084</v>
      </c>
      <c r="NY45" t="s">
        <v>1885</v>
      </c>
    </row>
    <row r="46" spans="1:389" ht="15" customHeight="1" x14ac:dyDescent="0.25">
      <c r="A46" t="s">
        <v>2085</v>
      </c>
      <c r="B46" t="s">
        <v>2086</v>
      </c>
      <c r="C46" t="s">
        <v>1841</v>
      </c>
      <c r="D46" t="s">
        <v>1502</v>
      </c>
      <c r="G46" t="s">
        <v>2085</v>
      </c>
      <c r="H46" t="s">
        <v>1851</v>
      </c>
      <c r="I46" t="s">
        <v>1851</v>
      </c>
      <c r="J46" t="s">
        <v>1851</v>
      </c>
      <c r="K46" t="s">
        <v>2085</v>
      </c>
      <c r="L46" t="s">
        <v>2085</v>
      </c>
      <c r="M46" t="s">
        <v>2085</v>
      </c>
      <c r="N46" t="s">
        <v>2085</v>
      </c>
      <c r="O46" t="s">
        <v>1851</v>
      </c>
      <c r="P46" t="s">
        <v>2085</v>
      </c>
      <c r="Q46" t="s">
        <v>1851</v>
      </c>
      <c r="R46" t="s">
        <v>2085</v>
      </c>
      <c r="S46" t="s">
        <v>2085</v>
      </c>
      <c r="T46" t="s">
        <v>1851</v>
      </c>
      <c r="U46" t="s">
        <v>1851</v>
      </c>
      <c r="V46" t="s">
        <v>1851</v>
      </c>
      <c r="W46" t="s">
        <v>1851</v>
      </c>
      <c r="X46" t="s">
        <v>1851</v>
      </c>
      <c r="Y46" t="s">
        <v>1851</v>
      </c>
      <c r="AA46" t="s">
        <v>1851</v>
      </c>
      <c r="AB46" t="s">
        <v>1851</v>
      </c>
      <c r="AC46" t="s">
        <v>1851</v>
      </c>
      <c r="AD46" t="s">
        <v>1851</v>
      </c>
      <c r="AE46" t="s">
        <v>1851</v>
      </c>
      <c r="AF46" t="s">
        <v>1851</v>
      </c>
      <c r="AG46" t="s">
        <v>1851</v>
      </c>
      <c r="AH46" t="s">
        <v>2085</v>
      </c>
      <c r="AI46" t="s">
        <v>1851</v>
      </c>
      <c r="AJ46" t="s">
        <v>1851</v>
      </c>
      <c r="AK46" t="s">
        <v>1851</v>
      </c>
      <c r="AL46" t="s">
        <v>1851</v>
      </c>
      <c r="AM46" t="s">
        <v>2085</v>
      </c>
      <c r="AN46" t="s">
        <v>1851</v>
      </c>
      <c r="AO46" t="s">
        <v>2085</v>
      </c>
      <c r="AP46" t="s">
        <v>2085</v>
      </c>
      <c r="AQ46" t="s">
        <v>2085</v>
      </c>
      <c r="AR46" t="s">
        <v>2085</v>
      </c>
      <c r="AS46" t="s">
        <v>1851</v>
      </c>
      <c r="AT46" t="s">
        <v>1851</v>
      </c>
      <c r="AU46" t="s">
        <v>1851</v>
      </c>
      <c r="AV46" t="s">
        <v>1851</v>
      </c>
      <c r="AW46" t="s">
        <v>1851</v>
      </c>
      <c r="AX46" t="s">
        <v>1851</v>
      </c>
      <c r="AY46" t="s">
        <v>1851</v>
      </c>
      <c r="AZ46" t="s">
        <v>1851</v>
      </c>
      <c r="BA46" t="s">
        <v>1851</v>
      </c>
      <c r="BB46" t="s">
        <v>1851</v>
      </c>
      <c r="BC46" t="s">
        <v>1851</v>
      </c>
      <c r="BD46" t="s">
        <v>1851</v>
      </c>
      <c r="BE46" t="s">
        <v>1851</v>
      </c>
      <c r="BF46" t="s">
        <v>1851</v>
      </c>
      <c r="BG46" t="s">
        <v>1851</v>
      </c>
      <c r="BH46" t="s">
        <v>1851</v>
      </c>
      <c r="BI46" t="s">
        <v>1851</v>
      </c>
      <c r="BJ46" t="s">
        <v>1851</v>
      </c>
      <c r="BK46" t="s">
        <v>1851</v>
      </c>
      <c r="BL46" t="s">
        <v>1851</v>
      </c>
      <c r="BM46" t="s">
        <v>1851</v>
      </c>
      <c r="BN46" t="s">
        <v>1851</v>
      </c>
      <c r="BO46" t="s">
        <v>1851</v>
      </c>
      <c r="BP46" t="s">
        <v>1851</v>
      </c>
      <c r="BQ46" t="s">
        <v>1851</v>
      </c>
      <c r="BR46" t="s">
        <v>1851</v>
      </c>
      <c r="BS46" t="s">
        <v>1851</v>
      </c>
      <c r="BT46" t="s">
        <v>1851</v>
      </c>
      <c r="BU46" t="s">
        <v>1851</v>
      </c>
      <c r="BV46" t="s">
        <v>1851</v>
      </c>
      <c r="BW46" t="s">
        <v>1851</v>
      </c>
      <c r="BX46" t="s">
        <v>1851</v>
      </c>
      <c r="BY46" t="s">
        <v>1851</v>
      </c>
      <c r="BZ46" t="s">
        <v>2085</v>
      </c>
      <c r="CA46" t="s">
        <v>2085</v>
      </c>
      <c r="CB46" t="s">
        <v>1851</v>
      </c>
      <c r="CC46" t="s">
        <v>1851</v>
      </c>
      <c r="CD46" t="s">
        <v>1851</v>
      </c>
      <c r="CE46" t="s">
        <v>2085</v>
      </c>
      <c r="CF46" t="s">
        <v>1851</v>
      </c>
      <c r="CG46" t="s">
        <v>1851</v>
      </c>
      <c r="CH46" t="s">
        <v>1851</v>
      </c>
      <c r="CI46" t="s">
        <v>1851</v>
      </c>
      <c r="CJ46" t="s">
        <v>1851</v>
      </c>
      <c r="CK46" t="s">
        <v>2085</v>
      </c>
      <c r="CL46" t="s">
        <v>2085</v>
      </c>
      <c r="CM46" t="s">
        <v>2085</v>
      </c>
      <c r="CN46" t="s">
        <v>2085</v>
      </c>
      <c r="CO46" t="s">
        <v>2085</v>
      </c>
      <c r="CP46" t="s">
        <v>2085</v>
      </c>
      <c r="CQ46" t="s">
        <v>2085</v>
      </c>
      <c r="CR46" t="s">
        <v>2085</v>
      </c>
      <c r="CS46" t="s">
        <v>1851</v>
      </c>
      <c r="CT46" t="s">
        <v>1851</v>
      </c>
      <c r="CU46" t="s">
        <v>2085</v>
      </c>
      <c r="CV46" t="s">
        <v>1851</v>
      </c>
      <c r="CW46" t="s">
        <v>1851</v>
      </c>
      <c r="CX46" t="s">
        <v>1851</v>
      </c>
      <c r="CY46" t="s">
        <v>1851</v>
      </c>
      <c r="CZ46" t="s">
        <v>2085</v>
      </c>
      <c r="DA46" t="s">
        <v>2085</v>
      </c>
      <c r="DB46" t="s">
        <v>2085</v>
      </c>
      <c r="DC46" t="s">
        <v>2085</v>
      </c>
      <c r="DD46" t="s">
        <v>1851</v>
      </c>
      <c r="DE46" t="s">
        <v>1851</v>
      </c>
      <c r="DF46" t="s">
        <v>1851</v>
      </c>
      <c r="DG46" t="s">
        <v>1851</v>
      </c>
      <c r="DH46" t="s">
        <v>1851</v>
      </c>
      <c r="DI46" t="s">
        <v>1851</v>
      </c>
      <c r="DJ46" t="s">
        <v>2085</v>
      </c>
      <c r="DK46" t="s">
        <v>2085</v>
      </c>
      <c r="DL46" t="s">
        <v>1851</v>
      </c>
      <c r="DM46" t="s">
        <v>1851</v>
      </c>
      <c r="DN46" t="s">
        <v>1851</v>
      </c>
      <c r="DO46" t="s">
        <v>2085</v>
      </c>
      <c r="DP46" t="s">
        <v>2085</v>
      </c>
      <c r="DQ46" t="s">
        <v>2085</v>
      </c>
      <c r="DR46" t="s">
        <v>2085</v>
      </c>
      <c r="DS46" t="s">
        <v>1851</v>
      </c>
      <c r="DT46" t="s">
        <v>2085</v>
      </c>
      <c r="DU46" t="s">
        <v>2085</v>
      </c>
      <c r="DV46" t="s">
        <v>2085</v>
      </c>
      <c r="DW46" t="s">
        <v>1851</v>
      </c>
      <c r="DX46" t="s">
        <v>1851</v>
      </c>
      <c r="DY46" t="s">
        <v>1851</v>
      </c>
      <c r="DZ46" t="s">
        <v>1851</v>
      </c>
      <c r="EA46" t="s">
        <v>2085</v>
      </c>
      <c r="EB46" t="s">
        <v>2085</v>
      </c>
      <c r="EC46" t="s">
        <v>2085</v>
      </c>
      <c r="ED46" t="s">
        <v>1851</v>
      </c>
      <c r="EE46" t="s">
        <v>1851</v>
      </c>
      <c r="EF46" t="s">
        <v>1851</v>
      </c>
      <c r="EG46" t="s">
        <v>2085</v>
      </c>
      <c r="EH46" t="s">
        <v>2085</v>
      </c>
      <c r="EI46" t="s">
        <v>2085</v>
      </c>
      <c r="EJ46" t="s">
        <v>2085</v>
      </c>
      <c r="EK46" t="s">
        <v>2085</v>
      </c>
      <c r="EL46" t="s">
        <v>2085</v>
      </c>
      <c r="EM46" t="s">
        <v>1851</v>
      </c>
      <c r="EN46" t="s">
        <v>1851</v>
      </c>
      <c r="EO46" t="s">
        <v>1851</v>
      </c>
      <c r="ET46" t="s">
        <v>1851</v>
      </c>
      <c r="EU46" t="s">
        <v>1851</v>
      </c>
      <c r="EV46" t="s">
        <v>1851</v>
      </c>
      <c r="EW46" t="s">
        <v>1851</v>
      </c>
      <c r="EX46" t="s">
        <v>1990</v>
      </c>
      <c r="EY46" t="s">
        <v>2085</v>
      </c>
      <c r="EZ46" t="s">
        <v>1851</v>
      </c>
      <c r="FA46" t="s">
        <v>2085</v>
      </c>
      <c r="FB46" t="s">
        <v>2085</v>
      </c>
      <c r="FC46" t="s">
        <v>2085</v>
      </c>
      <c r="FD46" t="s">
        <v>1851</v>
      </c>
      <c r="FE46" t="s">
        <v>1851</v>
      </c>
      <c r="FF46" t="s">
        <v>2085</v>
      </c>
      <c r="FG46" t="s">
        <v>2085</v>
      </c>
      <c r="FH46" t="s">
        <v>2085</v>
      </c>
      <c r="FI46" t="s">
        <v>2085</v>
      </c>
      <c r="FJ46" t="s">
        <v>1990</v>
      </c>
      <c r="FK46" t="s">
        <v>1851</v>
      </c>
      <c r="FL46" t="s">
        <v>1851</v>
      </c>
      <c r="FM46" t="s">
        <v>1851</v>
      </c>
      <c r="FN46" t="s">
        <v>1851</v>
      </c>
      <c r="FO46" t="s">
        <v>1851</v>
      </c>
      <c r="FP46" t="s">
        <v>1851</v>
      </c>
      <c r="FQ46" t="s">
        <v>1851</v>
      </c>
      <c r="FR46" t="s">
        <v>1851</v>
      </c>
      <c r="FS46" t="s">
        <v>1851</v>
      </c>
      <c r="FT46" t="s">
        <v>1851</v>
      </c>
      <c r="FU46" t="s">
        <v>1851</v>
      </c>
      <c r="FV46" t="s">
        <v>1851</v>
      </c>
      <c r="FW46" t="s">
        <v>1851</v>
      </c>
      <c r="FX46" t="s">
        <v>1851</v>
      </c>
      <c r="FY46" t="s">
        <v>2085</v>
      </c>
      <c r="FZ46" t="s">
        <v>2085</v>
      </c>
      <c r="GA46" t="s">
        <v>2085</v>
      </c>
      <c r="GB46" t="s">
        <v>1851</v>
      </c>
      <c r="GC46" t="s">
        <v>1851</v>
      </c>
      <c r="GD46" t="s">
        <v>1851</v>
      </c>
      <c r="GE46" t="s">
        <v>1851</v>
      </c>
      <c r="GF46" t="s">
        <v>1851</v>
      </c>
      <c r="GG46" t="s">
        <v>1851</v>
      </c>
      <c r="GH46" t="s">
        <v>1851</v>
      </c>
      <c r="GI46" t="s">
        <v>1851</v>
      </c>
      <c r="GJ46" t="s">
        <v>1851</v>
      </c>
      <c r="GK46" t="s">
        <v>1851</v>
      </c>
      <c r="GL46" t="s">
        <v>1851</v>
      </c>
      <c r="GM46" t="s">
        <v>1851</v>
      </c>
      <c r="GN46" t="s">
        <v>1851</v>
      </c>
      <c r="GO46" t="s">
        <v>1851</v>
      </c>
      <c r="GP46" t="s">
        <v>1851</v>
      </c>
      <c r="GQ46" t="s">
        <v>1851</v>
      </c>
      <c r="GR46" t="s">
        <v>1851</v>
      </c>
      <c r="GS46" t="s">
        <v>1851</v>
      </c>
      <c r="GT46" t="s">
        <v>1851</v>
      </c>
      <c r="GU46" t="s">
        <v>1851</v>
      </c>
      <c r="GV46" t="s">
        <v>1851</v>
      </c>
      <c r="GW46" t="s">
        <v>1851</v>
      </c>
      <c r="GX46" t="s">
        <v>1851</v>
      </c>
      <c r="GY46" t="s">
        <v>1851</v>
      </c>
      <c r="GZ46" t="s">
        <v>1851</v>
      </c>
      <c r="HA46" t="s">
        <v>1851</v>
      </c>
      <c r="HB46" t="s">
        <v>1851</v>
      </c>
      <c r="HC46" t="s">
        <v>1990</v>
      </c>
      <c r="HD46" t="s">
        <v>2085</v>
      </c>
      <c r="HE46" t="s">
        <v>1990</v>
      </c>
      <c r="HF46" t="s">
        <v>2085</v>
      </c>
      <c r="HG46" t="s">
        <v>1851</v>
      </c>
      <c r="HH46" t="s">
        <v>1990</v>
      </c>
      <c r="HI46" t="s">
        <v>1990</v>
      </c>
      <c r="HJ46" t="s">
        <v>1851</v>
      </c>
      <c r="HK46" t="s">
        <v>1851</v>
      </c>
      <c r="HL46" t="s">
        <v>1851</v>
      </c>
      <c r="HM46" t="s">
        <v>1990</v>
      </c>
      <c r="HN46" t="s">
        <v>1851</v>
      </c>
      <c r="HO46" t="s">
        <v>2085</v>
      </c>
      <c r="HP46" t="s">
        <v>1990</v>
      </c>
      <c r="HQ46" t="s">
        <v>2085</v>
      </c>
      <c r="HR46" t="s">
        <v>2085</v>
      </c>
      <c r="HS46" t="s">
        <v>2085</v>
      </c>
      <c r="HT46" t="s">
        <v>1851</v>
      </c>
      <c r="HU46" t="s">
        <v>1851</v>
      </c>
      <c r="HV46" t="s">
        <v>1851</v>
      </c>
      <c r="HW46" t="s">
        <v>1851</v>
      </c>
      <c r="HX46" t="s">
        <v>1851</v>
      </c>
      <c r="HY46" t="s">
        <v>1851</v>
      </c>
      <c r="HZ46" t="s">
        <v>1990</v>
      </c>
      <c r="IA46" t="s">
        <v>1851</v>
      </c>
      <c r="IB46" t="s">
        <v>1851</v>
      </c>
      <c r="IC46" t="s">
        <v>1990</v>
      </c>
      <c r="ID46" t="s">
        <v>1851</v>
      </c>
      <c r="IE46" t="s">
        <v>1851</v>
      </c>
      <c r="IF46" t="s">
        <v>2085</v>
      </c>
      <c r="IG46" t="s">
        <v>2085</v>
      </c>
      <c r="IH46" t="s">
        <v>2085</v>
      </c>
      <c r="II46" t="s">
        <v>2085</v>
      </c>
      <c r="IJ46" t="s">
        <v>2085</v>
      </c>
      <c r="IK46" t="s">
        <v>1851</v>
      </c>
      <c r="IL46" t="s">
        <v>1990</v>
      </c>
      <c r="IM46" t="s">
        <v>1851</v>
      </c>
      <c r="IN46" t="s">
        <v>1851</v>
      </c>
      <c r="IO46" t="s">
        <v>2085</v>
      </c>
      <c r="IP46" t="s">
        <v>1851</v>
      </c>
      <c r="IQ46" t="s">
        <v>1851</v>
      </c>
      <c r="IR46" t="s">
        <v>1990</v>
      </c>
      <c r="IS46" t="s">
        <v>1851</v>
      </c>
      <c r="IT46" t="s">
        <v>1851</v>
      </c>
      <c r="IU46" t="s">
        <v>1851</v>
      </c>
      <c r="IV46" t="s">
        <v>1851</v>
      </c>
      <c r="IW46" t="s">
        <v>1851</v>
      </c>
      <c r="IX46" t="s">
        <v>1851</v>
      </c>
      <c r="IY46" t="s">
        <v>1851</v>
      </c>
      <c r="IZ46" t="s">
        <v>1851</v>
      </c>
      <c r="JA46" t="s">
        <v>1851</v>
      </c>
      <c r="JB46" t="s">
        <v>2085</v>
      </c>
      <c r="JC46" t="s">
        <v>1851</v>
      </c>
      <c r="JD46" t="s">
        <v>1851</v>
      </c>
      <c r="JE46" t="s">
        <v>1851</v>
      </c>
      <c r="JF46" t="s">
        <v>1851</v>
      </c>
      <c r="JG46" t="s">
        <v>1851</v>
      </c>
      <c r="JH46" t="s">
        <v>1851</v>
      </c>
      <c r="JI46" t="s">
        <v>1851</v>
      </c>
      <c r="JJ46" t="s">
        <v>1851</v>
      </c>
      <c r="JK46" t="s">
        <v>1990</v>
      </c>
      <c r="JL46" t="s">
        <v>2085</v>
      </c>
      <c r="JM46" t="s">
        <v>1851</v>
      </c>
      <c r="JN46" t="s">
        <v>1851</v>
      </c>
      <c r="JO46" t="s">
        <v>1990</v>
      </c>
      <c r="JP46" t="s">
        <v>1990</v>
      </c>
      <c r="JQ46" t="s">
        <v>1851</v>
      </c>
      <c r="JR46" t="s">
        <v>1851</v>
      </c>
      <c r="JS46" t="s">
        <v>1990</v>
      </c>
      <c r="JT46" t="s">
        <v>2085</v>
      </c>
      <c r="JU46" t="s">
        <v>1990</v>
      </c>
      <c r="JV46" t="s">
        <v>2085</v>
      </c>
      <c r="JW46" t="s">
        <v>1851</v>
      </c>
      <c r="JX46" t="s">
        <v>1851</v>
      </c>
      <c r="JY46" t="s">
        <v>1851</v>
      </c>
      <c r="JZ46" t="s">
        <v>2085</v>
      </c>
      <c r="KA46" t="s">
        <v>1851</v>
      </c>
      <c r="KB46" t="s">
        <v>1851</v>
      </c>
      <c r="KC46" t="s">
        <v>1851</v>
      </c>
      <c r="KD46" t="s">
        <v>1851</v>
      </c>
      <c r="KE46" t="s">
        <v>1851</v>
      </c>
      <c r="KF46" t="s">
        <v>1851</v>
      </c>
      <c r="KG46" t="s">
        <v>1851</v>
      </c>
      <c r="KH46" t="s">
        <v>1851</v>
      </c>
      <c r="KI46" t="s">
        <v>1851</v>
      </c>
      <c r="KJ46" t="s">
        <v>1990</v>
      </c>
      <c r="KK46" t="s">
        <v>1851</v>
      </c>
      <c r="KL46" t="s">
        <v>1851</v>
      </c>
      <c r="KM46" t="s">
        <v>1851</v>
      </c>
      <c r="KN46" t="s">
        <v>2085</v>
      </c>
      <c r="KO46" t="s">
        <v>1851</v>
      </c>
      <c r="KP46" t="s">
        <v>1990</v>
      </c>
      <c r="KQ46" t="s">
        <v>1990</v>
      </c>
      <c r="KR46" t="s">
        <v>1851</v>
      </c>
      <c r="KS46" t="s">
        <v>1851</v>
      </c>
      <c r="KT46" t="s">
        <v>1851</v>
      </c>
      <c r="KU46" t="s">
        <v>1851</v>
      </c>
      <c r="KV46" t="s">
        <v>1851</v>
      </c>
      <c r="KW46" t="s">
        <v>1851</v>
      </c>
      <c r="KX46" t="s">
        <v>1851</v>
      </c>
      <c r="KY46" t="s">
        <v>1851</v>
      </c>
      <c r="KZ46" t="s">
        <v>1851</v>
      </c>
      <c r="LA46" t="s">
        <v>1851</v>
      </c>
      <c r="LB46" t="s">
        <v>1851</v>
      </c>
      <c r="LC46" t="s">
        <v>1851</v>
      </c>
      <c r="LD46" t="s">
        <v>1851</v>
      </c>
      <c r="LE46" t="s">
        <v>1851</v>
      </c>
      <c r="LF46" t="s">
        <v>1851</v>
      </c>
      <c r="LG46" t="s">
        <v>2085</v>
      </c>
      <c r="LH46" t="s">
        <v>2085</v>
      </c>
      <c r="LI46" t="s">
        <v>2085</v>
      </c>
      <c r="LJ46" t="s">
        <v>1851</v>
      </c>
      <c r="LK46" t="s">
        <v>2085</v>
      </c>
      <c r="LL46" t="s">
        <v>2085</v>
      </c>
      <c r="LM46" t="s">
        <v>1851</v>
      </c>
      <c r="LN46" t="s">
        <v>1851</v>
      </c>
      <c r="LO46" t="s">
        <v>2085</v>
      </c>
      <c r="LP46" t="s">
        <v>2085</v>
      </c>
      <c r="LQ46" t="s">
        <v>2085</v>
      </c>
      <c r="LR46" t="s">
        <v>2085</v>
      </c>
      <c r="LS46" t="s">
        <v>1990</v>
      </c>
      <c r="LT46" t="s">
        <v>1990</v>
      </c>
      <c r="LU46" t="s">
        <v>1851</v>
      </c>
      <c r="LV46" t="s">
        <v>1851</v>
      </c>
      <c r="LW46" t="s">
        <v>2085</v>
      </c>
      <c r="LX46" t="s">
        <v>1851</v>
      </c>
      <c r="LY46" t="s">
        <v>1851</v>
      </c>
      <c r="LZ46" t="s">
        <v>1851</v>
      </c>
      <c r="MA46" t="s">
        <v>1851</v>
      </c>
      <c r="MB46" t="s">
        <v>1851</v>
      </c>
      <c r="MC46" t="s">
        <v>1851</v>
      </c>
      <c r="MD46" t="s">
        <v>2085</v>
      </c>
      <c r="ME46" t="s">
        <v>1851</v>
      </c>
      <c r="MF46" t="s">
        <v>1851</v>
      </c>
      <c r="MG46" t="s">
        <v>2085</v>
      </c>
      <c r="MH46" t="s">
        <v>2085</v>
      </c>
      <c r="MI46" t="s">
        <v>2085</v>
      </c>
      <c r="MJ46" t="s">
        <v>1851</v>
      </c>
      <c r="MK46" t="s">
        <v>1851</v>
      </c>
      <c r="ML46" t="s">
        <v>1851</v>
      </c>
      <c r="MM46" t="s">
        <v>1851</v>
      </c>
      <c r="MN46" t="s">
        <v>1851</v>
      </c>
      <c r="MO46" t="s">
        <v>1851</v>
      </c>
      <c r="MP46" t="s">
        <v>1851</v>
      </c>
      <c r="MQ46" t="s">
        <v>1851</v>
      </c>
      <c r="MR46" t="s">
        <v>1851</v>
      </c>
      <c r="MS46" t="s">
        <v>1851</v>
      </c>
      <c r="MT46" t="s">
        <v>1851</v>
      </c>
      <c r="MU46" t="s">
        <v>1851</v>
      </c>
      <c r="MV46" t="s">
        <v>1851</v>
      </c>
      <c r="MW46" t="s">
        <v>1851</v>
      </c>
      <c r="MX46" t="s">
        <v>2085</v>
      </c>
      <c r="MY46" t="s">
        <v>1851</v>
      </c>
      <c r="MZ46" t="s">
        <v>2085</v>
      </c>
      <c r="NA46" t="s">
        <v>1851</v>
      </c>
      <c r="NB46" t="s">
        <v>1851</v>
      </c>
      <c r="NC46" t="s">
        <v>1851</v>
      </c>
      <c r="ND46" t="s">
        <v>1851</v>
      </c>
      <c r="NG46" t="s">
        <v>1851</v>
      </c>
      <c r="NH46" t="s">
        <v>1851</v>
      </c>
      <c r="NI46" t="s">
        <v>1851</v>
      </c>
      <c r="NJ46" t="s">
        <v>1851</v>
      </c>
      <c r="NK46" t="s">
        <v>1851</v>
      </c>
      <c r="NL46" t="s">
        <v>1851</v>
      </c>
      <c r="NM46" t="s">
        <v>1851</v>
      </c>
      <c r="NN46" t="s">
        <v>2085</v>
      </c>
      <c r="NR46" t="s">
        <v>1502</v>
      </c>
      <c r="NS46" t="s">
        <v>2087</v>
      </c>
      <c r="NX46" t="s">
        <v>2088</v>
      </c>
      <c r="NY46" t="s">
        <v>1885</v>
      </c>
    </row>
    <row r="47" spans="1:389" ht="15" customHeight="1" x14ac:dyDescent="0.25">
      <c r="A47" t="s">
        <v>2089</v>
      </c>
      <c r="B47" t="s">
        <v>2090</v>
      </c>
      <c r="C47" t="s">
        <v>1841</v>
      </c>
      <c r="D47" t="s">
        <v>1503</v>
      </c>
      <c r="G47" t="s">
        <v>2089</v>
      </c>
      <c r="H47" t="s">
        <v>1937</v>
      </c>
      <c r="I47" t="s">
        <v>1937</v>
      </c>
      <c r="J47" t="s">
        <v>1937</v>
      </c>
      <c r="K47" t="s">
        <v>2089</v>
      </c>
      <c r="L47" t="s">
        <v>2089</v>
      </c>
      <c r="M47" t="s">
        <v>2089</v>
      </c>
      <c r="N47" t="s">
        <v>2089</v>
      </c>
      <c r="O47" t="s">
        <v>1937</v>
      </c>
      <c r="P47" t="s">
        <v>2089</v>
      </c>
      <c r="Q47" t="s">
        <v>1937</v>
      </c>
      <c r="R47" t="s">
        <v>2089</v>
      </c>
      <c r="S47" t="s">
        <v>2089</v>
      </c>
      <c r="T47" t="s">
        <v>1937</v>
      </c>
      <c r="U47" t="s">
        <v>1937</v>
      </c>
      <c r="V47" t="s">
        <v>1937</v>
      </c>
      <c r="W47" t="s">
        <v>1937</v>
      </c>
      <c r="X47" t="s">
        <v>1937</v>
      </c>
      <c r="Y47" t="s">
        <v>1937</v>
      </c>
      <c r="AA47" t="s">
        <v>1937</v>
      </c>
      <c r="AB47" t="s">
        <v>1937</v>
      </c>
      <c r="AC47" t="s">
        <v>1937</v>
      </c>
      <c r="AD47" t="s">
        <v>1937</v>
      </c>
      <c r="AE47" t="s">
        <v>1937</v>
      </c>
      <c r="AF47" t="s">
        <v>1937</v>
      </c>
      <c r="AG47" t="s">
        <v>1937</v>
      </c>
      <c r="AH47" t="s">
        <v>2089</v>
      </c>
      <c r="AI47" t="s">
        <v>1937</v>
      </c>
      <c r="AJ47" t="s">
        <v>1937</v>
      </c>
      <c r="AK47" t="s">
        <v>1937</v>
      </c>
      <c r="AL47" t="s">
        <v>1937</v>
      </c>
      <c r="AM47" t="s">
        <v>2089</v>
      </c>
      <c r="AN47" t="s">
        <v>1937</v>
      </c>
      <c r="AO47" t="s">
        <v>2089</v>
      </c>
      <c r="AP47" t="s">
        <v>2089</v>
      </c>
      <c r="AQ47" t="s">
        <v>2089</v>
      </c>
      <c r="AR47" t="s">
        <v>2089</v>
      </c>
      <c r="AS47" t="s">
        <v>1937</v>
      </c>
      <c r="AT47" t="s">
        <v>1937</v>
      </c>
      <c r="AU47" t="s">
        <v>1937</v>
      </c>
      <c r="AV47" t="s">
        <v>1937</v>
      </c>
      <c r="AW47" t="s">
        <v>1937</v>
      </c>
      <c r="AX47" t="s">
        <v>1937</v>
      </c>
      <c r="AY47" t="s">
        <v>1937</v>
      </c>
      <c r="AZ47" t="s">
        <v>1937</v>
      </c>
      <c r="BA47" t="s">
        <v>1937</v>
      </c>
      <c r="BB47" t="s">
        <v>1937</v>
      </c>
      <c r="BC47" t="s">
        <v>1937</v>
      </c>
      <c r="BD47" t="s">
        <v>1937</v>
      </c>
      <c r="BE47" t="s">
        <v>1937</v>
      </c>
      <c r="BF47" t="s">
        <v>1937</v>
      </c>
      <c r="BG47" t="s">
        <v>1937</v>
      </c>
      <c r="BH47" t="s">
        <v>1937</v>
      </c>
      <c r="BI47" t="s">
        <v>1937</v>
      </c>
      <c r="BJ47" t="s">
        <v>1937</v>
      </c>
      <c r="BK47" t="s">
        <v>1937</v>
      </c>
      <c r="BL47" t="s">
        <v>1937</v>
      </c>
      <c r="BM47" t="s">
        <v>1937</v>
      </c>
      <c r="BN47" t="s">
        <v>1937</v>
      </c>
      <c r="BO47" t="s">
        <v>1937</v>
      </c>
      <c r="BP47" t="s">
        <v>1937</v>
      </c>
      <c r="BQ47" t="s">
        <v>1937</v>
      </c>
      <c r="BR47" t="s">
        <v>1937</v>
      </c>
      <c r="BS47" t="s">
        <v>1937</v>
      </c>
      <c r="BT47" t="s">
        <v>1937</v>
      </c>
      <c r="BU47" t="s">
        <v>1937</v>
      </c>
      <c r="BV47" t="s">
        <v>1937</v>
      </c>
      <c r="BW47" t="s">
        <v>1937</v>
      </c>
      <c r="BX47" t="s">
        <v>1937</v>
      </c>
      <c r="BY47" t="s">
        <v>1937</v>
      </c>
      <c r="BZ47" t="s">
        <v>2089</v>
      </c>
      <c r="CA47" t="s">
        <v>2089</v>
      </c>
      <c r="CB47" t="s">
        <v>1937</v>
      </c>
      <c r="CC47" t="s">
        <v>1937</v>
      </c>
      <c r="CD47" t="s">
        <v>1937</v>
      </c>
      <c r="CE47" t="s">
        <v>2089</v>
      </c>
      <c r="CF47" t="s">
        <v>1937</v>
      </c>
      <c r="CG47" t="s">
        <v>1937</v>
      </c>
      <c r="CH47" t="s">
        <v>1937</v>
      </c>
      <c r="CI47" t="s">
        <v>1937</v>
      </c>
      <c r="CJ47" t="s">
        <v>1937</v>
      </c>
      <c r="CK47" t="s">
        <v>2089</v>
      </c>
      <c r="CL47" t="s">
        <v>2089</v>
      </c>
      <c r="CM47" t="s">
        <v>2089</v>
      </c>
      <c r="CN47" t="s">
        <v>2089</v>
      </c>
      <c r="CO47" t="s">
        <v>2089</v>
      </c>
      <c r="CP47" t="s">
        <v>2089</v>
      </c>
      <c r="CQ47" t="s">
        <v>2089</v>
      </c>
      <c r="CR47" t="s">
        <v>2089</v>
      </c>
      <c r="CS47" t="s">
        <v>1937</v>
      </c>
      <c r="CT47" t="s">
        <v>1937</v>
      </c>
      <c r="CU47" t="s">
        <v>2089</v>
      </c>
      <c r="CV47" t="s">
        <v>1937</v>
      </c>
      <c r="CW47" t="s">
        <v>1937</v>
      </c>
      <c r="CX47" t="s">
        <v>1937</v>
      </c>
      <c r="CY47" t="s">
        <v>1937</v>
      </c>
      <c r="CZ47" t="s">
        <v>2089</v>
      </c>
      <c r="DA47" t="s">
        <v>2089</v>
      </c>
      <c r="DB47" t="s">
        <v>2089</v>
      </c>
      <c r="DC47" t="s">
        <v>2089</v>
      </c>
      <c r="DD47" t="s">
        <v>1937</v>
      </c>
      <c r="DE47" t="s">
        <v>1937</v>
      </c>
      <c r="DF47" t="s">
        <v>1937</v>
      </c>
      <c r="DG47" t="s">
        <v>1937</v>
      </c>
      <c r="DH47" t="s">
        <v>1937</v>
      </c>
      <c r="DI47" t="s">
        <v>1937</v>
      </c>
      <c r="DJ47" t="s">
        <v>2089</v>
      </c>
      <c r="DK47" t="s">
        <v>2089</v>
      </c>
      <c r="DL47" t="s">
        <v>1937</v>
      </c>
      <c r="DM47" t="s">
        <v>1937</v>
      </c>
      <c r="DN47" t="s">
        <v>1937</v>
      </c>
      <c r="DO47" t="s">
        <v>2089</v>
      </c>
      <c r="DP47" t="s">
        <v>2089</v>
      </c>
      <c r="DQ47" t="s">
        <v>2089</v>
      </c>
      <c r="DR47" t="s">
        <v>2089</v>
      </c>
      <c r="DS47" t="s">
        <v>1937</v>
      </c>
      <c r="DT47" t="s">
        <v>2089</v>
      </c>
      <c r="DU47" t="s">
        <v>2089</v>
      </c>
      <c r="DV47" t="s">
        <v>2089</v>
      </c>
      <c r="DW47" t="s">
        <v>1937</v>
      </c>
      <c r="DX47" t="s">
        <v>1937</v>
      </c>
      <c r="DY47" t="s">
        <v>1937</v>
      </c>
      <c r="DZ47" t="s">
        <v>1937</v>
      </c>
      <c r="EA47" t="s">
        <v>2089</v>
      </c>
      <c r="EB47" t="s">
        <v>2089</v>
      </c>
      <c r="EC47" t="s">
        <v>2089</v>
      </c>
      <c r="ED47" t="s">
        <v>1937</v>
      </c>
      <c r="EE47" t="s">
        <v>1937</v>
      </c>
      <c r="EF47" t="s">
        <v>1937</v>
      </c>
      <c r="EG47" t="s">
        <v>2089</v>
      </c>
      <c r="EH47" t="s">
        <v>2089</v>
      </c>
      <c r="EI47" t="s">
        <v>2089</v>
      </c>
      <c r="EJ47" t="s">
        <v>2089</v>
      </c>
      <c r="EK47" t="s">
        <v>2089</v>
      </c>
      <c r="EL47" t="s">
        <v>2089</v>
      </c>
      <c r="EM47" t="s">
        <v>1937</v>
      </c>
      <c r="EN47" t="s">
        <v>1937</v>
      </c>
      <c r="EO47" t="s">
        <v>1937</v>
      </c>
      <c r="ET47" t="s">
        <v>1937</v>
      </c>
      <c r="EU47" t="s">
        <v>1937</v>
      </c>
      <c r="EV47" t="s">
        <v>1937</v>
      </c>
      <c r="EW47" t="s">
        <v>1937</v>
      </c>
      <c r="EX47" t="s">
        <v>1888</v>
      </c>
      <c r="EY47" t="s">
        <v>2089</v>
      </c>
      <c r="EZ47" t="s">
        <v>1937</v>
      </c>
      <c r="FA47" t="s">
        <v>2089</v>
      </c>
      <c r="FB47" t="s">
        <v>2089</v>
      </c>
      <c r="FC47" t="s">
        <v>2089</v>
      </c>
      <c r="FD47" t="s">
        <v>1937</v>
      </c>
      <c r="FE47" t="s">
        <v>1937</v>
      </c>
      <c r="FF47" t="s">
        <v>2089</v>
      </c>
      <c r="FG47" t="s">
        <v>2089</v>
      </c>
      <c r="FH47" t="s">
        <v>2089</v>
      </c>
      <c r="FI47" t="s">
        <v>2089</v>
      </c>
      <c r="FJ47" t="s">
        <v>1888</v>
      </c>
      <c r="FK47" t="s">
        <v>1937</v>
      </c>
      <c r="FL47" t="s">
        <v>1937</v>
      </c>
      <c r="FM47" t="s">
        <v>1937</v>
      </c>
      <c r="FN47" t="s">
        <v>1937</v>
      </c>
      <c r="FO47" t="s">
        <v>1937</v>
      </c>
      <c r="FP47" t="s">
        <v>1937</v>
      </c>
      <c r="FQ47" t="s">
        <v>1937</v>
      </c>
      <c r="FR47" t="s">
        <v>1937</v>
      </c>
      <c r="FS47" t="s">
        <v>1937</v>
      </c>
      <c r="FT47" t="s">
        <v>1937</v>
      </c>
      <c r="FU47" t="s">
        <v>1937</v>
      </c>
      <c r="FV47" t="s">
        <v>1937</v>
      </c>
      <c r="FW47" t="s">
        <v>1937</v>
      </c>
      <c r="FX47" t="s">
        <v>1937</v>
      </c>
      <c r="FY47" t="s">
        <v>2089</v>
      </c>
      <c r="FZ47" t="s">
        <v>2089</v>
      </c>
      <c r="GA47" t="s">
        <v>2089</v>
      </c>
      <c r="GB47" t="s">
        <v>1937</v>
      </c>
      <c r="GC47" t="s">
        <v>1937</v>
      </c>
      <c r="GD47" t="s">
        <v>1937</v>
      </c>
      <c r="GE47" t="s">
        <v>1937</v>
      </c>
      <c r="GF47" t="s">
        <v>1937</v>
      </c>
      <c r="GG47" t="s">
        <v>1937</v>
      </c>
      <c r="GH47" t="s">
        <v>1937</v>
      </c>
      <c r="GI47" t="s">
        <v>1937</v>
      </c>
      <c r="GJ47" t="s">
        <v>1937</v>
      </c>
      <c r="GK47" t="s">
        <v>1937</v>
      </c>
      <c r="GL47" t="s">
        <v>1937</v>
      </c>
      <c r="GM47" t="s">
        <v>1937</v>
      </c>
      <c r="GN47" t="s">
        <v>1937</v>
      </c>
      <c r="GO47" t="s">
        <v>1937</v>
      </c>
      <c r="GP47" t="s">
        <v>1937</v>
      </c>
      <c r="GQ47" t="s">
        <v>1937</v>
      </c>
      <c r="GR47" t="s">
        <v>1937</v>
      </c>
      <c r="GS47" t="s">
        <v>1937</v>
      </c>
      <c r="GT47" t="s">
        <v>1937</v>
      </c>
      <c r="GU47" t="s">
        <v>1937</v>
      </c>
      <c r="GV47" t="s">
        <v>1937</v>
      </c>
      <c r="GW47" t="s">
        <v>1937</v>
      </c>
      <c r="GX47" t="s">
        <v>1937</v>
      </c>
      <c r="GY47" t="s">
        <v>1937</v>
      </c>
      <c r="GZ47" t="s">
        <v>1937</v>
      </c>
      <c r="HA47" t="s">
        <v>1937</v>
      </c>
      <c r="HB47" t="s">
        <v>1937</v>
      </c>
      <c r="HC47" t="s">
        <v>1888</v>
      </c>
      <c r="HD47" t="s">
        <v>2089</v>
      </c>
      <c r="HE47" t="s">
        <v>1888</v>
      </c>
      <c r="HF47" t="s">
        <v>2089</v>
      </c>
      <c r="HG47" t="s">
        <v>1937</v>
      </c>
      <c r="HH47" t="s">
        <v>1888</v>
      </c>
      <c r="HI47" t="s">
        <v>1888</v>
      </c>
      <c r="HJ47" t="s">
        <v>1937</v>
      </c>
      <c r="HK47" t="s">
        <v>1937</v>
      </c>
      <c r="HL47" t="s">
        <v>1937</v>
      </c>
      <c r="HM47" t="s">
        <v>1888</v>
      </c>
      <c r="HN47" t="s">
        <v>1937</v>
      </c>
      <c r="HO47" t="s">
        <v>2089</v>
      </c>
      <c r="HP47" t="s">
        <v>1888</v>
      </c>
      <c r="HQ47" t="s">
        <v>2089</v>
      </c>
      <c r="HR47" t="s">
        <v>2089</v>
      </c>
      <c r="HS47" t="s">
        <v>2089</v>
      </c>
      <c r="HT47" t="s">
        <v>1937</v>
      </c>
      <c r="HU47" t="s">
        <v>1937</v>
      </c>
      <c r="HV47" t="s">
        <v>1937</v>
      </c>
      <c r="HW47" t="s">
        <v>1937</v>
      </c>
      <c r="HX47" t="s">
        <v>1937</v>
      </c>
      <c r="HY47" t="s">
        <v>1937</v>
      </c>
      <c r="HZ47" t="s">
        <v>1888</v>
      </c>
      <c r="IA47" t="s">
        <v>1937</v>
      </c>
      <c r="IB47" t="s">
        <v>1937</v>
      </c>
      <c r="IC47" t="s">
        <v>1888</v>
      </c>
      <c r="ID47" t="s">
        <v>1937</v>
      </c>
      <c r="IE47" t="s">
        <v>1937</v>
      </c>
      <c r="IF47" t="s">
        <v>2089</v>
      </c>
      <c r="IG47" t="s">
        <v>2089</v>
      </c>
      <c r="IH47" t="s">
        <v>2089</v>
      </c>
      <c r="II47" t="s">
        <v>2089</v>
      </c>
      <c r="IJ47" t="s">
        <v>2089</v>
      </c>
      <c r="IK47" t="s">
        <v>1937</v>
      </c>
      <c r="IL47" t="s">
        <v>1888</v>
      </c>
      <c r="IM47" t="s">
        <v>1937</v>
      </c>
      <c r="IN47" t="s">
        <v>1937</v>
      </c>
      <c r="IO47" t="s">
        <v>2089</v>
      </c>
      <c r="IP47" t="s">
        <v>1937</v>
      </c>
      <c r="IQ47" t="s">
        <v>1937</v>
      </c>
      <c r="IR47" t="s">
        <v>1888</v>
      </c>
      <c r="IS47" t="s">
        <v>1937</v>
      </c>
      <c r="IT47" t="s">
        <v>1937</v>
      </c>
      <c r="IU47" t="s">
        <v>1937</v>
      </c>
      <c r="IV47" t="s">
        <v>1937</v>
      </c>
      <c r="IW47" t="s">
        <v>1937</v>
      </c>
      <c r="IX47" t="s">
        <v>1937</v>
      </c>
      <c r="IY47" t="s">
        <v>1937</v>
      </c>
      <c r="IZ47" t="s">
        <v>1937</v>
      </c>
      <c r="JA47" t="s">
        <v>1937</v>
      </c>
      <c r="JB47" t="s">
        <v>2089</v>
      </c>
      <c r="JC47" t="s">
        <v>1937</v>
      </c>
      <c r="JD47" t="s">
        <v>1937</v>
      </c>
      <c r="JE47" t="s">
        <v>1937</v>
      </c>
      <c r="JF47" t="s">
        <v>1937</v>
      </c>
      <c r="JG47" t="s">
        <v>1937</v>
      </c>
      <c r="JH47" t="s">
        <v>1937</v>
      </c>
      <c r="JI47" t="s">
        <v>1937</v>
      </c>
      <c r="JJ47" t="s">
        <v>1937</v>
      </c>
      <c r="JK47" t="s">
        <v>1888</v>
      </c>
      <c r="JL47" t="s">
        <v>2089</v>
      </c>
      <c r="JM47" t="s">
        <v>1937</v>
      </c>
      <c r="JN47" t="s">
        <v>1937</v>
      </c>
      <c r="JO47" t="s">
        <v>1888</v>
      </c>
      <c r="JP47" t="s">
        <v>1888</v>
      </c>
      <c r="JQ47" t="s">
        <v>1937</v>
      </c>
      <c r="JR47" t="s">
        <v>1937</v>
      </c>
      <c r="JS47" t="s">
        <v>1888</v>
      </c>
      <c r="JT47" t="s">
        <v>2089</v>
      </c>
      <c r="JU47" t="s">
        <v>1888</v>
      </c>
      <c r="JV47" t="s">
        <v>2089</v>
      </c>
      <c r="JW47" t="s">
        <v>1937</v>
      </c>
      <c r="JX47" t="s">
        <v>1937</v>
      </c>
      <c r="JY47" t="s">
        <v>1937</v>
      </c>
      <c r="JZ47" t="s">
        <v>2089</v>
      </c>
      <c r="KA47" t="s">
        <v>1937</v>
      </c>
      <c r="KB47" t="s">
        <v>1937</v>
      </c>
      <c r="KC47" t="s">
        <v>1937</v>
      </c>
      <c r="KD47" t="s">
        <v>1937</v>
      </c>
      <c r="KE47" t="s">
        <v>1937</v>
      </c>
      <c r="KF47" t="s">
        <v>1937</v>
      </c>
      <c r="KG47" t="s">
        <v>1937</v>
      </c>
      <c r="KH47" t="s">
        <v>1937</v>
      </c>
      <c r="KI47" t="s">
        <v>1937</v>
      </c>
      <c r="KJ47" t="s">
        <v>1888</v>
      </c>
      <c r="KK47" t="s">
        <v>1937</v>
      </c>
      <c r="KL47" t="s">
        <v>1937</v>
      </c>
      <c r="KM47" t="s">
        <v>1937</v>
      </c>
      <c r="KN47" t="s">
        <v>2089</v>
      </c>
      <c r="KO47" t="s">
        <v>1937</v>
      </c>
      <c r="KP47" t="s">
        <v>1888</v>
      </c>
      <c r="KQ47" t="s">
        <v>1888</v>
      </c>
      <c r="KR47" t="s">
        <v>1937</v>
      </c>
      <c r="KS47" t="s">
        <v>1937</v>
      </c>
      <c r="KT47" t="s">
        <v>1937</v>
      </c>
      <c r="KU47" t="s">
        <v>1937</v>
      </c>
      <c r="KV47" t="s">
        <v>1937</v>
      </c>
      <c r="KW47" t="s">
        <v>1937</v>
      </c>
      <c r="KX47" t="s">
        <v>1937</v>
      </c>
      <c r="KY47" t="s">
        <v>1937</v>
      </c>
      <c r="KZ47" t="s">
        <v>1937</v>
      </c>
      <c r="LA47" t="s">
        <v>1937</v>
      </c>
      <c r="LB47" t="s">
        <v>1937</v>
      </c>
      <c r="LC47" t="s">
        <v>1937</v>
      </c>
      <c r="LD47" t="s">
        <v>1937</v>
      </c>
      <c r="LE47" t="s">
        <v>1937</v>
      </c>
      <c r="LF47" t="s">
        <v>1937</v>
      </c>
      <c r="LG47" t="s">
        <v>2089</v>
      </c>
      <c r="LH47" t="s">
        <v>2089</v>
      </c>
      <c r="LI47" t="s">
        <v>2089</v>
      </c>
      <c r="LJ47" t="s">
        <v>1937</v>
      </c>
      <c r="LK47" t="s">
        <v>2089</v>
      </c>
      <c r="LL47" t="s">
        <v>2089</v>
      </c>
      <c r="LM47" t="s">
        <v>1937</v>
      </c>
      <c r="LN47" t="s">
        <v>1937</v>
      </c>
      <c r="LO47" t="s">
        <v>2089</v>
      </c>
      <c r="LP47" t="s">
        <v>2089</v>
      </c>
      <c r="LQ47" t="s">
        <v>2089</v>
      </c>
      <c r="LR47" t="s">
        <v>2089</v>
      </c>
      <c r="LS47" t="s">
        <v>1888</v>
      </c>
      <c r="LT47" t="s">
        <v>1888</v>
      </c>
      <c r="LU47" t="s">
        <v>1937</v>
      </c>
      <c r="LV47" t="s">
        <v>1937</v>
      </c>
      <c r="LW47" t="s">
        <v>2089</v>
      </c>
      <c r="LX47" t="s">
        <v>1937</v>
      </c>
      <c r="LY47" t="s">
        <v>1937</v>
      </c>
      <c r="LZ47" t="s">
        <v>1937</v>
      </c>
      <c r="MA47" t="s">
        <v>1937</v>
      </c>
      <c r="MB47" t="s">
        <v>1937</v>
      </c>
      <c r="MC47" t="s">
        <v>1937</v>
      </c>
      <c r="MD47" t="s">
        <v>2089</v>
      </c>
      <c r="ME47" t="s">
        <v>1937</v>
      </c>
      <c r="MF47" t="s">
        <v>1937</v>
      </c>
      <c r="MG47" t="s">
        <v>2089</v>
      </c>
      <c r="MH47" t="s">
        <v>2089</v>
      </c>
      <c r="MI47" t="s">
        <v>2089</v>
      </c>
      <c r="MJ47" t="s">
        <v>1937</v>
      </c>
      <c r="MK47" t="s">
        <v>1937</v>
      </c>
      <c r="ML47" t="s">
        <v>1937</v>
      </c>
      <c r="MM47" t="s">
        <v>1937</v>
      </c>
      <c r="MN47" t="s">
        <v>1937</v>
      </c>
      <c r="MO47" t="s">
        <v>1937</v>
      </c>
      <c r="MP47" t="s">
        <v>1937</v>
      </c>
      <c r="MQ47" t="s">
        <v>1937</v>
      </c>
      <c r="MR47" t="s">
        <v>1937</v>
      </c>
      <c r="MS47" t="s">
        <v>1937</v>
      </c>
      <c r="MT47" t="s">
        <v>1937</v>
      </c>
      <c r="MU47" t="s">
        <v>1937</v>
      </c>
      <c r="MV47" t="s">
        <v>1937</v>
      </c>
      <c r="MW47" t="s">
        <v>1937</v>
      </c>
      <c r="MX47" t="s">
        <v>2089</v>
      </c>
      <c r="MY47" t="s">
        <v>1937</v>
      </c>
      <c r="MZ47" t="s">
        <v>2089</v>
      </c>
      <c r="NA47" t="s">
        <v>1937</v>
      </c>
      <c r="NB47" t="s">
        <v>1937</v>
      </c>
      <c r="NC47" t="s">
        <v>1937</v>
      </c>
      <c r="ND47" t="s">
        <v>1937</v>
      </c>
      <c r="NG47" t="s">
        <v>1937</v>
      </c>
      <c r="NH47" t="s">
        <v>1937</v>
      </c>
      <c r="NI47" t="s">
        <v>1937</v>
      </c>
      <c r="NJ47" t="s">
        <v>1937</v>
      </c>
      <c r="NK47" t="s">
        <v>1937</v>
      </c>
      <c r="NL47" t="s">
        <v>1937</v>
      </c>
      <c r="NM47" t="s">
        <v>1937</v>
      </c>
      <c r="NN47" t="s">
        <v>2089</v>
      </c>
      <c r="NR47" t="s">
        <v>1503</v>
      </c>
      <c r="NS47" t="s">
        <v>2087</v>
      </c>
      <c r="NX47" t="s">
        <v>2091</v>
      </c>
      <c r="NY47" t="s">
        <v>1885</v>
      </c>
    </row>
    <row r="48" spans="1:389" ht="15" customHeight="1" x14ac:dyDescent="0.25">
      <c r="A48" t="s">
        <v>2016</v>
      </c>
      <c r="B48" t="s">
        <v>2092</v>
      </c>
      <c r="C48" t="s">
        <v>1850</v>
      </c>
      <c r="D48" t="s">
        <v>1504</v>
      </c>
      <c r="G48" t="s">
        <v>2016</v>
      </c>
      <c r="H48" t="s">
        <v>2046</v>
      </c>
      <c r="I48" t="s">
        <v>2046</v>
      </c>
      <c r="J48" t="s">
        <v>2046</v>
      </c>
      <c r="K48" t="s">
        <v>2016</v>
      </c>
      <c r="L48" t="s">
        <v>2016</v>
      </c>
      <c r="M48" t="s">
        <v>2016</v>
      </c>
      <c r="N48" t="s">
        <v>2016</v>
      </c>
      <c r="O48" t="s">
        <v>2046</v>
      </c>
      <c r="P48" t="s">
        <v>2016</v>
      </c>
      <c r="Q48" t="s">
        <v>2046</v>
      </c>
      <c r="R48" t="s">
        <v>2016</v>
      </c>
      <c r="S48" t="s">
        <v>2016</v>
      </c>
      <c r="T48" t="s">
        <v>2046</v>
      </c>
      <c r="U48" t="s">
        <v>2046</v>
      </c>
      <c r="V48" t="s">
        <v>2046</v>
      </c>
      <c r="W48" t="s">
        <v>2046</v>
      </c>
      <c r="X48" t="s">
        <v>2046</v>
      </c>
      <c r="Y48" t="s">
        <v>2046</v>
      </c>
      <c r="AA48" t="s">
        <v>2046</v>
      </c>
      <c r="AB48" t="s">
        <v>2046</v>
      </c>
      <c r="AC48" t="s">
        <v>2046</v>
      </c>
      <c r="AD48" t="s">
        <v>2046</v>
      </c>
      <c r="AE48" t="s">
        <v>2046</v>
      </c>
      <c r="AF48" t="s">
        <v>2046</v>
      </c>
      <c r="AG48" t="s">
        <v>2046</v>
      </c>
      <c r="AH48" t="s">
        <v>2016</v>
      </c>
      <c r="AI48" t="s">
        <v>2046</v>
      </c>
      <c r="AJ48" t="s">
        <v>2046</v>
      </c>
      <c r="AK48" t="s">
        <v>2046</v>
      </c>
      <c r="AL48" t="s">
        <v>2046</v>
      </c>
      <c r="AM48" t="s">
        <v>2016</v>
      </c>
      <c r="AN48" t="s">
        <v>2046</v>
      </c>
      <c r="AO48" t="s">
        <v>2016</v>
      </c>
      <c r="AP48" t="s">
        <v>2016</v>
      </c>
      <c r="AQ48" t="s">
        <v>2016</v>
      </c>
      <c r="AR48" t="s">
        <v>2016</v>
      </c>
      <c r="AS48" t="s">
        <v>2046</v>
      </c>
      <c r="AT48" t="s">
        <v>2046</v>
      </c>
      <c r="AU48" t="s">
        <v>2046</v>
      </c>
      <c r="AV48" t="s">
        <v>2046</v>
      </c>
      <c r="AW48" t="s">
        <v>2046</v>
      </c>
      <c r="AX48" t="s">
        <v>2046</v>
      </c>
      <c r="AY48" t="s">
        <v>2046</v>
      </c>
      <c r="AZ48" t="s">
        <v>2046</v>
      </c>
      <c r="BA48" t="s">
        <v>2046</v>
      </c>
      <c r="BB48" t="s">
        <v>2046</v>
      </c>
      <c r="BC48" t="s">
        <v>2046</v>
      </c>
      <c r="BD48" t="s">
        <v>2046</v>
      </c>
      <c r="BE48" t="s">
        <v>2046</v>
      </c>
      <c r="BF48" t="s">
        <v>2046</v>
      </c>
      <c r="BG48" t="s">
        <v>2046</v>
      </c>
      <c r="BH48" t="s">
        <v>2046</v>
      </c>
      <c r="BI48" t="s">
        <v>2046</v>
      </c>
      <c r="BJ48" t="s">
        <v>2046</v>
      </c>
      <c r="BK48" t="s">
        <v>2046</v>
      </c>
      <c r="BL48" t="s">
        <v>2046</v>
      </c>
      <c r="BM48" t="s">
        <v>2046</v>
      </c>
      <c r="BN48" t="s">
        <v>2046</v>
      </c>
      <c r="BO48" t="s">
        <v>2046</v>
      </c>
      <c r="BP48" t="s">
        <v>2046</v>
      </c>
      <c r="BQ48" t="s">
        <v>2046</v>
      </c>
      <c r="BR48" t="s">
        <v>2046</v>
      </c>
      <c r="BS48" t="s">
        <v>2046</v>
      </c>
      <c r="BT48" t="s">
        <v>2046</v>
      </c>
      <c r="BU48" t="s">
        <v>2046</v>
      </c>
      <c r="BV48" t="s">
        <v>2046</v>
      </c>
      <c r="BW48" t="s">
        <v>2046</v>
      </c>
      <c r="BX48" t="s">
        <v>2046</v>
      </c>
      <c r="BY48" t="s">
        <v>2046</v>
      </c>
      <c r="BZ48" t="s">
        <v>2016</v>
      </c>
      <c r="CA48" t="s">
        <v>2016</v>
      </c>
      <c r="CB48" t="s">
        <v>2046</v>
      </c>
      <c r="CC48" t="s">
        <v>2046</v>
      </c>
      <c r="CD48" t="s">
        <v>2046</v>
      </c>
      <c r="CE48" t="s">
        <v>2016</v>
      </c>
      <c r="CF48" t="s">
        <v>2046</v>
      </c>
      <c r="CG48" t="s">
        <v>2046</v>
      </c>
      <c r="CH48" t="s">
        <v>2046</v>
      </c>
      <c r="CI48" t="s">
        <v>2046</v>
      </c>
      <c r="CJ48" t="s">
        <v>2046</v>
      </c>
      <c r="CK48" t="s">
        <v>2016</v>
      </c>
      <c r="CL48" t="s">
        <v>2016</v>
      </c>
      <c r="CM48" t="s">
        <v>2016</v>
      </c>
      <c r="CN48" t="s">
        <v>2016</v>
      </c>
      <c r="CO48" t="s">
        <v>2016</v>
      </c>
      <c r="CP48" t="s">
        <v>2016</v>
      </c>
      <c r="CQ48" t="s">
        <v>2016</v>
      </c>
      <c r="CR48" t="s">
        <v>2016</v>
      </c>
      <c r="CS48" t="s">
        <v>2046</v>
      </c>
      <c r="CT48" t="s">
        <v>2046</v>
      </c>
      <c r="CU48" t="s">
        <v>2016</v>
      </c>
      <c r="CV48" t="s">
        <v>2046</v>
      </c>
      <c r="CW48" t="s">
        <v>2046</v>
      </c>
      <c r="CX48" t="s">
        <v>2046</v>
      </c>
      <c r="CY48" t="s">
        <v>2046</v>
      </c>
      <c r="CZ48" t="s">
        <v>2016</v>
      </c>
      <c r="DA48" t="s">
        <v>2016</v>
      </c>
      <c r="DB48" t="s">
        <v>2016</v>
      </c>
      <c r="DC48" t="s">
        <v>2016</v>
      </c>
      <c r="DD48" t="s">
        <v>2046</v>
      </c>
      <c r="DE48" t="s">
        <v>2046</v>
      </c>
      <c r="DF48" t="s">
        <v>2046</v>
      </c>
      <c r="DG48" t="s">
        <v>2046</v>
      </c>
      <c r="DH48" t="s">
        <v>2046</v>
      </c>
      <c r="DI48" t="s">
        <v>2046</v>
      </c>
      <c r="DJ48" t="s">
        <v>2016</v>
      </c>
      <c r="DK48" t="s">
        <v>2016</v>
      </c>
      <c r="DL48" t="s">
        <v>2046</v>
      </c>
      <c r="DM48" t="s">
        <v>2046</v>
      </c>
      <c r="DN48" t="s">
        <v>2046</v>
      </c>
      <c r="DO48" t="s">
        <v>2016</v>
      </c>
      <c r="DP48" t="s">
        <v>2016</v>
      </c>
      <c r="DQ48" t="s">
        <v>2016</v>
      </c>
      <c r="DR48" t="s">
        <v>2016</v>
      </c>
      <c r="DS48" t="s">
        <v>2046</v>
      </c>
      <c r="DT48" t="s">
        <v>2016</v>
      </c>
      <c r="DU48" t="s">
        <v>2016</v>
      </c>
      <c r="DV48" t="s">
        <v>2016</v>
      </c>
      <c r="DW48" t="s">
        <v>2046</v>
      </c>
      <c r="DX48" t="s">
        <v>2046</v>
      </c>
      <c r="DY48" t="s">
        <v>2046</v>
      </c>
      <c r="DZ48" t="s">
        <v>2046</v>
      </c>
      <c r="EA48" t="s">
        <v>2016</v>
      </c>
      <c r="EB48" t="s">
        <v>2016</v>
      </c>
      <c r="EC48" t="s">
        <v>2016</v>
      </c>
      <c r="ED48" t="s">
        <v>2046</v>
      </c>
      <c r="EE48" t="s">
        <v>2046</v>
      </c>
      <c r="EF48" t="s">
        <v>2046</v>
      </c>
      <c r="EG48" t="s">
        <v>2016</v>
      </c>
      <c r="EH48" t="s">
        <v>2016</v>
      </c>
      <c r="EI48" t="s">
        <v>2016</v>
      </c>
      <c r="EJ48" t="s">
        <v>2016</v>
      </c>
      <c r="EK48" t="s">
        <v>2016</v>
      </c>
      <c r="EL48" t="s">
        <v>2016</v>
      </c>
      <c r="EM48" t="s">
        <v>2046</v>
      </c>
      <c r="EN48" t="s">
        <v>2046</v>
      </c>
      <c r="EO48" t="s">
        <v>2046</v>
      </c>
      <c r="ET48" t="s">
        <v>2046</v>
      </c>
      <c r="EU48" t="s">
        <v>2046</v>
      </c>
      <c r="EV48" t="s">
        <v>2046</v>
      </c>
      <c r="EW48" t="s">
        <v>2046</v>
      </c>
      <c r="EX48" t="s">
        <v>1851</v>
      </c>
      <c r="EY48" t="s">
        <v>2016</v>
      </c>
      <c r="EZ48" t="s">
        <v>2046</v>
      </c>
      <c r="FA48" t="s">
        <v>2016</v>
      </c>
      <c r="FB48" t="s">
        <v>2016</v>
      </c>
      <c r="FC48" t="s">
        <v>2016</v>
      </c>
      <c r="FD48" t="s">
        <v>2046</v>
      </c>
      <c r="FE48" t="s">
        <v>2046</v>
      </c>
      <c r="FF48" t="s">
        <v>2016</v>
      </c>
      <c r="FG48" t="s">
        <v>2016</v>
      </c>
      <c r="FH48" t="s">
        <v>2016</v>
      </c>
      <c r="FI48" t="s">
        <v>2016</v>
      </c>
      <c r="FJ48" t="s">
        <v>1851</v>
      </c>
      <c r="FK48" t="s">
        <v>2046</v>
      </c>
      <c r="FL48" t="s">
        <v>2046</v>
      </c>
      <c r="FM48" t="s">
        <v>2046</v>
      </c>
      <c r="FN48" t="s">
        <v>2046</v>
      </c>
      <c r="FO48" t="s">
        <v>2046</v>
      </c>
      <c r="FP48" t="s">
        <v>2046</v>
      </c>
      <c r="FQ48" t="s">
        <v>2046</v>
      </c>
      <c r="FR48" t="s">
        <v>2046</v>
      </c>
      <c r="FS48" t="s">
        <v>2046</v>
      </c>
      <c r="FT48" t="s">
        <v>2046</v>
      </c>
      <c r="FU48" t="s">
        <v>2046</v>
      </c>
      <c r="FV48" t="s">
        <v>2046</v>
      </c>
      <c r="FW48" t="s">
        <v>2046</v>
      </c>
      <c r="FX48" t="s">
        <v>2046</v>
      </c>
      <c r="FY48" t="s">
        <v>2016</v>
      </c>
      <c r="FZ48" t="s">
        <v>2016</v>
      </c>
      <c r="GA48" t="s">
        <v>2016</v>
      </c>
      <c r="GB48" t="s">
        <v>2046</v>
      </c>
      <c r="GC48" t="s">
        <v>2046</v>
      </c>
      <c r="GD48" t="s">
        <v>2046</v>
      </c>
      <c r="GE48" t="s">
        <v>2046</v>
      </c>
      <c r="GF48" t="s">
        <v>2046</v>
      </c>
      <c r="GG48" t="s">
        <v>2046</v>
      </c>
      <c r="GH48" t="s">
        <v>2046</v>
      </c>
      <c r="GI48" t="s">
        <v>2046</v>
      </c>
      <c r="GJ48" t="s">
        <v>2046</v>
      </c>
      <c r="GK48" t="s">
        <v>2046</v>
      </c>
      <c r="GL48" t="s">
        <v>2046</v>
      </c>
      <c r="GM48" t="s">
        <v>2046</v>
      </c>
      <c r="GN48" t="s">
        <v>2046</v>
      </c>
      <c r="GO48" t="s">
        <v>2046</v>
      </c>
      <c r="GP48" t="s">
        <v>2046</v>
      </c>
      <c r="GQ48" t="s">
        <v>2046</v>
      </c>
      <c r="GR48" t="s">
        <v>2046</v>
      </c>
      <c r="GS48" t="s">
        <v>2046</v>
      </c>
      <c r="GT48" t="s">
        <v>2046</v>
      </c>
      <c r="GU48" t="s">
        <v>2046</v>
      </c>
      <c r="GV48" t="s">
        <v>2046</v>
      </c>
      <c r="GW48" t="s">
        <v>2046</v>
      </c>
      <c r="GX48" t="s">
        <v>2046</v>
      </c>
      <c r="GY48" t="s">
        <v>2046</v>
      </c>
      <c r="GZ48" t="s">
        <v>2046</v>
      </c>
      <c r="HA48" t="s">
        <v>2046</v>
      </c>
      <c r="HB48" t="s">
        <v>2046</v>
      </c>
      <c r="HC48" t="s">
        <v>1851</v>
      </c>
      <c r="HD48" t="s">
        <v>2016</v>
      </c>
      <c r="HE48" t="s">
        <v>1851</v>
      </c>
      <c r="HF48" t="s">
        <v>2016</v>
      </c>
      <c r="HG48" t="s">
        <v>2046</v>
      </c>
      <c r="HH48" t="s">
        <v>1851</v>
      </c>
      <c r="HI48" t="s">
        <v>1851</v>
      </c>
      <c r="HJ48" t="s">
        <v>2046</v>
      </c>
      <c r="HK48" t="s">
        <v>2046</v>
      </c>
      <c r="HL48" t="s">
        <v>2046</v>
      </c>
      <c r="HM48" t="s">
        <v>1851</v>
      </c>
      <c r="HN48" t="s">
        <v>2046</v>
      </c>
      <c r="HO48" t="s">
        <v>2016</v>
      </c>
      <c r="HP48" t="s">
        <v>1851</v>
      </c>
      <c r="HQ48" t="s">
        <v>2016</v>
      </c>
      <c r="HR48" t="s">
        <v>2016</v>
      </c>
      <c r="HS48" t="s">
        <v>2016</v>
      </c>
      <c r="HT48" t="s">
        <v>2046</v>
      </c>
      <c r="HU48" t="s">
        <v>2046</v>
      </c>
      <c r="HV48" t="s">
        <v>2046</v>
      </c>
      <c r="HW48" t="s">
        <v>2046</v>
      </c>
      <c r="HX48" t="s">
        <v>2046</v>
      </c>
      <c r="HY48" t="s">
        <v>2046</v>
      </c>
      <c r="HZ48" t="s">
        <v>1851</v>
      </c>
      <c r="IA48" t="s">
        <v>2046</v>
      </c>
      <c r="IB48" t="s">
        <v>2046</v>
      </c>
      <c r="IC48" t="s">
        <v>1851</v>
      </c>
      <c r="ID48" t="s">
        <v>2046</v>
      </c>
      <c r="IE48" t="s">
        <v>2046</v>
      </c>
      <c r="IF48" t="s">
        <v>2016</v>
      </c>
      <c r="IG48" t="s">
        <v>2016</v>
      </c>
      <c r="IH48" t="s">
        <v>2016</v>
      </c>
      <c r="II48" t="s">
        <v>2016</v>
      </c>
      <c r="IJ48" t="s">
        <v>2016</v>
      </c>
      <c r="IK48" t="s">
        <v>2046</v>
      </c>
      <c r="IL48" t="s">
        <v>1851</v>
      </c>
      <c r="IM48" t="s">
        <v>2046</v>
      </c>
      <c r="IN48" t="s">
        <v>2046</v>
      </c>
      <c r="IO48" t="s">
        <v>2016</v>
      </c>
      <c r="IP48" t="s">
        <v>2046</v>
      </c>
      <c r="IQ48" t="s">
        <v>2046</v>
      </c>
      <c r="IR48" t="s">
        <v>1851</v>
      </c>
      <c r="IS48" t="s">
        <v>2046</v>
      </c>
      <c r="IT48" t="s">
        <v>2046</v>
      </c>
      <c r="IU48" t="s">
        <v>2046</v>
      </c>
      <c r="IV48" t="s">
        <v>2046</v>
      </c>
      <c r="IW48" t="s">
        <v>2046</v>
      </c>
      <c r="IX48" t="s">
        <v>2046</v>
      </c>
      <c r="IY48" t="s">
        <v>2046</v>
      </c>
      <c r="IZ48" t="s">
        <v>2046</v>
      </c>
      <c r="JA48" t="s">
        <v>2046</v>
      </c>
      <c r="JB48" t="s">
        <v>2016</v>
      </c>
      <c r="JC48" t="s">
        <v>2046</v>
      </c>
      <c r="JD48" t="s">
        <v>2046</v>
      </c>
      <c r="JE48" t="s">
        <v>2046</v>
      </c>
      <c r="JF48" t="s">
        <v>2046</v>
      </c>
      <c r="JG48" t="s">
        <v>2046</v>
      </c>
      <c r="JH48" t="s">
        <v>2046</v>
      </c>
      <c r="JI48" t="s">
        <v>2046</v>
      </c>
      <c r="JJ48" t="s">
        <v>2046</v>
      </c>
      <c r="JK48" t="s">
        <v>1851</v>
      </c>
      <c r="JL48" t="s">
        <v>2016</v>
      </c>
      <c r="JM48" t="s">
        <v>2046</v>
      </c>
      <c r="JN48" t="s">
        <v>2046</v>
      </c>
      <c r="JO48" t="s">
        <v>1851</v>
      </c>
      <c r="JP48" t="s">
        <v>1851</v>
      </c>
      <c r="JQ48" t="s">
        <v>2046</v>
      </c>
      <c r="JR48" t="s">
        <v>2046</v>
      </c>
      <c r="JS48" t="s">
        <v>1851</v>
      </c>
      <c r="JT48" t="s">
        <v>2016</v>
      </c>
      <c r="JU48" t="s">
        <v>1851</v>
      </c>
      <c r="JV48" t="s">
        <v>2016</v>
      </c>
      <c r="JW48" t="s">
        <v>2046</v>
      </c>
      <c r="JX48" t="s">
        <v>2046</v>
      </c>
      <c r="JY48" t="s">
        <v>2046</v>
      </c>
      <c r="JZ48" t="s">
        <v>2016</v>
      </c>
      <c r="KA48" t="s">
        <v>2046</v>
      </c>
      <c r="KB48" t="s">
        <v>2046</v>
      </c>
      <c r="KC48" t="s">
        <v>2046</v>
      </c>
      <c r="KD48" t="s">
        <v>2046</v>
      </c>
      <c r="KE48" t="s">
        <v>2046</v>
      </c>
      <c r="KF48" t="s">
        <v>2046</v>
      </c>
      <c r="KG48" t="s">
        <v>2046</v>
      </c>
      <c r="KH48" t="s">
        <v>2046</v>
      </c>
      <c r="KI48" t="s">
        <v>2046</v>
      </c>
      <c r="KJ48" t="s">
        <v>1851</v>
      </c>
      <c r="KK48" t="s">
        <v>2046</v>
      </c>
      <c r="KL48" t="s">
        <v>2046</v>
      </c>
      <c r="KM48" t="s">
        <v>2046</v>
      </c>
      <c r="KN48" t="s">
        <v>2016</v>
      </c>
      <c r="KO48" t="s">
        <v>2046</v>
      </c>
      <c r="KP48" t="s">
        <v>1851</v>
      </c>
      <c r="KQ48" t="s">
        <v>1851</v>
      </c>
      <c r="KR48" t="s">
        <v>2046</v>
      </c>
      <c r="KS48" t="s">
        <v>2046</v>
      </c>
      <c r="KT48" t="s">
        <v>2046</v>
      </c>
      <c r="KU48" t="s">
        <v>2046</v>
      </c>
      <c r="KV48" t="s">
        <v>2046</v>
      </c>
      <c r="KW48" t="s">
        <v>2046</v>
      </c>
      <c r="KX48" t="s">
        <v>2046</v>
      </c>
      <c r="KY48" t="s">
        <v>2046</v>
      </c>
      <c r="KZ48" t="s">
        <v>2046</v>
      </c>
      <c r="LA48" t="s">
        <v>2046</v>
      </c>
      <c r="LB48" t="s">
        <v>2046</v>
      </c>
      <c r="LC48" t="s">
        <v>2046</v>
      </c>
      <c r="LD48" t="s">
        <v>2046</v>
      </c>
      <c r="LE48" t="s">
        <v>2046</v>
      </c>
      <c r="LF48" t="s">
        <v>2046</v>
      </c>
      <c r="LG48" t="s">
        <v>2016</v>
      </c>
      <c r="LH48" t="s">
        <v>2016</v>
      </c>
      <c r="LI48" t="s">
        <v>2016</v>
      </c>
      <c r="LJ48" t="s">
        <v>2046</v>
      </c>
      <c r="LK48" t="s">
        <v>2016</v>
      </c>
      <c r="LL48" t="s">
        <v>2016</v>
      </c>
      <c r="LM48" t="s">
        <v>2046</v>
      </c>
      <c r="LN48" t="s">
        <v>2046</v>
      </c>
      <c r="LO48" t="s">
        <v>2016</v>
      </c>
      <c r="LP48" t="s">
        <v>2016</v>
      </c>
      <c r="LQ48" t="s">
        <v>2016</v>
      </c>
      <c r="LR48" t="s">
        <v>2016</v>
      </c>
      <c r="LS48" t="s">
        <v>1851</v>
      </c>
      <c r="LT48" t="s">
        <v>1851</v>
      </c>
      <c r="LU48" t="s">
        <v>2046</v>
      </c>
      <c r="LV48" t="s">
        <v>2046</v>
      </c>
      <c r="LW48" t="s">
        <v>2016</v>
      </c>
      <c r="LX48" t="s">
        <v>2046</v>
      </c>
      <c r="LY48" t="s">
        <v>2046</v>
      </c>
      <c r="LZ48" t="s">
        <v>2046</v>
      </c>
      <c r="MA48" t="s">
        <v>2046</v>
      </c>
      <c r="MB48" t="s">
        <v>2046</v>
      </c>
      <c r="MC48" t="s">
        <v>2046</v>
      </c>
      <c r="MD48" t="s">
        <v>2016</v>
      </c>
      <c r="ME48" t="s">
        <v>2046</v>
      </c>
      <c r="MF48" t="s">
        <v>2046</v>
      </c>
      <c r="MG48" t="s">
        <v>2016</v>
      </c>
      <c r="MH48" t="s">
        <v>2016</v>
      </c>
      <c r="MI48" t="s">
        <v>2016</v>
      </c>
      <c r="MJ48" t="s">
        <v>2046</v>
      </c>
      <c r="MK48" t="s">
        <v>2046</v>
      </c>
      <c r="ML48" t="s">
        <v>2046</v>
      </c>
      <c r="MM48" t="s">
        <v>2046</v>
      </c>
      <c r="MN48" t="s">
        <v>2046</v>
      </c>
      <c r="MO48" t="s">
        <v>2046</v>
      </c>
      <c r="MP48" t="s">
        <v>2046</v>
      </c>
      <c r="MQ48" t="s">
        <v>2046</v>
      </c>
      <c r="MR48" t="s">
        <v>2046</v>
      </c>
      <c r="MS48" t="s">
        <v>2046</v>
      </c>
      <c r="MT48" t="s">
        <v>2046</v>
      </c>
      <c r="MU48" t="s">
        <v>2046</v>
      </c>
      <c r="MV48" t="s">
        <v>2046</v>
      </c>
      <c r="MW48" t="s">
        <v>2046</v>
      </c>
      <c r="MX48" t="s">
        <v>2016</v>
      </c>
      <c r="MY48" t="s">
        <v>2046</v>
      </c>
      <c r="MZ48" t="s">
        <v>2016</v>
      </c>
      <c r="NA48" t="s">
        <v>2046</v>
      </c>
      <c r="NB48" t="s">
        <v>2046</v>
      </c>
      <c r="NC48" t="s">
        <v>2046</v>
      </c>
      <c r="ND48" t="s">
        <v>2046</v>
      </c>
      <c r="NG48" t="s">
        <v>2046</v>
      </c>
      <c r="NH48" t="s">
        <v>2046</v>
      </c>
      <c r="NI48" t="s">
        <v>2046</v>
      </c>
      <c r="NJ48" t="s">
        <v>2046</v>
      </c>
      <c r="NK48" t="s">
        <v>2046</v>
      </c>
      <c r="NL48" t="s">
        <v>2046</v>
      </c>
      <c r="NM48" t="s">
        <v>2046</v>
      </c>
      <c r="NN48" t="s">
        <v>2016</v>
      </c>
      <c r="NR48" t="s">
        <v>1504</v>
      </c>
      <c r="NS48" t="s">
        <v>2093</v>
      </c>
      <c r="NX48" t="s">
        <v>2094</v>
      </c>
      <c r="NY48" t="s">
        <v>1885</v>
      </c>
    </row>
    <row r="49" spans="1:389" ht="15" customHeight="1" x14ac:dyDescent="0.25">
      <c r="A49" t="s">
        <v>2020</v>
      </c>
      <c r="B49" t="s">
        <v>2095</v>
      </c>
      <c r="C49" t="s">
        <v>1850</v>
      </c>
      <c r="D49" t="s">
        <v>1505</v>
      </c>
      <c r="G49" t="s">
        <v>2020</v>
      </c>
      <c r="H49" t="s">
        <v>2049</v>
      </c>
      <c r="I49" t="s">
        <v>2049</v>
      </c>
      <c r="J49" t="s">
        <v>2049</v>
      </c>
      <c r="K49" t="s">
        <v>2020</v>
      </c>
      <c r="L49" t="s">
        <v>2020</v>
      </c>
      <c r="M49" t="s">
        <v>2020</v>
      </c>
      <c r="N49" t="s">
        <v>2020</v>
      </c>
      <c r="O49" t="s">
        <v>2049</v>
      </c>
      <c r="P49" t="s">
        <v>2020</v>
      </c>
      <c r="Q49" t="s">
        <v>2049</v>
      </c>
      <c r="R49" t="s">
        <v>2020</v>
      </c>
      <c r="S49" t="s">
        <v>2020</v>
      </c>
      <c r="T49" t="s">
        <v>2049</v>
      </c>
      <c r="U49" t="s">
        <v>2049</v>
      </c>
      <c r="V49" t="s">
        <v>2049</v>
      </c>
      <c r="W49" t="s">
        <v>2049</v>
      </c>
      <c r="X49" t="s">
        <v>2049</v>
      </c>
      <c r="Y49" t="s">
        <v>2049</v>
      </c>
      <c r="AA49" t="s">
        <v>2049</v>
      </c>
      <c r="AB49" t="s">
        <v>2049</v>
      </c>
      <c r="AC49" t="s">
        <v>2049</v>
      </c>
      <c r="AD49" t="s">
        <v>2049</v>
      </c>
      <c r="AE49" t="s">
        <v>2049</v>
      </c>
      <c r="AF49" t="s">
        <v>2049</v>
      </c>
      <c r="AG49" t="s">
        <v>2049</v>
      </c>
      <c r="AH49" t="s">
        <v>2020</v>
      </c>
      <c r="AI49" t="s">
        <v>2049</v>
      </c>
      <c r="AJ49" t="s">
        <v>2049</v>
      </c>
      <c r="AK49" t="s">
        <v>2049</v>
      </c>
      <c r="AL49" t="s">
        <v>2049</v>
      </c>
      <c r="AM49" t="s">
        <v>2020</v>
      </c>
      <c r="AN49" t="s">
        <v>2049</v>
      </c>
      <c r="AO49" t="s">
        <v>2020</v>
      </c>
      <c r="AP49" t="s">
        <v>2020</v>
      </c>
      <c r="AQ49" t="s">
        <v>2020</v>
      </c>
      <c r="AR49" t="s">
        <v>2020</v>
      </c>
      <c r="AS49" t="s">
        <v>2049</v>
      </c>
      <c r="AT49" t="s">
        <v>2049</v>
      </c>
      <c r="AU49" t="s">
        <v>2049</v>
      </c>
      <c r="AV49" t="s">
        <v>2049</v>
      </c>
      <c r="AW49" t="s">
        <v>2049</v>
      </c>
      <c r="AX49" t="s">
        <v>2049</v>
      </c>
      <c r="AY49" t="s">
        <v>2049</v>
      </c>
      <c r="AZ49" t="s">
        <v>2049</v>
      </c>
      <c r="BA49" t="s">
        <v>2049</v>
      </c>
      <c r="BB49" t="s">
        <v>2049</v>
      </c>
      <c r="BC49" t="s">
        <v>2049</v>
      </c>
      <c r="BD49" t="s">
        <v>2049</v>
      </c>
      <c r="BE49" t="s">
        <v>2049</v>
      </c>
      <c r="BF49" t="s">
        <v>2049</v>
      </c>
      <c r="BG49" t="s">
        <v>2049</v>
      </c>
      <c r="BH49" t="s">
        <v>2049</v>
      </c>
      <c r="BI49" t="s">
        <v>2049</v>
      </c>
      <c r="BJ49" t="s">
        <v>2049</v>
      </c>
      <c r="BK49" t="s">
        <v>2049</v>
      </c>
      <c r="BL49" t="s">
        <v>2049</v>
      </c>
      <c r="BM49" t="s">
        <v>2049</v>
      </c>
      <c r="BN49" t="s">
        <v>2049</v>
      </c>
      <c r="BO49" t="s">
        <v>2049</v>
      </c>
      <c r="BP49" t="s">
        <v>2049</v>
      </c>
      <c r="BQ49" t="s">
        <v>2049</v>
      </c>
      <c r="BR49" t="s">
        <v>2049</v>
      </c>
      <c r="BS49" t="s">
        <v>2049</v>
      </c>
      <c r="BT49" t="s">
        <v>2049</v>
      </c>
      <c r="BU49" t="s">
        <v>2049</v>
      </c>
      <c r="BV49" t="s">
        <v>2049</v>
      </c>
      <c r="BW49" t="s">
        <v>2049</v>
      </c>
      <c r="BX49" t="s">
        <v>2049</v>
      </c>
      <c r="BY49" t="s">
        <v>2049</v>
      </c>
      <c r="BZ49" t="s">
        <v>2020</v>
      </c>
      <c r="CA49" t="s">
        <v>2020</v>
      </c>
      <c r="CB49" t="s">
        <v>2049</v>
      </c>
      <c r="CC49" t="s">
        <v>2049</v>
      </c>
      <c r="CD49" t="s">
        <v>2049</v>
      </c>
      <c r="CE49" t="s">
        <v>2020</v>
      </c>
      <c r="CF49" t="s">
        <v>2049</v>
      </c>
      <c r="CG49" t="s">
        <v>2049</v>
      </c>
      <c r="CH49" t="s">
        <v>2049</v>
      </c>
      <c r="CI49" t="s">
        <v>2049</v>
      </c>
      <c r="CJ49" t="s">
        <v>2049</v>
      </c>
      <c r="CK49" t="s">
        <v>2020</v>
      </c>
      <c r="CL49" t="s">
        <v>2020</v>
      </c>
      <c r="CM49" t="s">
        <v>2020</v>
      </c>
      <c r="CN49" t="s">
        <v>2020</v>
      </c>
      <c r="CO49" t="s">
        <v>2020</v>
      </c>
      <c r="CP49" t="s">
        <v>2020</v>
      </c>
      <c r="CQ49" t="s">
        <v>2020</v>
      </c>
      <c r="CR49" t="s">
        <v>2020</v>
      </c>
      <c r="CS49" t="s">
        <v>2049</v>
      </c>
      <c r="CT49" t="s">
        <v>2049</v>
      </c>
      <c r="CU49" t="s">
        <v>2020</v>
      </c>
      <c r="CV49" t="s">
        <v>2049</v>
      </c>
      <c r="CW49" t="s">
        <v>2049</v>
      </c>
      <c r="CX49" t="s">
        <v>2049</v>
      </c>
      <c r="CY49" t="s">
        <v>2049</v>
      </c>
      <c r="CZ49" t="s">
        <v>2020</v>
      </c>
      <c r="DA49" t="s">
        <v>2020</v>
      </c>
      <c r="DB49" t="s">
        <v>2020</v>
      </c>
      <c r="DC49" t="s">
        <v>2020</v>
      </c>
      <c r="DD49" t="s">
        <v>2049</v>
      </c>
      <c r="DE49" t="s">
        <v>2049</v>
      </c>
      <c r="DF49" t="s">
        <v>2049</v>
      </c>
      <c r="DG49" t="s">
        <v>2049</v>
      </c>
      <c r="DH49" t="s">
        <v>2049</v>
      </c>
      <c r="DI49" t="s">
        <v>2049</v>
      </c>
      <c r="DJ49" t="s">
        <v>2020</v>
      </c>
      <c r="DK49" t="s">
        <v>2020</v>
      </c>
      <c r="DL49" t="s">
        <v>2049</v>
      </c>
      <c r="DM49" t="s">
        <v>2049</v>
      </c>
      <c r="DN49" t="s">
        <v>2049</v>
      </c>
      <c r="DO49" t="s">
        <v>2020</v>
      </c>
      <c r="DP49" t="s">
        <v>2020</v>
      </c>
      <c r="DQ49" t="s">
        <v>2020</v>
      </c>
      <c r="DR49" t="s">
        <v>2020</v>
      </c>
      <c r="DS49" t="s">
        <v>2049</v>
      </c>
      <c r="DT49" t="s">
        <v>2020</v>
      </c>
      <c r="DU49" t="s">
        <v>2020</v>
      </c>
      <c r="DV49" t="s">
        <v>2020</v>
      </c>
      <c r="DW49" t="s">
        <v>2049</v>
      </c>
      <c r="DX49" t="s">
        <v>2049</v>
      </c>
      <c r="DY49" t="s">
        <v>2049</v>
      </c>
      <c r="DZ49" t="s">
        <v>2049</v>
      </c>
      <c r="EA49" t="s">
        <v>2020</v>
      </c>
      <c r="EB49" t="s">
        <v>2020</v>
      </c>
      <c r="EC49" t="s">
        <v>2020</v>
      </c>
      <c r="ED49" t="s">
        <v>2049</v>
      </c>
      <c r="EE49" t="s">
        <v>2049</v>
      </c>
      <c r="EF49" t="s">
        <v>2049</v>
      </c>
      <c r="EG49" t="s">
        <v>2020</v>
      </c>
      <c r="EH49" t="s">
        <v>2020</v>
      </c>
      <c r="EI49" t="s">
        <v>2020</v>
      </c>
      <c r="EJ49" t="s">
        <v>2020</v>
      </c>
      <c r="EK49" t="s">
        <v>2020</v>
      </c>
      <c r="EL49" t="s">
        <v>2020</v>
      </c>
      <c r="EM49" t="s">
        <v>2049</v>
      </c>
      <c r="EN49" t="s">
        <v>2049</v>
      </c>
      <c r="EO49" t="s">
        <v>2049</v>
      </c>
      <c r="ET49" t="s">
        <v>2049</v>
      </c>
      <c r="EU49" t="s">
        <v>2049</v>
      </c>
      <c r="EV49" t="s">
        <v>2049</v>
      </c>
      <c r="EW49" t="s">
        <v>2049</v>
      </c>
      <c r="EX49" t="s">
        <v>1937</v>
      </c>
      <c r="EY49" t="s">
        <v>2020</v>
      </c>
      <c r="EZ49" t="s">
        <v>2049</v>
      </c>
      <c r="FA49" t="s">
        <v>2020</v>
      </c>
      <c r="FB49" t="s">
        <v>2020</v>
      </c>
      <c r="FC49" t="s">
        <v>2020</v>
      </c>
      <c r="FD49" t="s">
        <v>2049</v>
      </c>
      <c r="FE49" t="s">
        <v>2049</v>
      </c>
      <c r="FF49" t="s">
        <v>2020</v>
      </c>
      <c r="FG49" t="s">
        <v>2020</v>
      </c>
      <c r="FH49" t="s">
        <v>2020</v>
      </c>
      <c r="FI49" t="s">
        <v>2020</v>
      </c>
      <c r="FJ49" t="s">
        <v>1937</v>
      </c>
      <c r="FK49" t="s">
        <v>2049</v>
      </c>
      <c r="FL49" t="s">
        <v>2049</v>
      </c>
      <c r="FM49" t="s">
        <v>2049</v>
      </c>
      <c r="FN49" t="s">
        <v>2049</v>
      </c>
      <c r="FO49" t="s">
        <v>2049</v>
      </c>
      <c r="FP49" t="s">
        <v>2049</v>
      </c>
      <c r="FQ49" t="s">
        <v>2049</v>
      </c>
      <c r="FR49" t="s">
        <v>2049</v>
      </c>
      <c r="FS49" t="s">
        <v>2049</v>
      </c>
      <c r="FT49" t="s">
        <v>2049</v>
      </c>
      <c r="FU49" t="s">
        <v>2049</v>
      </c>
      <c r="FV49" t="s">
        <v>2049</v>
      </c>
      <c r="FW49" t="s">
        <v>2049</v>
      </c>
      <c r="FX49" t="s">
        <v>2049</v>
      </c>
      <c r="FY49" t="s">
        <v>2020</v>
      </c>
      <c r="FZ49" t="s">
        <v>2020</v>
      </c>
      <c r="GA49" t="s">
        <v>2020</v>
      </c>
      <c r="GB49" t="s">
        <v>2049</v>
      </c>
      <c r="GC49" t="s">
        <v>2049</v>
      </c>
      <c r="GD49" t="s">
        <v>2049</v>
      </c>
      <c r="GE49" t="s">
        <v>2049</v>
      </c>
      <c r="GF49" t="s">
        <v>2049</v>
      </c>
      <c r="GG49" t="s">
        <v>2049</v>
      </c>
      <c r="GH49" t="s">
        <v>2049</v>
      </c>
      <c r="GI49" t="s">
        <v>2049</v>
      </c>
      <c r="GJ49" t="s">
        <v>2049</v>
      </c>
      <c r="GK49" t="s">
        <v>2049</v>
      </c>
      <c r="GL49" t="s">
        <v>2049</v>
      </c>
      <c r="GM49" t="s">
        <v>2049</v>
      </c>
      <c r="GN49" t="s">
        <v>2049</v>
      </c>
      <c r="GO49" t="s">
        <v>2049</v>
      </c>
      <c r="GP49" t="s">
        <v>2049</v>
      </c>
      <c r="GQ49" t="s">
        <v>2049</v>
      </c>
      <c r="GR49" t="s">
        <v>2049</v>
      </c>
      <c r="GS49" t="s">
        <v>2049</v>
      </c>
      <c r="GT49" t="s">
        <v>2049</v>
      </c>
      <c r="GU49" t="s">
        <v>2049</v>
      </c>
      <c r="GV49" t="s">
        <v>2049</v>
      </c>
      <c r="GW49" t="s">
        <v>2049</v>
      </c>
      <c r="GX49" t="s">
        <v>2049</v>
      </c>
      <c r="GY49" t="s">
        <v>2049</v>
      </c>
      <c r="GZ49" t="s">
        <v>2049</v>
      </c>
      <c r="HA49" t="s">
        <v>2049</v>
      </c>
      <c r="HB49" t="s">
        <v>2049</v>
      </c>
      <c r="HC49" t="s">
        <v>1937</v>
      </c>
      <c r="HD49" t="s">
        <v>2020</v>
      </c>
      <c r="HE49" t="s">
        <v>1937</v>
      </c>
      <c r="HF49" t="s">
        <v>2020</v>
      </c>
      <c r="HG49" t="s">
        <v>2049</v>
      </c>
      <c r="HH49" t="s">
        <v>1937</v>
      </c>
      <c r="HI49" t="s">
        <v>1937</v>
      </c>
      <c r="HJ49" t="s">
        <v>2049</v>
      </c>
      <c r="HK49" t="s">
        <v>2049</v>
      </c>
      <c r="HL49" t="s">
        <v>2049</v>
      </c>
      <c r="HM49" t="s">
        <v>1937</v>
      </c>
      <c r="HN49" t="s">
        <v>2049</v>
      </c>
      <c r="HO49" t="s">
        <v>2020</v>
      </c>
      <c r="HP49" t="s">
        <v>1937</v>
      </c>
      <c r="HQ49" t="s">
        <v>2020</v>
      </c>
      <c r="HR49" t="s">
        <v>2020</v>
      </c>
      <c r="HS49" t="s">
        <v>2020</v>
      </c>
      <c r="HT49" t="s">
        <v>2049</v>
      </c>
      <c r="HU49" t="s">
        <v>2049</v>
      </c>
      <c r="HV49" t="s">
        <v>2049</v>
      </c>
      <c r="HW49" t="s">
        <v>2049</v>
      </c>
      <c r="HX49" t="s">
        <v>2049</v>
      </c>
      <c r="HY49" t="s">
        <v>2049</v>
      </c>
      <c r="HZ49" t="s">
        <v>1937</v>
      </c>
      <c r="IA49" t="s">
        <v>2049</v>
      </c>
      <c r="IB49" t="s">
        <v>2049</v>
      </c>
      <c r="IC49" t="s">
        <v>1937</v>
      </c>
      <c r="ID49" t="s">
        <v>2049</v>
      </c>
      <c r="IE49" t="s">
        <v>2049</v>
      </c>
      <c r="IF49" t="s">
        <v>2020</v>
      </c>
      <c r="IG49" t="s">
        <v>2020</v>
      </c>
      <c r="IH49" t="s">
        <v>2020</v>
      </c>
      <c r="II49" t="s">
        <v>2020</v>
      </c>
      <c r="IJ49" t="s">
        <v>2020</v>
      </c>
      <c r="IK49" t="s">
        <v>2049</v>
      </c>
      <c r="IL49" t="s">
        <v>1937</v>
      </c>
      <c r="IM49" t="s">
        <v>2049</v>
      </c>
      <c r="IN49" t="s">
        <v>2049</v>
      </c>
      <c r="IO49" t="s">
        <v>2020</v>
      </c>
      <c r="IP49" t="s">
        <v>2049</v>
      </c>
      <c r="IQ49" t="s">
        <v>2049</v>
      </c>
      <c r="IR49" t="s">
        <v>1937</v>
      </c>
      <c r="IS49" t="s">
        <v>2049</v>
      </c>
      <c r="IT49" t="s">
        <v>2049</v>
      </c>
      <c r="IU49" t="s">
        <v>2049</v>
      </c>
      <c r="IV49" t="s">
        <v>2049</v>
      </c>
      <c r="IW49" t="s">
        <v>2049</v>
      </c>
      <c r="IX49" t="s">
        <v>2049</v>
      </c>
      <c r="IY49" t="s">
        <v>2049</v>
      </c>
      <c r="IZ49" t="s">
        <v>2049</v>
      </c>
      <c r="JA49" t="s">
        <v>2049</v>
      </c>
      <c r="JB49" t="s">
        <v>2020</v>
      </c>
      <c r="JC49" t="s">
        <v>2049</v>
      </c>
      <c r="JD49" t="s">
        <v>2049</v>
      </c>
      <c r="JE49" t="s">
        <v>2049</v>
      </c>
      <c r="JF49" t="s">
        <v>2049</v>
      </c>
      <c r="JG49" t="s">
        <v>2049</v>
      </c>
      <c r="JH49" t="s">
        <v>2049</v>
      </c>
      <c r="JI49" t="s">
        <v>2049</v>
      </c>
      <c r="JJ49" t="s">
        <v>2049</v>
      </c>
      <c r="JK49" t="s">
        <v>1937</v>
      </c>
      <c r="JL49" t="s">
        <v>2020</v>
      </c>
      <c r="JM49" t="s">
        <v>2049</v>
      </c>
      <c r="JN49" t="s">
        <v>2049</v>
      </c>
      <c r="JO49" t="s">
        <v>1937</v>
      </c>
      <c r="JP49" t="s">
        <v>1937</v>
      </c>
      <c r="JQ49" t="s">
        <v>2049</v>
      </c>
      <c r="JR49" t="s">
        <v>2049</v>
      </c>
      <c r="JS49" t="s">
        <v>1937</v>
      </c>
      <c r="JT49" t="s">
        <v>2020</v>
      </c>
      <c r="JU49" t="s">
        <v>1937</v>
      </c>
      <c r="JV49" t="s">
        <v>2020</v>
      </c>
      <c r="JW49" t="s">
        <v>2049</v>
      </c>
      <c r="JX49" t="s">
        <v>2049</v>
      </c>
      <c r="JY49" t="s">
        <v>2049</v>
      </c>
      <c r="JZ49" t="s">
        <v>2020</v>
      </c>
      <c r="KA49" t="s">
        <v>2049</v>
      </c>
      <c r="KB49" t="s">
        <v>2049</v>
      </c>
      <c r="KC49" t="s">
        <v>2049</v>
      </c>
      <c r="KD49" t="s">
        <v>2049</v>
      </c>
      <c r="KE49" t="s">
        <v>2049</v>
      </c>
      <c r="KF49" t="s">
        <v>2049</v>
      </c>
      <c r="KG49" t="s">
        <v>2049</v>
      </c>
      <c r="KH49" t="s">
        <v>2049</v>
      </c>
      <c r="KI49" t="s">
        <v>2049</v>
      </c>
      <c r="KJ49" t="s">
        <v>1937</v>
      </c>
      <c r="KK49" t="s">
        <v>2049</v>
      </c>
      <c r="KL49" t="s">
        <v>2049</v>
      </c>
      <c r="KM49" t="s">
        <v>2049</v>
      </c>
      <c r="KN49" t="s">
        <v>2020</v>
      </c>
      <c r="KO49" t="s">
        <v>2049</v>
      </c>
      <c r="KP49" t="s">
        <v>1937</v>
      </c>
      <c r="KQ49" t="s">
        <v>1937</v>
      </c>
      <c r="KR49" t="s">
        <v>2049</v>
      </c>
      <c r="KS49" t="s">
        <v>2049</v>
      </c>
      <c r="KT49" t="s">
        <v>2049</v>
      </c>
      <c r="KU49" t="s">
        <v>2049</v>
      </c>
      <c r="KV49" t="s">
        <v>2049</v>
      </c>
      <c r="KW49" t="s">
        <v>2049</v>
      </c>
      <c r="KX49" t="s">
        <v>2049</v>
      </c>
      <c r="KY49" t="s">
        <v>2049</v>
      </c>
      <c r="KZ49" t="s">
        <v>2049</v>
      </c>
      <c r="LA49" t="s">
        <v>2049</v>
      </c>
      <c r="LB49" t="s">
        <v>2049</v>
      </c>
      <c r="LC49" t="s">
        <v>2049</v>
      </c>
      <c r="LD49" t="s">
        <v>2049</v>
      </c>
      <c r="LE49" t="s">
        <v>2049</v>
      </c>
      <c r="LF49" t="s">
        <v>2049</v>
      </c>
      <c r="LG49" t="s">
        <v>2020</v>
      </c>
      <c r="LH49" t="s">
        <v>2020</v>
      </c>
      <c r="LI49" t="s">
        <v>2020</v>
      </c>
      <c r="LJ49" t="s">
        <v>2049</v>
      </c>
      <c r="LK49" t="s">
        <v>2020</v>
      </c>
      <c r="LL49" t="s">
        <v>2020</v>
      </c>
      <c r="LM49" t="s">
        <v>2049</v>
      </c>
      <c r="LN49" t="s">
        <v>2049</v>
      </c>
      <c r="LO49" t="s">
        <v>2020</v>
      </c>
      <c r="LP49" t="s">
        <v>2020</v>
      </c>
      <c r="LQ49" t="s">
        <v>2020</v>
      </c>
      <c r="LR49" t="s">
        <v>2020</v>
      </c>
      <c r="LS49" t="s">
        <v>1937</v>
      </c>
      <c r="LT49" t="s">
        <v>1937</v>
      </c>
      <c r="LU49" t="s">
        <v>2049</v>
      </c>
      <c r="LV49" t="s">
        <v>2049</v>
      </c>
      <c r="LW49" t="s">
        <v>2020</v>
      </c>
      <c r="LX49" t="s">
        <v>2049</v>
      </c>
      <c r="LY49" t="s">
        <v>2049</v>
      </c>
      <c r="LZ49" t="s">
        <v>2049</v>
      </c>
      <c r="MA49" t="s">
        <v>2049</v>
      </c>
      <c r="MB49" t="s">
        <v>2049</v>
      </c>
      <c r="MC49" t="s">
        <v>2049</v>
      </c>
      <c r="MD49" t="s">
        <v>2020</v>
      </c>
      <c r="ME49" t="s">
        <v>2049</v>
      </c>
      <c r="MF49" t="s">
        <v>2049</v>
      </c>
      <c r="MG49" t="s">
        <v>2020</v>
      </c>
      <c r="MH49" t="s">
        <v>2020</v>
      </c>
      <c r="MI49" t="s">
        <v>2020</v>
      </c>
      <c r="MJ49" t="s">
        <v>2049</v>
      </c>
      <c r="MK49" t="s">
        <v>2049</v>
      </c>
      <c r="ML49" t="s">
        <v>2049</v>
      </c>
      <c r="MM49" t="s">
        <v>2049</v>
      </c>
      <c r="MN49" t="s">
        <v>2049</v>
      </c>
      <c r="MO49" t="s">
        <v>2049</v>
      </c>
      <c r="MP49" t="s">
        <v>2049</v>
      </c>
      <c r="MQ49" t="s">
        <v>2049</v>
      </c>
      <c r="MR49" t="s">
        <v>2049</v>
      </c>
      <c r="MS49" t="s">
        <v>2049</v>
      </c>
      <c r="MT49" t="s">
        <v>2049</v>
      </c>
      <c r="MU49" t="s">
        <v>2049</v>
      </c>
      <c r="MV49" t="s">
        <v>2049</v>
      </c>
      <c r="MW49" t="s">
        <v>2049</v>
      </c>
      <c r="MX49" t="s">
        <v>2020</v>
      </c>
      <c r="MY49" t="s">
        <v>2049</v>
      </c>
      <c r="MZ49" t="s">
        <v>2020</v>
      </c>
      <c r="NA49" t="s">
        <v>2049</v>
      </c>
      <c r="NB49" t="s">
        <v>2049</v>
      </c>
      <c r="NC49" t="s">
        <v>2049</v>
      </c>
      <c r="ND49" t="s">
        <v>2049</v>
      </c>
      <c r="NG49" t="s">
        <v>2049</v>
      </c>
      <c r="NH49" t="s">
        <v>2049</v>
      </c>
      <c r="NI49" t="s">
        <v>2049</v>
      </c>
      <c r="NJ49" t="s">
        <v>2049</v>
      </c>
      <c r="NK49" t="s">
        <v>2049</v>
      </c>
      <c r="NL49" t="s">
        <v>2049</v>
      </c>
      <c r="NM49" t="s">
        <v>2049</v>
      </c>
      <c r="NN49" t="s">
        <v>2020</v>
      </c>
      <c r="NR49" t="s">
        <v>1505</v>
      </c>
      <c r="NS49" t="s">
        <v>2093</v>
      </c>
      <c r="NX49" t="s">
        <v>2096</v>
      </c>
      <c r="NY49" t="s">
        <v>1885</v>
      </c>
    </row>
    <row r="50" spans="1:389" ht="15" customHeight="1" x14ac:dyDescent="0.25">
      <c r="A50" t="s">
        <v>2025</v>
      </c>
      <c r="B50" t="s">
        <v>1901</v>
      </c>
      <c r="C50" t="s">
        <v>1850</v>
      </c>
      <c r="D50" t="s">
        <v>1506</v>
      </c>
      <c r="G50" t="s">
        <v>2025</v>
      </c>
      <c r="H50" t="s">
        <v>2033</v>
      </c>
      <c r="I50" t="s">
        <v>2033</v>
      </c>
      <c r="J50" t="s">
        <v>2033</v>
      </c>
      <c r="K50" t="s">
        <v>2025</v>
      </c>
      <c r="L50" t="s">
        <v>2025</v>
      </c>
      <c r="M50" t="s">
        <v>2025</v>
      </c>
      <c r="N50" t="s">
        <v>2025</v>
      </c>
      <c r="O50" t="s">
        <v>2033</v>
      </c>
      <c r="P50" t="s">
        <v>2025</v>
      </c>
      <c r="Q50" t="s">
        <v>2033</v>
      </c>
      <c r="R50" t="s">
        <v>2025</v>
      </c>
      <c r="S50" t="s">
        <v>2025</v>
      </c>
      <c r="T50" t="s">
        <v>2033</v>
      </c>
      <c r="U50" t="s">
        <v>2033</v>
      </c>
      <c r="V50" t="s">
        <v>2033</v>
      </c>
      <c r="W50" t="s">
        <v>2033</v>
      </c>
      <c r="X50" t="s">
        <v>2033</v>
      </c>
      <c r="Y50" t="s">
        <v>2033</v>
      </c>
      <c r="AA50" t="s">
        <v>2033</v>
      </c>
      <c r="AB50" t="s">
        <v>2033</v>
      </c>
      <c r="AC50" t="s">
        <v>2033</v>
      </c>
      <c r="AD50" t="s">
        <v>2033</v>
      </c>
      <c r="AE50" t="s">
        <v>2033</v>
      </c>
      <c r="AF50" t="s">
        <v>2033</v>
      </c>
      <c r="AG50" t="s">
        <v>2033</v>
      </c>
      <c r="AH50" t="s">
        <v>2025</v>
      </c>
      <c r="AI50" t="s">
        <v>2033</v>
      </c>
      <c r="AJ50" t="s">
        <v>2033</v>
      </c>
      <c r="AK50" t="s">
        <v>2033</v>
      </c>
      <c r="AL50" t="s">
        <v>2033</v>
      </c>
      <c r="AM50" t="s">
        <v>2025</v>
      </c>
      <c r="AN50" t="s">
        <v>2033</v>
      </c>
      <c r="AO50" t="s">
        <v>2025</v>
      </c>
      <c r="AP50" t="s">
        <v>2025</v>
      </c>
      <c r="AQ50" t="s">
        <v>2025</v>
      </c>
      <c r="AR50" t="s">
        <v>2025</v>
      </c>
      <c r="AS50" t="s">
        <v>2033</v>
      </c>
      <c r="AT50" t="s">
        <v>2033</v>
      </c>
      <c r="AU50" t="s">
        <v>2033</v>
      </c>
      <c r="AV50" t="s">
        <v>2033</v>
      </c>
      <c r="AW50" t="s">
        <v>2033</v>
      </c>
      <c r="AX50" t="s">
        <v>2033</v>
      </c>
      <c r="AY50" t="s">
        <v>2033</v>
      </c>
      <c r="AZ50" t="s">
        <v>2033</v>
      </c>
      <c r="BA50" t="s">
        <v>2033</v>
      </c>
      <c r="BB50" t="s">
        <v>2033</v>
      </c>
      <c r="BC50" t="s">
        <v>2033</v>
      </c>
      <c r="BD50" t="s">
        <v>2033</v>
      </c>
      <c r="BE50" t="s">
        <v>2033</v>
      </c>
      <c r="BF50" t="s">
        <v>2033</v>
      </c>
      <c r="BG50" t="s">
        <v>2033</v>
      </c>
      <c r="BH50" t="s">
        <v>2033</v>
      </c>
      <c r="BI50" t="s">
        <v>2033</v>
      </c>
      <c r="BJ50" t="s">
        <v>2033</v>
      </c>
      <c r="BK50" t="s">
        <v>2033</v>
      </c>
      <c r="BL50" t="s">
        <v>2033</v>
      </c>
      <c r="BM50" t="s">
        <v>2033</v>
      </c>
      <c r="BN50" t="s">
        <v>2033</v>
      </c>
      <c r="BO50" t="s">
        <v>2033</v>
      </c>
      <c r="BP50" t="s">
        <v>2033</v>
      </c>
      <c r="BQ50" t="s">
        <v>2033</v>
      </c>
      <c r="BR50" t="s">
        <v>2033</v>
      </c>
      <c r="BS50" t="s">
        <v>2033</v>
      </c>
      <c r="BT50" t="s">
        <v>2033</v>
      </c>
      <c r="BU50" t="s">
        <v>2033</v>
      </c>
      <c r="BV50" t="s">
        <v>2033</v>
      </c>
      <c r="BW50" t="s">
        <v>2033</v>
      </c>
      <c r="BX50" t="s">
        <v>2033</v>
      </c>
      <c r="BY50" t="s">
        <v>2033</v>
      </c>
      <c r="BZ50" t="s">
        <v>2025</v>
      </c>
      <c r="CA50" t="s">
        <v>2025</v>
      </c>
      <c r="CB50" t="s">
        <v>2033</v>
      </c>
      <c r="CC50" t="s">
        <v>2033</v>
      </c>
      <c r="CD50" t="s">
        <v>2033</v>
      </c>
      <c r="CE50" t="s">
        <v>2025</v>
      </c>
      <c r="CF50" t="s">
        <v>2033</v>
      </c>
      <c r="CG50" t="s">
        <v>2033</v>
      </c>
      <c r="CH50" t="s">
        <v>2033</v>
      </c>
      <c r="CI50" t="s">
        <v>2033</v>
      </c>
      <c r="CJ50" t="s">
        <v>2033</v>
      </c>
      <c r="CK50" t="s">
        <v>2025</v>
      </c>
      <c r="CL50" t="s">
        <v>2025</v>
      </c>
      <c r="CM50" t="s">
        <v>2025</v>
      </c>
      <c r="CN50" t="s">
        <v>2025</v>
      </c>
      <c r="CO50" t="s">
        <v>2025</v>
      </c>
      <c r="CP50" t="s">
        <v>2025</v>
      </c>
      <c r="CQ50" t="s">
        <v>2025</v>
      </c>
      <c r="CR50" t="s">
        <v>2025</v>
      </c>
      <c r="CS50" t="s">
        <v>2033</v>
      </c>
      <c r="CT50" t="s">
        <v>2033</v>
      </c>
      <c r="CU50" t="s">
        <v>2025</v>
      </c>
      <c r="CV50" t="s">
        <v>2033</v>
      </c>
      <c r="CW50" t="s">
        <v>2033</v>
      </c>
      <c r="CX50" t="s">
        <v>2033</v>
      </c>
      <c r="CY50" t="s">
        <v>2033</v>
      </c>
      <c r="CZ50" t="s">
        <v>2025</v>
      </c>
      <c r="DA50" t="s">
        <v>2025</v>
      </c>
      <c r="DB50" t="s">
        <v>2025</v>
      </c>
      <c r="DC50" t="s">
        <v>2025</v>
      </c>
      <c r="DD50" t="s">
        <v>2033</v>
      </c>
      <c r="DE50" t="s">
        <v>2033</v>
      </c>
      <c r="DF50" t="s">
        <v>2033</v>
      </c>
      <c r="DG50" t="s">
        <v>2033</v>
      </c>
      <c r="DH50" t="s">
        <v>2033</v>
      </c>
      <c r="DI50" t="s">
        <v>2033</v>
      </c>
      <c r="DJ50" t="s">
        <v>2025</v>
      </c>
      <c r="DK50" t="s">
        <v>2025</v>
      </c>
      <c r="DL50" t="s">
        <v>2033</v>
      </c>
      <c r="DM50" t="s">
        <v>2033</v>
      </c>
      <c r="DN50" t="s">
        <v>2033</v>
      </c>
      <c r="DO50" t="s">
        <v>2025</v>
      </c>
      <c r="DP50" t="s">
        <v>2025</v>
      </c>
      <c r="DQ50" t="s">
        <v>2025</v>
      </c>
      <c r="DR50" t="s">
        <v>2025</v>
      </c>
      <c r="DS50" t="s">
        <v>2033</v>
      </c>
      <c r="DT50" t="s">
        <v>2025</v>
      </c>
      <c r="DU50" t="s">
        <v>2025</v>
      </c>
      <c r="DV50" t="s">
        <v>2025</v>
      </c>
      <c r="DW50" t="s">
        <v>2033</v>
      </c>
      <c r="DX50" t="s">
        <v>2033</v>
      </c>
      <c r="DY50" t="s">
        <v>2033</v>
      </c>
      <c r="DZ50" t="s">
        <v>2033</v>
      </c>
      <c r="EA50" t="s">
        <v>2025</v>
      </c>
      <c r="EB50" t="s">
        <v>2025</v>
      </c>
      <c r="EC50" t="s">
        <v>2025</v>
      </c>
      <c r="ED50" t="s">
        <v>2033</v>
      </c>
      <c r="EE50" t="s">
        <v>2033</v>
      </c>
      <c r="EF50" t="s">
        <v>2033</v>
      </c>
      <c r="EG50" t="s">
        <v>2025</v>
      </c>
      <c r="EH50" t="s">
        <v>2025</v>
      </c>
      <c r="EI50" t="s">
        <v>2025</v>
      </c>
      <c r="EJ50" t="s">
        <v>2025</v>
      </c>
      <c r="EK50" t="s">
        <v>2025</v>
      </c>
      <c r="EL50" t="s">
        <v>2025</v>
      </c>
      <c r="EM50" t="s">
        <v>2033</v>
      </c>
      <c r="EN50" t="s">
        <v>2033</v>
      </c>
      <c r="EO50" t="s">
        <v>2033</v>
      </c>
      <c r="ET50" t="s">
        <v>2033</v>
      </c>
      <c r="EU50" t="s">
        <v>2033</v>
      </c>
      <c r="EV50" t="s">
        <v>2033</v>
      </c>
      <c r="EW50" t="s">
        <v>2033</v>
      </c>
      <c r="EX50" t="s">
        <v>2046</v>
      </c>
      <c r="EY50" t="s">
        <v>2025</v>
      </c>
      <c r="EZ50" t="s">
        <v>2033</v>
      </c>
      <c r="FA50" t="s">
        <v>2025</v>
      </c>
      <c r="FB50" t="s">
        <v>2025</v>
      </c>
      <c r="FC50" t="s">
        <v>2025</v>
      </c>
      <c r="FD50" t="s">
        <v>2033</v>
      </c>
      <c r="FE50" t="s">
        <v>2033</v>
      </c>
      <c r="FF50" t="s">
        <v>2025</v>
      </c>
      <c r="FG50" t="s">
        <v>2025</v>
      </c>
      <c r="FH50" t="s">
        <v>2025</v>
      </c>
      <c r="FI50" t="s">
        <v>2025</v>
      </c>
      <c r="FJ50" t="s">
        <v>2046</v>
      </c>
      <c r="FK50" t="s">
        <v>2033</v>
      </c>
      <c r="FL50" t="s">
        <v>2033</v>
      </c>
      <c r="FM50" t="s">
        <v>2033</v>
      </c>
      <c r="FN50" t="s">
        <v>2033</v>
      </c>
      <c r="FO50" t="s">
        <v>2033</v>
      </c>
      <c r="FP50" t="s">
        <v>2033</v>
      </c>
      <c r="FQ50" t="s">
        <v>2033</v>
      </c>
      <c r="FR50" t="s">
        <v>2033</v>
      </c>
      <c r="FS50" t="s">
        <v>2033</v>
      </c>
      <c r="FT50" t="s">
        <v>2033</v>
      </c>
      <c r="FU50" t="s">
        <v>2033</v>
      </c>
      <c r="FV50" t="s">
        <v>2033</v>
      </c>
      <c r="FW50" t="s">
        <v>2033</v>
      </c>
      <c r="FX50" t="s">
        <v>2033</v>
      </c>
      <c r="FY50" t="s">
        <v>2025</v>
      </c>
      <c r="FZ50" t="s">
        <v>2025</v>
      </c>
      <c r="GA50" t="s">
        <v>2025</v>
      </c>
      <c r="GB50" t="s">
        <v>2033</v>
      </c>
      <c r="GC50" t="s">
        <v>2033</v>
      </c>
      <c r="GD50" t="s">
        <v>2033</v>
      </c>
      <c r="GE50" t="s">
        <v>2033</v>
      </c>
      <c r="GF50" t="s">
        <v>2033</v>
      </c>
      <c r="GG50" t="s">
        <v>2033</v>
      </c>
      <c r="GH50" t="s">
        <v>2033</v>
      </c>
      <c r="GI50" t="s">
        <v>2033</v>
      </c>
      <c r="GJ50" t="s">
        <v>2033</v>
      </c>
      <c r="GK50" t="s">
        <v>2033</v>
      </c>
      <c r="GL50" t="s">
        <v>2033</v>
      </c>
      <c r="GM50" t="s">
        <v>2033</v>
      </c>
      <c r="GN50" t="s">
        <v>2033</v>
      </c>
      <c r="GO50" t="s">
        <v>2033</v>
      </c>
      <c r="GP50" t="s">
        <v>2033</v>
      </c>
      <c r="GQ50" t="s">
        <v>2033</v>
      </c>
      <c r="GR50" t="s">
        <v>2033</v>
      </c>
      <c r="GS50" t="s">
        <v>2033</v>
      </c>
      <c r="GT50" t="s">
        <v>2033</v>
      </c>
      <c r="GU50" t="s">
        <v>2033</v>
      </c>
      <c r="GV50" t="s">
        <v>2033</v>
      </c>
      <c r="GW50" t="s">
        <v>2033</v>
      </c>
      <c r="GX50" t="s">
        <v>2033</v>
      </c>
      <c r="GY50" t="s">
        <v>2033</v>
      </c>
      <c r="GZ50" t="s">
        <v>2033</v>
      </c>
      <c r="HA50" t="s">
        <v>2033</v>
      </c>
      <c r="HB50" t="s">
        <v>2033</v>
      </c>
      <c r="HC50" t="s">
        <v>2046</v>
      </c>
      <c r="HD50" t="s">
        <v>2025</v>
      </c>
      <c r="HE50" t="s">
        <v>2046</v>
      </c>
      <c r="HF50" t="s">
        <v>2025</v>
      </c>
      <c r="HG50" t="s">
        <v>2033</v>
      </c>
      <c r="HH50" t="s">
        <v>2046</v>
      </c>
      <c r="HI50" t="s">
        <v>2046</v>
      </c>
      <c r="HJ50" t="s">
        <v>2033</v>
      </c>
      <c r="HK50" t="s">
        <v>2033</v>
      </c>
      <c r="HL50" t="s">
        <v>2033</v>
      </c>
      <c r="HM50" t="s">
        <v>2046</v>
      </c>
      <c r="HN50" t="s">
        <v>2033</v>
      </c>
      <c r="HO50" t="s">
        <v>2025</v>
      </c>
      <c r="HP50" t="s">
        <v>2046</v>
      </c>
      <c r="HQ50" t="s">
        <v>2025</v>
      </c>
      <c r="HR50" t="s">
        <v>2025</v>
      </c>
      <c r="HS50" t="s">
        <v>2025</v>
      </c>
      <c r="HT50" t="s">
        <v>2033</v>
      </c>
      <c r="HU50" t="s">
        <v>2033</v>
      </c>
      <c r="HV50" t="s">
        <v>2033</v>
      </c>
      <c r="HW50" t="s">
        <v>2033</v>
      </c>
      <c r="HX50" t="s">
        <v>2033</v>
      </c>
      <c r="HY50" t="s">
        <v>2033</v>
      </c>
      <c r="HZ50" t="s">
        <v>2046</v>
      </c>
      <c r="IA50" t="s">
        <v>2033</v>
      </c>
      <c r="IB50" t="s">
        <v>2033</v>
      </c>
      <c r="IC50" t="s">
        <v>2046</v>
      </c>
      <c r="ID50" t="s">
        <v>2033</v>
      </c>
      <c r="IE50" t="s">
        <v>2033</v>
      </c>
      <c r="IF50" t="s">
        <v>2025</v>
      </c>
      <c r="IG50" t="s">
        <v>2025</v>
      </c>
      <c r="IH50" t="s">
        <v>2025</v>
      </c>
      <c r="II50" t="s">
        <v>2025</v>
      </c>
      <c r="IJ50" t="s">
        <v>2025</v>
      </c>
      <c r="IK50" t="s">
        <v>2033</v>
      </c>
      <c r="IL50" t="s">
        <v>2046</v>
      </c>
      <c r="IM50" t="s">
        <v>2033</v>
      </c>
      <c r="IN50" t="s">
        <v>2033</v>
      </c>
      <c r="IO50" t="s">
        <v>2025</v>
      </c>
      <c r="IP50" t="s">
        <v>2033</v>
      </c>
      <c r="IQ50" t="s">
        <v>2033</v>
      </c>
      <c r="IR50" t="s">
        <v>2046</v>
      </c>
      <c r="IS50" t="s">
        <v>2033</v>
      </c>
      <c r="IT50" t="s">
        <v>2033</v>
      </c>
      <c r="IU50" t="s">
        <v>2033</v>
      </c>
      <c r="IV50" t="s">
        <v>2033</v>
      </c>
      <c r="IW50" t="s">
        <v>2033</v>
      </c>
      <c r="IX50" t="s">
        <v>2033</v>
      </c>
      <c r="IY50" t="s">
        <v>2033</v>
      </c>
      <c r="IZ50" t="s">
        <v>2033</v>
      </c>
      <c r="JA50" t="s">
        <v>2033</v>
      </c>
      <c r="JB50" t="s">
        <v>2025</v>
      </c>
      <c r="JC50" t="s">
        <v>2033</v>
      </c>
      <c r="JD50" t="s">
        <v>2033</v>
      </c>
      <c r="JE50" t="s">
        <v>2033</v>
      </c>
      <c r="JF50" t="s">
        <v>2033</v>
      </c>
      <c r="JG50" t="s">
        <v>2033</v>
      </c>
      <c r="JH50" t="s">
        <v>2033</v>
      </c>
      <c r="JI50" t="s">
        <v>2033</v>
      </c>
      <c r="JJ50" t="s">
        <v>2033</v>
      </c>
      <c r="JK50" t="s">
        <v>2046</v>
      </c>
      <c r="JL50" t="s">
        <v>2025</v>
      </c>
      <c r="JM50" t="s">
        <v>2033</v>
      </c>
      <c r="JN50" t="s">
        <v>2033</v>
      </c>
      <c r="JO50" t="s">
        <v>2046</v>
      </c>
      <c r="JP50" t="s">
        <v>2046</v>
      </c>
      <c r="JQ50" t="s">
        <v>2033</v>
      </c>
      <c r="JR50" t="s">
        <v>2033</v>
      </c>
      <c r="JS50" t="s">
        <v>2046</v>
      </c>
      <c r="JT50" t="s">
        <v>2025</v>
      </c>
      <c r="JU50" t="s">
        <v>2046</v>
      </c>
      <c r="JV50" t="s">
        <v>2025</v>
      </c>
      <c r="JW50" t="s">
        <v>2033</v>
      </c>
      <c r="JX50" t="s">
        <v>2033</v>
      </c>
      <c r="JY50" t="s">
        <v>2033</v>
      </c>
      <c r="JZ50" t="s">
        <v>2025</v>
      </c>
      <c r="KA50" t="s">
        <v>2033</v>
      </c>
      <c r="KB50" t="s">
        <v>2033</v>
      </c>
      <c r="KC50" t="s">
        <v>2033</v>
      </c>
      <c r="KD50" t="s">
        <v>2033</v>
      </c>
      <c r="KE50" t="s">
        <v>2033</v>
      </c>
      <c r="KF50" t="s">
        <v>2033</v>
      </c>
      <c r="KG50" t="s">
        <v>2033</v>
      </c>
      <c r="KH50" t="s">
        <v>2033</v>
      </c>
      <c r="KI50" t="s">
        <v>2033</v>
      </c>
      <c r="KJ50" t="s">
        <v>2046</v>
      </c>
      <c r="KK50" t="s">
        <v>2033</v>
      </c>
      <c r="KL50" t="s">
        <v>2033</v>
      </c>
      <c r="KM50" t="s">
        <v>2033</v>
      </c>
      <c r="KN50" t="s">
        <v>2025</v>
      </c>
      <c r="KO50" t="s">
        <v>2033</v>
      </c>
      <c r="KP50" t="s">
        <v>2046</v>
      </c>
      <c r="KQ50" t="s">
        <v>2046</v>
      </c>
      <c r="KR50" t="s">
        <v>2033</v>
      </c>
      <c r="KS50" t="s">
        <v>2033</v>
      </c>
      <c r="KT50" t="s">
        <v>2033</v>
      </c>
      <c r="KU50" t="s">
        <v>2033</v>
      </c>
      <c r="KV50" t="s">
        <v>2033</v>
      </c>
      <c r="KW50" t="s">
        <v>2033</v>
      </c>
      <c r="KX50" t="s">
        <v>2033</v>
      </c>
      <c r="KY50" t="s">
        <v>2033</v>
      </c>
      <c r="KZ50" t="s">
        <v>2033</v>
      </c>
      <c r="LA50" t="s">
        <v>2033</v>
      </c>
      <c r="LB50" t="s">
        <v>2033</v>
      </c>
      <c r="LC50" t="s">
        <v>2033</v>
      </c>
      <c r="LD50" t="s">
        <v>2033</v>
      </c>
      <c r="LE50" t="s">
        <v>2033</v>
      </c>
      <c r="LF50" t="s">
        <v>2033</v>
      </c>
      <c r="LG50" t="s">
        <v>2025</v>
      </c>
      <c r="LH50" t="s">
        <v>2025</v>
      </c>
      <c r="LI50" t="s">
        <v>2025</v>
      </c>
      <c r="LJ50" t="s">
        <v>2033</v>
      </c>
      <c r="LK50" t="s">
        <v>2025</v>
      </c>
      <c r="LL50" t="s">
        <v>2025</v>
      </c>
      <c r="LM50" t="s">
        <v>2033</v>
      </c>
      <c r="LN50" t="s">
        <v>2033</v>
      </c>
      <c r="LO50" t="s">
        <v>2025</v>
      </c>
      <c r="LP50" t="s">
        <v>2025</v>
      </c>
      <c r="LQ50" t="s">
        <v>2025</v>
      </c>
      <c r="LR50" t="s">
        <v>2025</v>
      </c>
      <c r="LS50" t="s">
        <v>2046</v>
      </c>
      <c r="LT50" t="s">
        <v>2046</v>
      </c>
      <c r="LU50" t="s">
        <v>2033</v>
      </c>
      <c r="LV50" t="s">
        <v>2033</v>
      </c>
      <c r="LW50" t="s">
        <v>2025</v>
      </c>
      <c r="LX50" t="s">
        <v>2033</v>
      </c>
      <c r="LY50" t="s">
        <v>2033</v>
      </c>
      <c r="LZ50" t="s">
        <v>2033</v>
      </c>
      <c r="MA50" t="s">
        <v>2033</v>
      </c>
      <c r="MB50" t="s">
        <v>2033</v>
      </c>
      <c r="MC50" t="s">
        <v>2033</v>
      </c>
      <c r="MD50" t="s">
        <v>2025</v>
      </c>
      <c r="ME50" t="s">
        <v>2033</v>
      </c>
      <c r="MF50" t="s">
        <v>2033</v>
      </c>
      <c r="MG50" t="s">
        <v>2025</v>
      </c>
      <c r="MH50" t="s">
        <v>2025</v>
      </c>
      <c r="MI50" t="s">
        <v>2025</v>
      </c>
      <c r="MJ50" t="s">
        <v>2033</v>
      </c>
      <c r="MK50" t="s">
        <v>2033</v>
      </c>
      <c r="ML50" t="s">
        <v>2033</v>
      </c>
      <c r="MM50" t="s">
        <v>2033</v>
      </c>
      <c r="MN50" t="s">
        <v>2033</v>
      </c>
      <c r="MO50" t="s">
        <v>2033</v>
      </c>
      <c r="MP50" t="s">
        <v>2033</v>
      </c>
      <c r="MQ50" t="s">
        <v>2033</v>
      </c>
      <c r="MR50" t="s">
        <v>2033</v>
      </c>
      <c r="MS50" t="s">
        <v>2033</v>
      </c>
      <c r="MT50" t="s">
        <v>2033</v>
      </c>
      <c r="MU50" t="s">
        <v>2033</v>
      </c>
      <c r="MV50" t="s">
        <v>2033</v>
      </c>
      <c r="MW50" t="s">
        <v>2033</v>
      </c>
      <c r="MX50" t="s">
        <v>2025</v>
      </c>
      <c r="MY50" t="s">
        <v>2033</v>
      </c>
      <c r="MZ50" t="s">
        <v>2025</v>
      </c>
      <c r="NA50" t="s">
        <v>2033</v>
      </c>
      <c r="NB50" t="s">
        <v>2033</v>
      </c>
      <c r="NC50" t="s">
        <v>2033</v>
      </c>
      <c r="ND50" t="s">
        <v>2033</v>
      </c>
      <c r="NG50" t="s">
        <v>2033</v>
      </c>
      <c r="NH50" t="s">
        <v>2033</v>
      </c>
      <c r="NI50" t="s">
        <v>2033</v>
      </c>
      <c r="NJ50" t="s">
        <v>2033</v>
      </c>
      <c r="NK50" t="s">
        <v>2033</v>
      </c>
      <c r="NL50" t="s">
        <v>2033</v>
      </c>
      <c r="NM50" t="s">
        <v>2033</v>
      </c>
      <c r="NN50" t="s">
        <v>2025</v>
      </c>
      <c r="NR50" t="s">
        <v>1506</v>
      </c>
      <c r="NS50" t="s">
        <v>2097</v>
      </c>
      <c r="NX50" t="s">
        <v>2098</v>
      </c>
      <c r="NY50" t="s">
        <v>1885</v>
      </c>
    </row>
    <row r="51" spans="1:389" ht="15" customHeight="1" x14ac:dyDescent="0.25">
      <c r="A51" t="s">
        <v>2030</v>
      </c>
      <c r="B51" t="s">
        <v>1987</v>
      </c>
      <c r="C51" t="s">
        <v>1850</v>
      </c>
      <c r="D51" t="s">
        <v>1507</v>
      </c>
      <c r="G51" t="s">
        <v>2030</v>
      </c>
      <c r="H51" t="s">
        <v>2060</v>
      </c>
      <c r="I51" t="s">
        <v>2060</v>
      </c>
      <c r="J51" t="s">
        <v>2060</v>
      </c>
      <c r="K51" t="s">
        <v>2030</v>
      </c>
      <c r="L51" t="s">
        <v>2030</v>
      </c>
      <c r="M51" t="s">
        <v>2030</v>
      </c>
      <c r="N51" t="s">
        <v>2030</v>
      </c>
      <c r="O51" t="s">
        <v>2060</v>
      </c>
      <c r="P51" t="s">
        <v>2030</v>
      </c>
      <c r="Q51" t="s">
        <v>2060</v>
      </c>
      <c r="R51" t="s">
        <v>2030</v>
      </c>
      <c r="S51" t="s">
        <v>2030</v>
      </c>
      <c r="T51" t="s">
        <v>2060</v>
      </c>
      <c r="U51" t="s">
        <v>2060</v>
      </c>
      <c r="V51" t="s">
        <v>2060</v>
      </c>
      <c r="W51" t="s">
        <v>2060</v>
      </c>
      <c r="X51" t="s">
        <v>2060</v>
      </c>
      <c r="Y51" t="s">
        <v>2060</v>
      </c>
      <c r="AA51" t="s">
        <v>2060</v>
      </c>
      <c r="AB51" t="s">
        <v>2060</v>
      </c>
      <c r="AC51" t="s">
        <v>2060</v>
      </c>
      <c r="AD51" t="s">
        <v>2060</v>
      </c>
      <c r="AE51" t="s">
        <v>2060</v>
      </c>
      <c r="AF51" t="s">
        <v>2060</v>
      </c>
      <c r="AG51" t="s">
        <v>2060</v>
      </c>
      <c r="AH51" t="s">
        <v>2030</v>
      </c>
      <c r="AI51" t="s">
        <v>2060</v>
      </c>
      <c r="AJ51" t="s">
        <v>2060</v>
      </c>
      <c r="AK51" t="s">
        <v>2060</v>
      </c>
      <c r="AL51" t="s">
        <v>2060</v>
      </c>
      <c r="AM51" t="s">
        <v>2030</v>
      </c>
      <c r="AN51" t="s">
        <v>2060</v>
      </c>
      <c r="AO51" t="s">
        <v>2030</v>
      </c>
      <c r="AP51" t="s">
        <v>2030</v>
      </c>
      <c r="AQ51" t="s">
        <v>2030</v>
      </c>
      <c r="AR51" t="s">
        <v>2030</v>
      </c>
      <c r="AS51" t="s">
        <v>2060</v>
      </c>
      <c r="AT51" t="s">
        <v>2060</v>
      </c>
      <c r="AU51" t="s">
        <v>2060</v>
      </c>
      <c r="AV51" t="s">
        <v>2060</v>
      </c>
      <c r="AW51" t="s">
        <v>2060</v>
      </c>
      <c r="AX51" t="s">
        <v>2060</v>
      </c>
      <c r="AY51" t="s">
        <v>2060</v>
      </c>
      <c r="AZ51" t="s">
        <v>2060</v>
      </c>
      <c r="BA51" t="s">
        <v>2060</v>
      </c>
      <c r="BB51" t="s">
        <v>2060</v>
      </c>
      <c r="BC51" t="s">
        <v>2060</v>
      </c>
      <c r="BD51" t="s">
        <v>2060</v>
      </c>
      <c r="BE51" t="s">
        <v>2060</v>
      </c>
      <c r="BF51" t="s">
        <v>2060</v>
      </c>
      <c r="BG51" t="s">
        <v>2060</v>
      </c>
      <c r="BH51" t="s">
        <v>2060</v>
      </c>
      <c r="BI51" t="s">
        <v>2060</v>
      </c>
      <c r="BJ51" t="s">
        <v>2060</v>
      </c>
      <c r="BK51" t="s">
        <v>2060</v>
      </c>
      <c r="BL51" t="s">
        <v>2060</v>
      </c>
      <c r="BM51" t="s">
        <v>2060</v>
      </c>
      <c r="BN51" t="s">
        <v>2060</v>
      </c>
      <c r="BO51" t="s">
        <v>2060</v>
      </c>
      <c r="BP51" t="s">
        <v>2060</v>
      </c>
      <c r="BQ51" t="s">
        <v>2060</v>
      </c>
      <c r="BR51" t="s">
        <v>2060</v>
      </c>
      <c r="BS51" t="s">
        <v>2060</v>
      </c>
      <c r="BT51" t="s">
        <v>2060</v>
      </c>
      <c r="BU51" t="s">
        <v>2060</v>
      </c>
      <c r="BV51" t="s">
        <v>2060</v>
      </c>
      <c r="BW51" t="s">
        <v>2060</v>
      </c>
      <c r="BX51" t="s">
        <v>2060</v>
      </c>
      <c r="BY51" t="s">
        <v>2060</v>
      </c>
      <c r="BZ51" t="s">
        <v>2030</v>
      </c>
      <c r="CA51" t="s">
        <v>2030</v>
      </c>
      <c r="CB51" t="s">
        <v>2060</v>
      </c>
      <c r="CC51" t="s">
        <v>2060</v>
      </c>
      <c r="CD51" t="s">
        <v>2060</v>
      </c>
      <c r="CE51" t="s">
        <v>2030</v>
      </c>
      <c r="CF51" t="s">
        <v>2060</v>
      </c>
      <c r="CG51" t="s">
        <v>2060</v>
      </c>
      <c r="CH51" t="s">
        <v>2060</v>
      </c>
      <c r="CI51" t="s">
        <v>2060</v>
      </c>
      <c r="CJ51" t="s">
        <v>2060</v>
      </c>
      <c r="CK51" t="s">
        <v>2030</v>
      </c>
      <c r="CL51" t="s">
        <v>2030</v>
      </c>
      <c r="CM51" t="s">
        <v>2030</v>
      </c>
      <c r="CN51" t="s">
        <v>2030</v>
      </c>
      <c r="CO51" t="s">
        <v>2030</v>
      </c>
      <c r="CP51" t="s">
        <v>2030</v>
      </c>
      <c r="CQ51" t="s">
        <v>2030</v>
      </c>
      <c r="CR51" t="s">
        <v>2030</v>
      </c>
      <c r="CS51" t="s">
        <v>2060</v>
      </c>
      <c r="CT51" t="s">
        <v>2060</v>
      </c>
      <c r="CU51" t="s">
        <v>2030</v>
      </c>
      <c r="CV51" t="s">
        <v>2060</v>
      </c>
      <c r="CW51" t="s">
        <v>2060</v>
      </c>
      <c r="CX51" t="s">
        <v>2060</v>
      </c>
      <c r="CY51" t="s">
        <v>2060</v>
      </c>
      <c r="CZ51" t="s">
        <v>2030</v>
      </c>
      <c r="DA51" t="s">
        <v>2030</v>
      </c>
      <c r="DB51" t="s">
        <v>2030</v>
      </c>
      <c r="DC51" t="s">
        <v>2030</v>
      </c>
      <c r="DD51" t="s">
        <v>2060</v>
      </c>
      <c r="DE51" t="s">
        <v>2060</v>
      </c>
      <c r="DF51" t="s">
        <v>2060</v>
      </c>
      <c r="DG51" t="s">
        <v>2060</v>
      </c>
      <c r="DH51" t="s">
        <v>2060</v>
      </c>
      <c r="DI51" t="s">
        <v>2060</v>
      </c>
      <c r="DJ51" t="s">
        <v>2030</v>
      </c>
      <c r="DK51" t="s">
        <v>2030</v>
      </c>
      <c r="DL51" t="s">
        <v>2060</v>
      </c>
      <c r="DM51" t="s">
        <v>2060</v>
      </c>
      <c r="DN51" t="s">
        <v>2060</v>
      </c>
      <c r="DO51" t="s">
        <v>2030</v>
      </c>
      <c r="DP51" t="s">
        <v>2030</v>
      </c>
      <c r="DQ51" t="s">
        <v>2030</v>
      </c>
      <c r="DR51" t="s">
        <v>2030</v>
      </c>
      <c r="DS51" t="s">
        <v>2060</v>
      </c>
      <c r="DT51" t="s">
        <v>2030</v>
      </c>
      <c r="DU51" t="s">
        <v>2030</v>
      </c>
      <c r="DV51" t="s">
        <v>2030</v>
      </c>
      <c r="DW51" t="s">
        <v>2060</v>
      </c>
      <c r="DX51" t="s">
        <v>2060</v>
      </c>
      <c r="DY51" t="s">
        <v>2060</v>
      </c>
      <c r="DZ51" t="s">
        <v>2060</v>
      </c>
      <c r="EA51" t="s">
        <v>2030</v>
      </c>
      <c r="EB51" t="s">
        <v>2030</v>
      </c>
      <c r="EC51" t="s">
        <v>2030</v>
      </c>
      <c r="ED51" t="s">
        <v>2060</v>
      </c>
      <c r="EE51" t="s">
        <v>2060</v>
      </c>
      <c r="EF51" t="s">
        <v>2060</v>
      </c>
      <c r="EG51" t="s">
        <v>2030</v>
      </c>
      <c r="EH51" t="s">
        <v>2030</v>
      </c>
      <c r="EI51" t="s">
        <v>2030</v>
      </c>
      <c r="EJ51" t="s">
        <v>2030</v>
      </c>
      <c r="EK51" t="s">
        <v>2030</v>
      </c>
      <c r="EL51" t="s">
        <v>2030</v>
      </c>
      <c r="EM51" t="s">
        <v>2060</v>
      </c>
      <c r="EN51" t="s">
        <v>2060</v>
      </c>
      <c r="EO51" t="s">
        <v>2060</v>
      </c>
      <c r="ET51" t="s">
        <v>2060</v>
      </c>
      <c r="EU51" t="s">
        <v>2060</v>
      </c>
      <c r="EV51" t="s">
        <v>2060</v>
      </c>
      <c r="EW51" t="s">
        <v>2060</v>
      </c>
      <c r="EX51" t="s">
        <v>2049</v>
      </c>
      <c r="EY51" t="s">
        <v>2030</v>
      </c>
      <c r="EZ51" t="s">
        <v>2060</v>
      </c>
      <c r="FA51" t="s">
        <v>2030</v>
      </c>
      <c r="FB51" t="s">
        <v>2030</v>
      </c>
      <c r="FC51" t="s">
        <v>2030</v>
      </c>
      <c r="FD51" t="s">
        <v>2060</v>
      </c>
      <c r="FE51" t="s">
        <v>2060</v>
      </c>
      <c r="FF51" t="s">
        <v>2030</v>
      </c>
      <c r="FG51" t="s">
        <v>2030</v>
      </c>
      <c r="FH51" t="s">
        <v>2030</v>
      </c>
      <c r="FI51" t="s">
        <v>2030</v>
      </c>
      <c r="FJ51" t="s">
        <v>2049</v>
      </c>
      <c r="FK51" t="s">
        <v>2060</v>
      </c>
      <c r="FL51" t="s">
        <v>2060</v>
      </c>
      <c r="FM51" t="s">
        <v>2060</v>
      </c>
      <c r="FN51" t="s">
        <v>2060</v>
      </c>
      <c r="FO51" t="s">
        <v>2060</v>
      </c>
      <c r="FP51" t="s">
        <v>2060</v>
      </c>
      <c r="FQ51" t="s">
        <v>2060</v>
      </c>
      <c r="FR51" t="s">
        <v>2060</v>
      </c>
      <c r="FS51" t="s">
        <v>2060</v>
      </c>
      <c r="FT51" t="s">
        <v>2060</v>
      </c>
      <c r="FU51" t="s">
        <v>2060</v>
      </c>
      <c r="FV51" t="s">
        <v>2060</v>
      </c>
      <c r="FW51" t="s">
        <v>2060</v>
      </c>
      <c r="FX51" t="s">
        <v>2060</v>
      </c>
      <c r="FY51" t="s">
        <v>2030</v>
      </c>
      <c r="FZ51" t="s">
        <v>2030</v>
      </c>
      <c r="GA51" t="s">
        <v>2030</v>
      </c>
      <c r="GB51" t="s">
        <v>2060</v>
      </c>
      <c r="GC51" t="s">
        <v>2060</v>
      </c>
      <c r="GD51" t="s">
        <v>2060</v>
      </c>
      <c r="GE51" t="s">
        <v>2060</v>
      </c>
      <c r="GF51" t="s">
        <v>2060</v>
      </c>
      <c r="GG51" t="s">
        <v>2060</v>
      </c>
      <c r="GH51" t="s">
        <v>2060</v>
      </c>
      <c r="GI51" t="s">
        <v>2060</v>
      </c>
      <c r="GJ51" t="s">
        <v>2060</v>
      </c>
      <c r="GK51" t="s">
        <v>2060</v>
      </c>
      <c r="GL51" t="s">
        <v>2060</v>
      </c>
      <c r="GM51" t="s">
        <v>2060</v>
      </c>
      <c r="GN51" t="s">
        <v>2060</v>
      </c>
      <c r="GO51" t="s">
        <v>2060</v>
      </c>
      <c r="GP51" t="s">
        <v>2060</v>
      </c>
      <c r="GQ51" t="s">
        <v>2060</v>
      </c>
      <c r="GR51" t="s">
        <v>2060</v>
      </c>
      <c r="GS51" t="s">
        <v>2060</v>
      </c>
      <c r="GT51" t="s">
        <v>2060</v>
      </c>
      <c r="GU51" t="s">
        <v>2060</v>
      </c>
      <c r="GV51" t="s">
        <v>2060</v>
      </c>
      <c r="GW51" t="s">
        <v>2060</v>
      </c>
      <c r="GX51" t="s">
        <v>2060</v>
      </c>
      <c r="GY51" t="s">
        <v>2060</v>
      </c>
      <c r="GZ51" t="s">
        <v>2060</v>
      </c>
      <c r="HA51" t="s">
        <v>2060</v>
      </c>
      <c r="HB51" t="s">
        <v>2060</v>
      </c>
      <c r="HC51" t="s">
        <v>2049</v>
      </c>
      <c r="HD51" t="s">
        <v>2030</v>
      </c>
      <c r="HE51" t="s">
        <v>2049</v>
      </c>
      <c r="HF51" t="s">
        <v>2030</v>
      </c>
      <c r="HG51" t="s">
        <v>2060</v>
      </c>
      <c r="HH51" t="s">
        <v>2049</v>
      </c>
      <c r="HI51" t="s">
        <v>2049</v>
      </c>
      <c r="HJ51" t="s">
        <v>2060</v>
      </c>
      <c r="HK51" t="s">
        <v>2060</v>
      </c>
      <c r="HL51" t="s">
        <v>2060</v>
      </c>
      <c r="HM51" t="s">
        <v>2049</v>
      </c>
      <c r="HN51" t="s">
        <v>2060</v>
      </c>
      <c r="HO51" t="s">
        <v>2030</v>
      </c>
      <c r="HP51" t="s">
        <v>2049</v>
      </c>
      <c r="HQ51" t="s">
        <v>2030</v>
      </c>
      <c r="HR51" t="s">
        <v>2030</v>
      </c>
      <c r="HS51" t="s">
        <v>2030</v>
      </c>
      <c r="HT51" t="s">
        <v>2060</v>
      </c>
      <c r="HU51" t="s">
        <v>2060</v>
      </c>
      <c r="HV51" t="s">
        <v>2060</v>
      </c>
      <c r="HW51" t="s">
        <v>2060</v>
      </c>
      <c r="HX51" t="s">
        <v>2060</v>
      </c>
      <c r="HY51" t="s">
        <v>2060</v>
      </c>
      <c r="HZ51" t="s">
        <v>2049</v>
      </c>
      <c r="IA51" t="s">
        <v>2060</v>
      </c>
      <c r="IB51" t="s">
        <v>2060</v>
      </c>
      <c r="IC51" t="s">
        <v>2049</v>
      </c>
      <c r="ID51" t="s">
        <v>2060</v>
      </c>
      <c r="IE51" t="s">
        <v>2060</v>
      </c>
      <c r="IF51" t="s">
        <v>2030</v>
      </c>
      <c r="IG51" t="s">
        <v>2030</v>
      </c>
      <c r="IH51" t="s">
        <v>2030</v>
      </c>
      <c r="II51" t="s">
        <v>2030</v>
      </c>
      <c r="IJ51" t="s">
        <v>2030</v>
      </c>
      <c r="IK51" t="s">
        <v>2060</v>
      </c>
      <c r="IL51" t="s">
        <v>2049</v>
      </c>
      <c r="IM51" t="s">
        <v>2060</v>
      </c>
      <c r="IN51" t="s">
        <v>2060</v>
      </c>
      <c r="IO51" t="s">
        <v>2030</v>
      </c>
      <c r="IP51" t="s">
        <v>2060</v>
      </c>
      <c r="IQ51" t="s">
        <v>2060</v>
      </c>
      <c r="IR51" t="s">
        <v>2049</v>
      </c>
      <c r="IS51" t="s">
        <v>2060</v>
      </c>
      <c r="IT51" t="s">
        <v>2060</v>
      </c>
      <c r="IU51" t="s">
        <v>2060</v>
      </c>
      <c r="IV51" t="s">
        <v>2060</v>
      </c>
      <c r="IW51" t="s">
        <v>2060</v>
      </c>
      <c r="IX51" t="s">
        <v>2060</v>
      </c>
      <c r="IY51" t="s">
        <v>2060</v>
      </c>
      <c r="IZ51" t="s">
        <v>2060</v>
      </c>
      <c r="JA51" t="s">
        <v>2060</v>
      </c>
      <c r="JB51" t="s">
        <v>2030</v>
      </c>
      <c r="JC51" t="s">
        <v>2060</v>
      </c>
      <c r="JD51" t="s">
        <v>2060</v>
      </c>
      <c r="JE51" t="s">
        <v>2060</v>
      </c>
      <c r="JF51" t="s">
        <v>2060</v>
      </c>
      <c r="JG51" t="s">
        <v>2060</v>
      </c>
      <c r="JH51" t="s">
        <v>2060</v>
      </c>
      <c r="JI51" t="s">
        <v>2060</v>
      </c>
      <c r="JJ51" t="s">
        <v>2060</v>
      </c>
      <c r="JK51" t="s">
        <v>2049</v>
      </c>
      <c r="JL51" t="s">
        <v>2030</v>
      </c>
      <c r="JM51" t="s">
        <v>2060</v>
      </c>
      <c r="JN51" t="s">
        <v>2060</v>
      </c>
      <c r="JO51" t="s">
        <v>2049</v>
      </c>
      <c r="JP51" t="s">
        <v>2049</v>
      </c>
      <c r="JQ51" t="s">
        <v>2060</v>
      </c>
      <c r="JR51" t="s">
        <v>2060</v>
      </c>
      <c r="JS51" t="s">
        <v>2049</v>
      </c>
      <c r="JT51" t="s">
        <v>2030</v>
      </c>
      <c r="JU51" t="s">
        <v>2049</v>
      </c>
      <c r="JV51" t="s">
        <v>2030</v>
      </c>
      <c r="JW51" t="s">
        <v>2060</v>
      </c>
      <c r="JX51" t="s">
        <v>2060</v>
      </c>
      <c r="JY51" t="s">
        <v>2060</v>
      </c>
      <c r="JZ51" t="s">
        <v>2030</v>
      </c>
      <c r="KA51" t="s">
        <v>2060</v>
      </c>
      <c r="KB51" t="s">
        <v>2060</v>
      </c>
      <c r="KC51" t="s">
        <v>2060</v>
      </c>
      <c r="KD51" t="s">
        <v>2060</v>
      </c>
      <c r="KE51" t="s">
        <v>2060</v>
      </c>
      <c r="KF51" t="s">
        <v>2060</v>
      </c>
      <c r="KG51" t="s">
        <v>2060</v>
      </c>
      <c r="KH51" t="s">
        <v>2060</v>
      </c>
      <c r="KI51" t="s">
        <v>2060</v>
      </c>
      <c r="KJ51" t="s">
        <v>2049</v>
      </c>
      <c r="KK51" t="s">
        <v>2060</v>
      </c>
      <c r="KL51" t="s">
        <v>2060</v>
      </c>
      <c r="KM51" t="s">
        <v>2060</v>
      </c>
      <c r="KN51" t="s">
        <v>2030</v>
      </c>
      <c r="KO51" t="s">
        <v>2060</v>
      </c>
      <c r="KP51" t="s">
        <v>2049</v>
      </c>
      <c r="KQ51" t="s">
        <v>2049</v>
      </c>
      <c r="KR51" t="s">
        <v>2060</v>
      </c>
      <c r="KS51" t="s">
        <v>2060</v>
      </c>
      <c r="KT51" t="s">
        <v>2060</v>
      </c>
      <c r="KU51" t="s">
        <v>2060</v>
      </c>
      <c r="KV51" t="s">
        <v>2060</v>
      </c>
      <c r="KW51" t="s">
        <v>2060</v>
      </c>
      <c r="KX51" t="s">
        <v>2060</v>
      </c>
      <c r="KY51" t="s">
        <v>2060</v>
      </c>
      <c r="KZ51" t="s">
        <v>2060</v>
      </c>
      <c r="LA51" t="s">
        <v>2060</v>
      </c>
      <c r="LB51" t="s">
        <v>2060</v>
      </c>
      <c r="LC51" t="s">
        <v>2060</v>
      </c>
      <c r="LD51" t="s">
        <v>2060</v>
      </c>
      <c r="LE51" t="s">
        <v>2060</v>
      </c>
      <c r="LF51" t="s">
        <v>2060</v>
      </c>
      <c r="LG51" t="s">
        <v>2030</v>
      </c>
      <c r="LH51" t="s">
        <v>2030</v>
      </c>
      <c r="LI51" t="s">
        <v>2030</v>
      </c>
      <c r="LJ51" t="s">
        <v>2060</v>
      </c>
      <c r="LK51" t="s">
        <v>2030</v>
      </c>
      <c r="LL51" t="s">
        <v>2030</v>
      </c>
      <c r="LM51" t="s">
        <v>2060</v>
      </c>
      <c r="LN51" t="s">
        <v>2060</v>
      </c>
      <c r="LO51" t="s">
        <v>2030</v>
      </c>
      <c r="LP51" t="s">
        <v>2030</v>
      </c>
      <c r="LQ51" t="s">
        <v>2030</v>
      </c>
      <c r="LR51" t="s">
        <v>2030</v>
      </c>
      <c r="LS51" t="s">
        <v>2049</v>
      </c>
      <c r="LT51" t="s">
        <v>2049</v>
      </c>
      <c r="LU51" t="s">
        <v>2060</v>
      </c>
      <c r="LV51" t="s">
        <v>2060</v>
      </c>
      <c r="LW51" t="s">
        <v>2030</v>
      </c>
      <c r="LX51" t="s">
        <v>2060</v>
      </c>
      <c r="LY51" t="s">
        <v>2060</v>
      </c>
      <c r="LZ51" t="s">
        <v>2060</v>
      </c>
      <c r="MA51" t="s">
        <v>2060</v>
      </c>
      <c r="MB51" t="s">
        <v>2060</v>
      </c>
      <c r="MC51" t="s">
        <v>2060</v>
      </c>
      <c r="MD51" t="s">
        <v>2030</v>
      </c>
      <c r="ME51" t="s">
        <v>2060</v>
      </c>
      <c r="MF51" t="s">
        <v>2060</v>
      </c>
      <c r="MG51" t="s">
        <v>2030</v>
      </c>
      <c r="MH51" t="s">
        <v>2030</v>
      </c>
      <c r="MI51" t="s">
        <v>2030</v>
      </c>
      <c r="MJ51" t="s">
        <v>2060</v>
      </c>
      <c r="MK51" t="s">
        <v>2060</v>
      </c>
      <c r="ML51" t="s">
        <v>2060</v>
      </c>
      <c r="MM51" t="s">
        <v>2060</v>
      </c>
      <c r="MN51" t="s">
        <v>2060</v>
      </c>
      <c r="MO51" t="s">
        <v>2060</v>
      </c>
      <c r="MP51" t="s">
        <v>2060</v>
      </c>
      <c r="MQ51" t="s">
        <v>2060</v>
      </c>
      <c r="MR51" t="s">
        <v>2060</v>
      </c>
      <c r="MS51" t="s">
        <v>2060</v>
      </c>
      <c r="MT51" t="s">
        <v>2060</v>
      </c>
      <c r="MU51" t="s">
        <v>2060</v>
      </c>
      <c r="MV51" t="s">
        <v>2060</v>
      </c>
      <c r="MW51" t="s">
        <v>2060</v>
      </c>
      <c r="MX51" t="s">
        <v>2030</v>
      </c>
      <c r="MY51" t="s">
        <v>2060</v>
      </c>
      <c r="MZ51" t="s">
        <v>2030</v>
      </c>
      <c r="NA51" t="s">
        <v>2060</v>
      </c>
      <c r="NB51" t="s">
        <v>2060</v>
      </c>
      <c r="NC51" t="s">
        <v>2060</v>
      </c>
      <c r="ND51" t="s">
        <v>2060</v>
      </c>
      <c r="NG51" t="s">
        <v>2060</v>
      </c>
      <c r="NH51" t="s">
        <v>2060</v>
      </c>
      <c r="NI51" t="s">
        <v>2060</v>
      </c>
      <c r="NJ51" t="s">
        <v>2060</v>
      </c>
      <c r="NK51" t="s">
        <v>2060</v>
      </c>
      <c r="NL51" t="s">
        <v>2060</v>
      </c>
      <c r="NM51" t="s">
        <v>2060</v>
      </c>
      <c r="NN51" t="s">
        <v>2030</v>
      </c>
      <c r="NR51" t="s">
        <v>1507</v>
      </c>
      <c r="NS51" t="s">
        <v>2097</v>
      </c>
      <c r="NX51" t="s">
        <v>2099</v>
      </c>
      <c r="NY51" t="s">
        <v>1885</v>
      </c>
    </row>
    <row r="52" spans="1:389" ht="15" customHeight="1" x14ac:dyDescent="0.25">
      <c r="A52" t="s">
        <v>2100</v>
      </c>
      <c r="B52" t="s">
        <v>1878</v>
      </c>
      <c r="C52" t="s">
        <v>1841</v>
      </c>
      <c r="D52" t="s">
        <v>1508</v>
      </c>
      <c r="G52" t="s">
        <v>2100</v>
      </c>
      <c r="H52" t="s">
        <v>1950</v>
      </c>
      <c r="I52" t="s">
        <v>1950</v>
      </c>
      <c r="J52" t="s">
        <v>1950</v>
      </c>
      <c r="K52" t="s">
        <v>2100</v>
      </c>
      <c r="L52" t="s">
        <v>2100</v>
      </c>
      <c r="M52" t="s">
        <v>2100</v>
      </c>
      <c r="N52" t="s">
        <v>2100</v>
      </c>
      <c r="O52" t="s">
        <v>1950</v>
      </c>
      <c r="P52" t="s">
        <v>2100</v>
      </c>
      <c r="Q52" t="s">
        <v>1950</v>
      </c>
      <c r="R52" t="s">
        <v>2100</v>
      </c>
      <c r="S52" t="s">
        <v>2100</v>
      </c>
      <c r="T52" t="s">
        <v>1950</v>
      </c>
      <c r="U52" t="s">
        <v>1950</v>
      </c>
      <c r="V52" t="s">
        <v>1950</v>
      </c>
      <c r="W52" t="s">
        <v>1950</v>
      </c>
      <c r="X52" t="s">
        <v>1950</v>
      </c>
      <c r="Y52" t="s">
        <v>1950</v>
      </c>
      <c r="AA52" t="s">
        <v>1950</v>
      </c>
      <c r="AB52" t="s">
        <v>1950</v>
      </c>
      <c r="AC52" t="s">
        <v>1950</v>
      </c>
      <c r="AD52" t="s">
        <v>1950</v>
      </c>
      <c r="AE52" t="s">
        <v>1950</v>
      </c>
      <c r="AF52" t="s">
        <v>1950</v>
      </c>
      <c r="AG52" t="s">
        <v>1950</v>
      </c>
      <c r="AH52" t="s">
        <v>2100</v>
      </c>
      <c r="AI52" t="s">
        <v>1950</v>
      </c>
      <c r="AJ52" t="s">
        <v>1950</v>
      </c>
      <c r="AK52" t="s">
        <v>1950</v>
      </c>
      <c r="AL52" t="s">
        <v>1950</v>
      </c>
      <c r="AM52" t="s">
        <v>2100</v>
      </c>
      <c r="AN52" t="s">
        <v>1950</v>
      </c>
      <c r="AO52" t="s">
        <v>2100</v>
      </c>
      <c r="AP52" t="s">
        <v>2100</v>
      </c>
      <c r="AQ52" t="s">
        <v>2100</v>
      </c>
      <c r="AR52" t="s">
        <v>2100</v>
      </c>
      <c r="AS52" t="s">
        <v>1950</v>
      </c>
      <c r="AT52" t="s">
        <v>1950</v>
      </c>
      <c r="AU52" t="s">
        <v>1950</v>
      </c>
      <c r="AV52" t="s">
        <v>1950</v>
      </c>
      <c r="AW52" t="s">
        <v>1950</v>
      </c>
      <c r="AX52" t="s">
        <v>1950</v>
      </c>
      <c r="AY52" t="s">
        <v>1950</v>
      </c>
      <c r="AZ52" t="s">
        <v>1950</v>
      </c>
      <c r="BA52" t="s">
        <v>1950</v>
      </c>
      <c r="BB52" t="s">
        <v>1950</v>
      </c>
      <c r="BC52" t="s">
        <v>1950</v>
      </c>
      <c r="BD52" t="s">
        <v>1950</v>
      </c>
      <c r="BE52" t="s">
        <v>1950</v>
      </c>
      <c r="BF52" t="s">
        <v>1950</v>
      </c>
      <c r="BG52" t="s">
        <v>1950</v>
      </c>
      <c r="BH52" t="s">
        <v>1950</v>
      </c>
      <c r="BI52" t="s">
        <v>1950</v>
      </c>
      <c r="BJ52" t="s">
        <v>1950</v>
      </c>
      <c r="BK52" t="s">
        <v>1950</v>
      </c>
      <c r="BL52" t="s">
        <v>1950</v>
      </c>
      <c r="BM52" t="s">
        <v>1950</v>
      </c>
      <c r="BN52" t="s">
        <v>1950</v>
      </c>
      <c r="BO52" t="s">
        <v>1950</v>
      </c>
      <c r="BP52" t="s">
        <v>1950</v>
      </c>
      <c r="BQ52" t="s">
        <v>1950</v>
      </c>
      <c r="BR52" t="s">
        <v>1950</v>
      </c>
      <c r="BS52" t="s">
        <v>1950</v>
      </c>
      <c r="BT52" t="s">
        <v>1950</v>
      </c>
      <c r="BU52" t="s">
        <v>1950</v>
      </c>
      <c r="BV52" t="s">
        <v>1950</v>
      </c>
      <c r="BW52" t="s">
        <v>1950</v>
      </c>
      <c r="BX52" t="s">
        <v>1950</v>
      </c>
      <c r="BY52" t="s">
        <v>1950</v>
      </c>
      <c r="BZ52" t="s">
        <v>2100</v>
      </c>
      <c r="CA52" t="s">
        <v>2100</v>
      </c>
      <c r="CB52" t="s">
        <v>1950</v>
      </c>
      <c r="CC52" t="s">
        <v>1950</v>
      </c>
      <c r="CD52" t="s">
        <v>1950</v>
      </c>
      <c r="CE52" t="s">
        <v>2100</v>
      </c>
      <c r="CF52" t="s">
        <v>1950</v>
      </c>
      <c r="CG52" t="s">
        <v>1950</v>
      </c>
      <c r="CH52" t="s">
        <v>1950</v>
      </c>
      <c r="CI52" t="s">
        <v>1950</v>
      </c>
      <c r="CJ52" t="s">
        <v>1950</v>
      </c>
      <c r="CK52" t="s">
        <v>2100</v>
      </c>
      <c r="CL52" t="s">
        <v>2100</v>
      </c>
      <c r="CM52" t="s">
        <v>2100</v>
      </c>
      <c r="CN52" t="s">
        <v>2100</v>
      </c>
      <c r="CO52" t="s">
        <v>2100</v>
      </c>
      <c r="CP52" t="s">
        <v>2100</v>
      </c>
      <c r="CQ52" t="s">
        <v>2100</v>
      </c>
      <c r="CR52" t="s">
        <v>2100</v>
      </c>
      <c r="CS52" t="s">
        <v>1950</v>
      </c>
      <c r="CT52" t="s">
        <v>1950</v>
      </c>
      <c r="CU52" t="s">
        <v>2100</v>
      </c>
      <c r="CV52" t="s">
        <v>1950</v>
      </c>
      <c r="CW52" t="s">
        <v>1950</v>
      </c>
      <c r="CX52" t="s">
        <v>1950</v>
      </c>
      <c r="CY52" t="s">
        <v>1950</v>
      </c>
      <c r="CZ52" t="s">
        <v>2100</v>
      </c>
      <c r="DA52" t="s">
        <v>2100</v>
      </c>
      <c r="DB52" t="s">
        <v>2100</v>
      </c>
      <c r="DC52" t="s">
        <v>2100</v>
      </c>
      <c r="DD52" t="s">
        <v>1950</v>
      </c>
      <c r="DE52" t="s">
        <v>1950</v>
      </c>
      <c r="DF52" t="s">
        <v>1950</v>
      </c>
      <c r="DG52" t="s">
        <v>1950</v>
      </c>
      <c r="DH52" t="s">
        <v>1950</v>
      </c>
      <c r="DI52" t="s">
        <v>1950</v>
      </c>
      <c r="DJ52" t="s">
        <v>2100</v>
      </c>
      <c r="DK52" t="s">
        <v>2100</v>
      </c>
      <c r="DL52" t="s">
        <v>1950</v>
      </c>
      <c r="DM52" t="s">
        <v>1950</v>
      </c>
      <c r="DN52" t="s">
        <v>1950</v>
      </c>
      <c r="DO52" t="s">
        <v>2100</v>
      </c>
      <c r="DP52" t="s">
        <v>2100</v>
      </c>
      <c r="DQ52" t="s">
        <v>2100</v>
      </c>
      <c r="DR52" t="s">
        <v>2100</v>
      </c>
      <c r="DS52" t="s">
        <v>1950</v>
      </c>
      <c r="DT52" t="s">
        <v>2100</v>
      </c>
      <c r="DU52" t="s">
        <v>2100</v>
      </c>
      <c r="DV52" t="s">
        <v>2100</v>
      </c>
      <c r="DW52" t="s">
        <v>1950</v>
      </c>
      <c r="DX52" t="s">
        <v>1950</v>
      </c>
      <c r="DY52" t="s">
        <v>1950</v>
      </c>
      <c r="DZ52" t="s">
        <v>1950</v>
      </c>
      <c r="EA52" t="s">
        <v>2100</v>
      </c>
      <c r="EB52" t="s">
        <v>2100</v>
      </c>
      <c r="EC52" t="s">
        <v>2100</v>
      </c>
      <c r="ED52" t="s">
        <v>1950</v>
      </c>
      <c r="EE52" t="s">
        <v>1950</v>
      </c>
      <c r="EF52" t="s">
        <v>1950</v>
      </c>
      <c r="EG52" t="s">
        <v>2100</v>
      </c>
      <c r="EH52" t="s">
        <v>2100</v>
      </c>
      <c r="EI52" t="s">
        <v>2100</v>
      </c>
      <c r="EJ52" t="s">
        <v>2100</v>
      </c>
      <c r="EK52" t="s">
        <v>2100</v>
      </c>
      <c r="EL52" t="s">
        <v>2100</v>
      </c>
      <c r="EM52" t="s">
        <v>1950</v>
      </c>
      <c r="EN52" t="s">
        <v>1950</v>
      </c>
      <c r="EO52" t="s">
        <v>1950</v>
      </c>
      <c r="ET52" t="s">
        <v>1950</v>
      </c>
      <c r="EU52" t="s">
        <v>1950</v>
      </c>
      <c r="EV52" t="s">
        <v>1950</v>
      </c>
      <c r="EW52" t="s">
        <v>1950</v>
      </c>
      <c r="EX52" t="s">
        <v>2033</v>
      </c>
      <c r="EY52" t="s">
        <v>2100</v>
      </c>
      <c r="EZ52" t="s">
        <v>1950</v>
      </c>
      <c r="FA52" t="s">
        <v>2100</v>
      </c>
      <c r="FB52" t="s">
        <v>2100</v>
      </c>
      <c r="FC52" t="s">
        <v>2100</v>
      </c>
      <c r="FD52" t="s">
        <v>1950</v>
      </c>
      <c r="FE52" t="s">
        <v>1950</v>
      </c>
      <c r="FF52" t="s">
        <v>2100</v>
      </c>
      <c r="FG52" t="s">
        <v>2100</v>
      </c>
      <c r="FH52" t="s">
        <v>2100</v>
      </c>
      <c r="FI52" t="s">
        <v>2100</v>
      </c>
      <c r="FJ52" t="s">
        <v>2033</v>
      </c>
      <c r="FK52" t="s">
        <v>1950</v>
      </c>
      <c r="FL52" t="s">
        <v>1950</v>
      </c>
      <c r="FM52" t="s">
        <v>1950</v>
      </c>
      <c r="FN52" t="s">
        <v>1950</v>
      </c>
      <c r="FO52" t="s">
        <v>1950</v>
      </c>
      <c r="FP52" t="s">
        <v>1950</v>
      </c>
      <c r="FQ52" t="s">
        <v>1950</v>
      </c>
      <c r="FR52" t="s">
        <v>1950</v>
      </c>
      <c r="FS52" t="s">
        <v>1950</v>
      </c>
      <c r="FT52" t="s">
        <v>1950</v>
      </c>
      <c r="FU52" t="s">
        <v>1950</v>
      </c>
      <c r="FV52" t="s">
        <v>1950</v>
      </c>
      <c r="FW52" t="s">
        <v>1950</v>
      </c>
      <c r="FX52" t="s">
        <v>1950</v>
      </c>
      <c r="FY52" t="s">
        <v>2100</v>
      </c>
      <c r="FZ52" t="s">
        <v>2100</v>
      </c>
      <c r="GA52" t="s">
        <v>2100</v>
      </c>
      <c r="GB52" t="s">
        <v>1950</v>
      </c>
      <c r="GC52" t="s">
        <v>1950</v>
      </c>
      <c r="GD52" t="s">
        <v>1950</v>
      </c>
      <c r="GE52" t="s">
        <v>1950</v>
      </c>
      <c r="GF52" t="s">
        <v>1950</v>
      </c>
      <c r="GG52" t="s">
        <v>1950</v>
      </c>
      <c r="GH52" t="s">
        <v>1950</v>
      </c>
      <c r="GI52" t="s">
        <v>1950</v>
      </c>
      <c r="GJ52" t="s">
        <v>1950</v>
      </c>
      <c r="GK52" t="s">
        <v>1950</v>
      </c>
      <c r="GL52" t="s">
        <v>1950</v>
      </c>
      <c r="GM52" t="s">
        <v>1950</v>
      </c>
      <c r="GN52" t="s">
        <v>1950</v>
      </c>
      <c r="GO52" t="s">
        <v>1950</v>
      </c>
      <c r="GP52" t="s">
        <v>1950</v>
      </c>
      <c r="GQ52" t="s">
        <v>1950</v>
      </c>
      <c r="GR52" t="s">
        <v>1950</v>
      </c>
      <c r="GS52" t="s">
        <v>1950</v>
      </c>
      <c r="GT52" t="s">
        <v>1950</v>
      </c>
      <c r="GU52" t="s">
        <v>1950</v>
      </c>
      <c r="GV52" t="s">
        <v>1950</v>
      </c>
      <c r="GW52" t="s">
        <v>1950</v>
      </c>
      <c r="GX52" t="s">
        <v>1950</v>
      </c>
      <c r="GY52" t="s">
        <v>1950</v>
      </c>
      <c r="GZ52" t="s">
        <v>1950</v>
      </c>
      <c r="HA52" t="s">
        <v>1950</v>
      </c>
      <c r="HB52" t="s">
        <v>1950</v>
      </c>
      <c r="HC52" t="s">
        <v>2033</v>
      </c>
      <c r="HD52" t="s">
        <v>2100</v>
      </c>
      <c r="HE52" t="s">
        <v>2033</v>
      </c>
      <c r="HF52" t="s">
        <v>2100</v>
      </c>
      <c r="HG52" t="s">
        <v>1950</v>
      </c>
      <c r="HH52" t="s">
        <v>2033</v>
      </c>
      <c r="HI52" t="s">
        <v>2033</v>
      </c>
      <c r="HJ52" t="s">
        <v>1950</v>
      </c>
      <c r="HK52" t="s">
        <v>1950</v>
      </c>
      <c r="HL52" t="s">
        <v>1950</v>
      </c>
      <c r="HM52" t="s">
        <v>2033</v>
      </c>
      <c r="HN52" t="s">
        <v>1950</v>
      </c>
      <c r="HO52" t="s">
        <v>2100</v>
      </c>
      <c r="HP52" t="s">
        <v>2033</v>
      </c>
      <c r="HQ52" t="s">
        <v>2100</v>
      </c>
      <c r="HR52" t="s">
        <v>2100</v>
      </c>
      <c r="HS52" t="s">
        <v>2100</v>
      </c>
      <c r="HT52" t="s">
        <v>1950</v>
      </c>
      <c r="HU52" t="s">
        <v>1950</v>
      </c>
      <c r="HV52" t="s">
        <v>1950</v>
      </c>
      <c r="HW52" t="s">
        <v>1950</v>
      </c>
      <c r="HX52" t="s">
        <v>1950</v>
      </c>
      <c r="HY52" t="s">
        <v>1950</v>
      </c>
      <c r="HZ52" t="s">
        <v>2033</v>
      </c>
      <c r="IA52" t="s">
        <v>1950</v>
      </c>
      <c r="IB52" t="s">
        <v>1950</v>
      </c>
      <c r="IC52" t="s">
        <v>2033</v>
      </c>
      <c r="ID52" t="s">
        <v>1950</v>
      </c>
      <c r="IE52" t="s">
        <v>1950</v>
      </c>
      <c r="IF52" t="s">
        <v>2100</v>
      </c>
      <c r="IG52" t="s">
        <v>2100</v>
      </c>
      <c r="IH52" t="s">
        <v>2100</v>
      </c>
      <c r="II52" t="s">
        <v>2100</v>
      </c>
      <c r="IJ52" t="s">
        <v>2100</v>
      </c>
      <c r="IK52" t="s">
        <v>1950</v>
      </c>
      <c r="IL52" t="s">
        <v>2033</v>
      </c>
      <c r="IM52" t="s">
        <v>1950</v>
      </c>
      <c r="IN52" t="s">
        <v>1950</v>
      </c>
      <c r="IO52" t="s">
        <v>2100</v>
      </c>
      <c r="IP52" t="s">
        <v>1950</v>
      </c>
      <c r="IQ52" t="s">
        <v>1950</v>
      </c>
      <c r="IR52" t="s">
        <v>2033</v>
      </c>
      <c r="IS52" t="s">
        <v>1950</v>
      </c>
      <c r="IT52" t="s">
        <v>1950</v>
      </c>
      <c r="IU52" t="s">
        <v>1950</v>
      </c>
      <c r="IV52" t="s">
        <v>1950</v>
      </c>
      <c r="IW52" t="s">
        <v>1950</v>
      </c>
      <c r="IX52" t="s">
        <v>1950</v>
      </c>
      <c r="IY52" t="s">
        <v>1950</v>
      </c>
      <c r="IZ52" t="s">
        <v>1950</v>
      </c>
      <c r="JA52" t="s">
        <v>1950</v>
      </c>
      <c r="JB52" t="s">
        <v>2100</v>
      </c>
      <c r="JC52" t="s">
        <v>1950</v>
      </c>
      <c r="JD52" t="s">
        <v>1950</v>
      </c>
      <c r="JE52" t="s">
        <v>1950</v>
      </c>
      <c r="JF52" t="s">
        <v>1950</v>
      </c>
      <c r="JG52" t="s">
        <v>1950</v>
      </c>
      <c r="JH52" t="s">
        <v>1950</v>
      </c>
      <c r="JI52" t="s">
        <v>1950</v>
      </c>
      <c r="JJ52" t="s">
        <v>1950</v>
      </c>
      <c r="JK52" t="s">
        <v>2033</v>
      </c>
      <c r="JL52" t="s">
        <v>2100</v>
      </c>
      <c r="JM52" t="s">
        <v>1950</v>
      </c>
      <c r="JN52" t="s">
        <v>1950</v>
      </c>
      <c r="JO52" t="s">
        <v>2033</v>
      </c>
      <c r="JP52" t="s">
        <v>2033</v>
      </c>
      <c r="JQ52" t="s">
        <v>1950</v>
      </c>
      <c r="JR52" t="s">
        <v>1950</v>
      </c>
      <c r="JS52" t="s">
        <v>2033</v>
      </c>
      <c r="JT52" t="s">
        <v>2100</v>
      </c>
      <c r="JU52" t="s">
        <v>2033</v>
      </c>
      <c r="JV52" t="s">
        <v>2100</v>
      </c>
      <c r="JW52" t="s">
        <v>1950</v>
      </c>
      <c r="JX52" t="s">
        <v>1950</v>
      </c>
      <c r="JY52" t="s">
        <v>1950</v>
      </c>
      <c r="JZ52" t="s">
        <v>2100</v>
      </c>
      <c r="KA52" t="s">
        <v>1950</v>
      </c>
      <c r="KB52" t="s">
        <v>1950</v>
      </c>
      <c r="KC52" t="s">
        <v>1950</v>
      </c>
      <c r="KD52" t="s">
        <v>1950</v>
      </c>
      <c r="KE52" t="s">
        <v>1950</v>
      </c>
      <c r="KF52" t="s">
        <v>1950</v>
      </c>
      <c r="KG52" t="s">
        <v>1950</v>
      </c>
      <c r="KH52" t="s">
        <v>1950</v>
      </c>
      <c r="KI52" t="s">
        <v>1950</v>
      </c>
      <c r="KJ52" t="s">
        <v>2033</v>
      </c>
      <c r="KK52" t="s">
        <v>1950</v>
      </c>
      <c r="KL52" t="s">
        <v>1950</v>
      </c>
      <c r="KM52" t="s">
        <v>1950</v>
      </c>
      <c r="KN52" t="s">
        <v>2100</v>
      </c>
      <c r="KO52" t="s">
        <v>1950</v>
      </c>
      <c r="KP52" t="s">
        <v>2033</v>
      </c>
      <c r="KQ52" t="s">
        <v>2033</v>
      </c>
      <c r="KR52" t="s">
        <v>1950</v>
      </c>
      <c r="KS52" t="s">
        <v>1950</v>
      </c>
      <c r="KT52" t="s">
        <v>1950</v>
      </c>
      <c r="KU52" t="s">
        <v>1950</v>
      </c>
      <c r="KV52" t="s">
        <v>1950</v>
      </c>
      <c r="KW52" t="s">
        <v>1950</v>
      </c>
      <c r="KX52" t="s">
        <v>1950</v>
      </c>
      <c r="KY52" t="s">
        <v>1950</v>
      </c>
      <c r="KZ52" t="s">
        <v>1950</v>
      </c>
      <c r="LA52" t="s">
        <v>1950</v>
      </c>
      <c r="LB52" t="s">
        <v>1950</v>
      </c>
      <c r="LC52" t="s">
        <v>1950</v>
      </c>
      <c r="LD52" t="s">
        <v>1950</v>
      </c>
      <c r="LE52" t="s">
        <v>1950</v>
      </c>
      <c r="LF52" t="s">
        <v>1950</v>
      </c>
      <c r="LG52" t="s">
        <v>2100</v>
      </c>
      <c r="LH52" t="s">
        <v>2100</v>
      </c>
      <c r="LI52" t="s">
        <v>2100</v>
      </c>
      <c r="LJ52" t="s">
        <v>1950</v>
      </c>
      <c r="LK52" t="s">
        <v>2100</v>
      </c>
      <c r="LL52" t="s">
        <v>2100</v>
      </c>
      <c r="LM52" t="s">
        <v>1950</v>
      </c>
      <c r="LN52" t="s">
        <v>1950</v>
      </c>
      <c r="LO52" t="s">
        <v>2100</v>
      </c>
      <c r="LP52" t="s">
        <v>2100</v>
      </c>
      <c r="LQ52" t="s">
        <v>2100</v>
      </c>
      <c r="LR52" t="s">
        <v>2100</v>
      </c>
      <c r="LS52" t="s">
        <v>2033</v>
      </c>
      <c r="LT52" t="s">
        <v>2033</v>
      </c>
      <c r="LU52" t="s">
        <v>1950</v>
      </c>
      <c r="LV52" t="s">
        <v>1950</v>
      </c>
      <c r="LW52" t="s">
        <v>2100</v>
      </c>
      <c r="LX52" t="s">
        <v>1950</v>
      </c>
      <c r="LY52" t="s">
        <v>1950</v>
      </c>
      <c r="LZ52" t="s">
        <v>1950</v>
      </c>
      <c r="MA52" t="s">
        <v>1950</v>
      </c>
      <c r="MB52" t="s">
        <v>1950</v>
      </c>
      <c r="MC52" t="s">
        <v>1950</v>
      </c>
      <c r="MD52" t="s">
        <v>2100</v>
      </c>
      <c r="ME52" t="s">
        <v>1950</v>
      </c>
      <c r="MF52" t="s">
        <v>1950</v>
      </c>
      <c r="MG52" t="s">
        <v>2100</v>
      </c>
      <c r="MH52" t="s">
        <v>2100</v>
      </c>
      <c r="MI52" t="s">
        <v>2100</v>
      </c>
      <c r="MJ52" t="s">
        <v>1950</v>
      </c>
      <c r="MK52" t="s">
        <v>1950</v>
      </c>
      <c r="ML52" t="s">
        <v>1950</v>
      </c>
      <c r="MM52" t="s">
        <v>1950</v>
      </c>
      <c r="MN52" t="s">
        <v>1950</v>
      </c>
      <c r="MO52" t="s">
        <v>1950</v>
      </c>
      <c r="MP52" t="s">
        <v>1950</v>
      </c>
      <c r="MQ52" t="s">
        <v>1950</v>
      </c>
      <c r="MR52" t="s">
        <v>1950</v>
      </c>
      <c r="MS52" t="s">
        <v>1950</v>
      </c>
      <c r="MT52" t="s">
        <v>1950</v>
      </c>
      <c r="MU52" t="s">
        <v>1950</v>
      </c>
      <c r="MV52" t="s">
        <v>1950</v>
      </c>
      <c r="MW52" t="s">
        <v>1950</v>
      </c>
      <c r="MX52" t="s">
        <v>2100</v>
      </c>
      <c r="MY52" t="s">
        <v>1950</v>
      </c>
      <c r="MZ52" t="s">
        <v>2100</v>
      </c>
      <c r="NA52" t="s">
        <v>1950</v>
      </c>
      <c r="NB52" t="s">
        <v>1950</v>
      </c>
      <c r="NC52" t="s">
        <v>1950</v>
      </c>
      <c r="ND52" t="s">
        <v>1950</v>
      </c>
      <c r="NG52" t="s">
        <v>1950</v>
      </c>
      <c r="NH52" t="s">
        <v>1950</v>
      </c>
      <c r="NI52" t="s">
        <v>1950</v>
      </c>
      <c r="NJ52" t="s">
        <v>1950</v>
      </c>
      <c r="NK52" t="s">
        <v>1950</v>
      </c>
      <c r="NL52" t="s">
        <v>1950</v>
      </c>
      <c r="NM52" t="s">
        <v>1950</v>
      </c>
      <c r="NN52" t="s">
        <v>2100</v>
      </c>
      <c r="NR52" t="s">
        <v>1508</v>
      </c>
      <c r="NS52" t="s">
        <v>2101</v>
      </c>
      <c r="NX52" t="s">
        <v>2102</v>
      </c>
      <c r="NY52" t="s">
        <v>1885</v>
      </c>
    </row>
    <row r="53" spans="1:389" ht="15" customHeight="1" x14ac:dyDescent="0.25">
      <c r="A53" t="s">
        <v>2103</v>
      </c>
      <c r="B53" t="s">
        <v>2104</v>
      </c>
      <c r="C53" t="s">
        <v>1841</v>
      </c>
      <c r="D53" t="s">
        <v>1509</v>
      </c>
      <c r="G53" t="s">
        <v>2103</v>
      </c>
      <c r="H53" t="s">
        <v>1969</v>
      </c>
      <c r="I53" t="s">
        <v>1969</v>
      </c>
      <c r="J53" t="s">
        <v>1969</v>
      </c>
      <c r="K53" t="s">
        <v>2103</v>
      </c>
      <c r="L53" t="s">
        <v>2103</v>
      </c>
      <c r="M53" t="s">
        <v>2103</v>
      </c>
      <c r="N53" t="s">
        <v>2103</v>
      </c>
      <c r="O53" t="s">
        <v>1969</v>
      </c>
      <c r="P53" t="s">
        <v>2103</v>
      </c>
      <c r="Q53" t="s">
        <v>1969</v>
      </c>
      <c r="R53" t="s">
        <v>2103</v>
      </c>
      <c r="S53" t="s">
        <v>2103</v>
      </c>
      <c r="T53" t="s">
        <v>1969</v>
      </c>
      <c r="U53" t="s">
        <v>1969</v>
      </c>
      <c r="V53" t="s">
        <v>1969</v>
      </c>
      <c r="W53" t="s">
        <v>1969</v>
      </c>
      <c r="X53" t="s">
        <v>1969</v>
      </c>
      <c r="Y53" t="s">
        <v>1969</v>
      </c>
      <c r="AA53" t="s">
        <v>1969</v>
      </c>
      <c r="AB53" t="s">
        <v>1969</v>
      </c>
      <c r="AC53" t="s">
        <v>1969</v>
      </c>
      <c r="AD53" t="s">
        <v>1969</v>
      </c>
      <c r="AE53" t="s">
        <v>1969</v>
      </c>
      <c r="AF53" t="s">
        <v>1969</v>
      </c>
      <c r="AG53" t="s">
        <v>1969</v>
      </c>
      <c r="AH53" t="s">
        <v>2103</v>
      </c>
      <c r="AI53" t="s">
        <v>1969</v>
      </c>
      <c r="AJ53" t="s">
        <v>1969</v>
      </c>
      <c r="AK53" t="s">
        <v>1969</v>
      </c>
      <c r="AL53" t="s">
        <v>1969</v>
      </c>
      <c r="AM53" t="s">
        <v>2103</v>
      </c>
      <c r="AN53" t="s">
        <v>1969</v>
      </c>
      <c r="AO53" t="s">
        <v>2103</v>
      </c>
      <c r="AP53" t="s">
        <v>2103</v>
      </c>
      <c r="AQ53" t="s">
        <v>2103</v>
      </c>
      <c r="AR53" t="s">
        <v>2103</v>
      </c>
      <c r="AS53" t="s">
        <v>1969</v>
      </c>
      <c r="AT53" t="s">
        <v>1969</v>
      </c>
      <c r="AU53" t="s">
        <v>1969</v>
      </c>
      <c r="AV53" t="s">
        <v>1969</v>
      </c>
      <c r="AW53" t="s">
        <v>1969</v>
      </c>
      <c r="AX53" t="s">
        <v>1969</v>
      </c>
      <c r="AY53" t="s">
        <v>1969</v>
      </c>
      <c r="AZ53" t="s">
        <v>1969</v>
      </c>
      <c r="BA53" t="s">
        <v>1969</v>
      </c>
      <c r="BB53" t="s">
        <v>1969</v>
      </c>
      <c r="BC53" t="s">
        <v>1969</v>
      </c>
      <c r="BD53" t="s">
        <v>1969</v>
      </c>
      <c r="BE53" t="s">
        <v>1969</v>
      </c>
      <c r="BF53" t="s">
        <v>1969</v>
      </c>
      <c r="BG53" t="s">
        <v>1969</v>
      </c>
      <c r="BH53" t="s">
        <v>1969</v>
      </c>
      <c r="BI53" t="s">
        <v>1969</v>
      </c>
      <c r="BJ53" t="s">
        <v>1969</v>
      </c>
      <c r="BK53" t="s">
        <v>1969</v>
      </c>
      <c r="BL53" t="s">
        <v>1969</v>
      </c>
      <c r="BM53" t="s">
        <v>1969</v>
      </c>
      <c r="BN53" t="s">
        <v>1969</v>
      </c>
      <c r="BO53" t="s">
        <v>1969</v>
      </c>
      <c r="BP53" t="s">
        <v>1969</v>
      </c>
      <c r="BQ53" t="s">
        <v>1969</v>
      </c>
      <c r="BR53" t="s">
        <v>1969</v>
      </c>
      <c r="BS53" t="s">
        <v>1969</v>
      </c>
      <c r="BT53" t="s">
        <v>1969</v>
      </c>
      <c r="BU53" t="s">
        <v>1969</v>
      </c>
      <c r="BV53" t="s">
        <v>1969</v>
      </c>
      <c r="BW53" t="s">
        <v>1969</v>
      </c>
      <c r="BX53" t="s">
        <v>1969</v>
      </c>
      <c r="BY53" t="s">
        <v>1969</v>
      </c>
      <c r="BZ53" t="s">
        <v>2103</v>
      </c>
      <c r="CA53" t="s">
        <v>2103</v>
      </c>
      <c r="CB53" t="s">
        <v>1969</v>
      </c>
      <c r="CC53" t="s">
        <v>1969</v>
      </c>
      <c r="CD53" t="s">
        <v>1969</v>
      </c>
      <c r="CE53" t="s">
        <v>2103</v>
      </c>
      <c r="CF53" t="s">
        <v>1969</v>
      </c>
      <c r="CG53" t="s">
        <v>1969</v>
      </c>
      <c r="CH53" t="s">
        <v>1969</v>
      </c>
      <c r="CI53" t="s">
        <v>1969</v>
      </c>
      <c r="CJ53" t="s">
        <v>1969</v>
      </c>
      <c r="CK53" t="s">
        <v>2103</v>
      </c>
      <c r="CL53" t="s">
        <v>2103</v>
      </c>
      <c r="CM53" t="s">
        <v>2103</v>
      </c>
      <c r="CN53" t="s">
        <v>2103</v>
      </c>
      <c r="CO53" t="s">
        <v>2103</v>
      </c>
      <c r="CP53" t="s">
        <v>2103</v>
      </c>
      <c r="CQ53" t="s">
        <v>2103</v>
      </c>
      <c r="CR53" t="s">
        <v>2103</v>
      </c>
      <c r="CS53" t="s">
        <v>1969</v>
      </c>
      <c r="CT53" t="s">
        <v>1969</v>
      </c>
      <c r="CU53" t="s">
        <v>2103</v>
      </c>
      <c r="CV53" t="s">
        <v>1969</v>
      </c>
      <c r="CW53" t="s">
        <v>1969</v>
      </c>
      <c r="CX53" t="s">
        <v>1969</v>
      </c>
      <c r="CY53" t="s">
        <v>1969</v>
      </c>
      <c r="CZ53" t="s">
        <v>2103</v>
      </c>
      <c r="DA53" t="s">
        <v>2103</v>
      </c>
      <c r="DB53" t="s">
        <v>2103</v>
      </c>
      <c r="DC53" t="s">
        <v>2103</v>
      </c>
      <c r="DD53" t="s">
        <v>1969</v>
      </c>
      <c r="DE53" t="s">
        <v>1969</v>
      </c>
      <c r="DF53" t="s">
        <v>1969</v>
      </c>
      <c r="DG53" t="s">
        <v>1969</v>
      </c>
      <c r="DH53" t="s">
        <v>1969</v>
      </c>
      <c r="DI53" t="s">
        <v>1969</v>
      </c>
      <c r="DJ53" t="s">
        <v>2103</v>
      </c>
      <c r="DK53" t="s">
        <v>2103</v>
      </c>
      <c r="DL53" t="s">
        <v>1969</v>
      </c>
      <c r="DM53" t="s">
        <v>1969</v>
      </c>
      <c r="DN53" t="s">
        <v>1969</v>
      </c>
      <c r="DO53" t="s">
        <v>2103</v>
      </c>
      <c r="DP53" t="s">
        <v>2103</v>
      </c>
      <c r="DQ53" t="s">
        <v>2103</v>
      </c>
      <c r="DR53" t="s">
        <v>2103</v>
      </c>
      <c r="DS53" t="s">
        <v>1969</v>
      </c>
      <c r="DT53" t="s">
        <v>2103</v>
      </c>
      <c r="DU53" t="s">
        <v>2103</v>
      </c>
      <c r="DV53" t="s">
        <v>2103</v>
      </c>
      <c r="DW53" t="s">
        <v>1969</v>
      </c>
      <c r="DX53" t="s">
        <v>1969</v>
      </c>
      <c r="DY53" t="s">
        <v>1969</v>
      </c>
      <c r="DZ53" t="s">
        <v>1969</v>
      </c>
      <c r="EA53" t="s">
        <v>2103</v>
      </c>
      <c r="EB53" t="s">
        <v>2103</v>
      </c>
      <c r="EC53" t="s">
        <v>2103</v>
      </c>
      <c r="ED53" t="s">
        <v>1969</v>
      </c>
      <c r="EE53" t="s">
        <v>1969</v>
      </c>
      <c r="EF53" t="s">
        <v>1969</v>
      </c>
      <c r="EG53" t="s">
        <v>2103</v>
      </c>
      <c r="EH53" t="s">
        <v>2103</v>
      </c>
      <c r="EI53" t="s">
        <v>2103</v>
      </c>
      <c r="EJ53" t="s">
        <v>2103</v>
      </c>
      <c r="EK53" t="s">
        <v>2103</v>
      </c>
      <c r="EL53" t="s">
        <v>2103</v>
      </c>
      <c r="EM53" t="s">
        <v>1969</v>
      </c>
      <c r="EN53" t="s">
        <v>1969</v>
      </c>
      <c r="EO53" t="s">
        <v>1969</v>
      </c>
      <c r="ET53" t="s">
        <v>1969</v>
      </c>
      <c r="EU53" t="s">
        <v>1969</v>
      </c>
      <c r="EV53" t="s">
        <v>1969</v>
      </c>
      <c r="EW53" t="s">
        <v>1969</v>
      </c>
      <c r="EX53" t="s">
        <v>2060</v>
      </c>
      <c r="EY53" t="s">
        <v>2103</v>
      </c>
      <c r="EZ53" t="s">
        <v>1969</v>
      </c>
      <c r="FA53" t="s">
        <v>2103</v>
      </c>
      <c r="FB53" t="s">
        <v>2103</v>
      </c>
      <c r="FC53" t="s">
        <v>2103</v>
      </c>
      <c r="FD53" t="s">
        <v>1969</v>
      </c>
      <c r="FE53" t="s">
        <v>1969</v>
      </c>
      <c r="FF53" t="s">
        <v>2103</v>
      </c>
      <c r="FG53" t="s">
        <v>2103</v>
      </c>
      <c r="FH53" t="s">
        <v>2103</v>
      </c>
      <c r="FI53" t="s">
        <v>2103</v>
      </c>
      <c r="FJ53" t="s">
        <v>2060</v>
      </c>
      <c r="FK53" t="s">
        <v>1969</v>
      </c>
      <c r="FL53" t="s">
        <v>1969</v>
      </c>
      <c r="FM53" t="s">
        <v>1969</v>
      </c>
      <c r="FN53" t="s">
        <v>1969</v>
      </c>
      <c r="FO53" t="s">
        <v>1969</v>
      </c>
      <c r="FP53" t="s">
        <v>1969</v>
      </c>
      <c r="FQ53" t="s">
        <v>1969</v>
      </c>
      <c r="FR53" t="s">
        <v>1969</v>
      </c>
      <c r="FS53" t="s">
        <v>1969</v>
      </c>
      <c r="FT53" t="s">
        <v>1969</v>
      </c>
      <c r="FU53" t="s">
        <v>1969</v>
      </c>
      <c r="FV53" t="s">
        <v>1969</v>
      </c>
      <c r="FW53" t="s">
        <v>1969</v>
      </c>
      <c r="FX53" t="s">
        <v>1969</v>
      </c>
      <c r="FY53" t="s">
        <v>2103</v>
      </c>
      <c r="FZ53" t="s">
        <v>2103</v>
      </c>
      <c r="GA53" t="s">
        <v>2103</v>
      </c>
      <c r="GB53" t="s">
        <v>1969</v>
      </c>
      <c r="GC53" t="s">
        <v>1969</v>
      </c>
      <c r="GD53" t="s">
        <v>1969</v>
      </c>
      <c r="GE53" t="s">
        <v>1969</v>
      </c>
      <c r="GF53" t="s">
        <v>1969</v>
      </c>
      <c r="GG53" t="s">
        <v>1969</v>
      </c>
      <c r="GH53" t="s">
        <v>1969</v>
      </c>
      <c r="GI53" t="s">
        <v>1969</v>
      </c>
      <c r="GJ53" t="s">
        <v>1969</v>
      </c>
      <c r="GK53" t="s">
        <v>1969</v>
      </c>
      <c r="GL53" t="s">
        <v>1969</v>
      </c>
      <c r="GM53" t="s">
        <v>1969</v>
      </c>
      <c r="GN53" t="s">
        <v>1969</v>
      </c>
      <c r="GO53" t="s">
        <v>1969</v>
      </c>
      <c r="GP53" t="s">
        <v>1969</v>
      </c>
      <c r="GQ53" t="s">
        <v>1969</v>
      </c>
      <c r="GR53" t="s">
        <v>1969</v>
      </c>
      <c r="GS53" t="s">
        <v>1969</v>
      </c>
      <c r="GT53" t="s">
        <v>1969</v>
      </c>
      <c r="GU53" t="s">
        <v>1969</v>
      </c>
      <c r="GV53" t="s">
        <v>1969</v>
      </c>
      <c r="GW53" t="s">
        <v>1969</v>
      </c>
      <c r="GX53" t="s">
        <v>1969</v>
      </c>
      <c r="GY53" t="s">
        <v>1969</v>
      </c>
      <c r="GZ53" t="s">
        <v>1969</v>
      </c>
      <c r="HA53" t="s">
        <v>1969</v>
      </c>
      <c r="HB53" t="s">
        <v>1969</v>
      </c>
      <c r="HC53" t="s">
        <v>2060</v>
      </c>
      <c r="HD53" t="s">
        <v>2103</v>
      </c>
      <c r="HE53" t="s">
        <v>2060</v>
      </c>
      <c r="HF53" t="s">
        <v>2103</v>
      </c>
      <c r="HG53" t="s">
        <v>1969</v>
      </c>
      <c r="HH53" t="s">
        <v>2060</v>
      </c>
      <c r="HI53" t="s">
        <v>2060</v>
      </c>
      <c r="HJ53" t="s">
        <v>1969</v>
      </c>
      <c r="HK53" t="s">
        <v>1969</v>
      </c>
      <c r="HL53" t="s">
        <v>1969</v>
      </c>
      <c r="HM53" t="s">
        <v>2060</v>
      </c>
      <c r="HN53" t="s">
        <v>1969</v>
      </c>
      <c r="HO53" t="s">
        <v>2103</v>
      </c>
      <c r="HP53" t="s">
        <v>2060</v>
      </c>
      <c r="HQ53" t="s">
        <v>2103</v>
      </c>
      <c r="HR53" t="s">
        <v>2103</v>
      </c>
      <c r="HS53" t="s">
        <v>2103</v>
      </c>
      <c r="HT53" t="s">
        <v>1969</v>
      </c>
      <c r="HU53" t="s">
        <v>1969</v>
      </c>
      <c r="HV53" t="s">
        <v>1969</v>
      </c>
      <c r="HW53" t="s">
        <v>1969</v>
      </c>
      <c r="HX53" t="s">
        <v>1969</v>
      </c>
      <c r="HY53" t="s">
        <v>1969</v>
      </c>
      <c r="HZ53" t="s">
        <v>2060</v>
      </c>
      <c r="IA53" t="s">
        <v>1969</v>
      </c>
      <c r="IB53" t="s">
        <v>1969</v>
      </c>
      <c r="IC53" t="s">
        <v>2060</v>
      </c>
      <c r="ID53" t="s">
        <v>1969</v>
      </c>
      <c r="IE53" t="s">
        <v>1969</v>
      </c>
      <c r="IF53" t="s">
        <v>2103</v>
      </c>
      <c r="IG53" t="s">
        <v>2103</v>
      </c>
      <c r="IH53" t="s">
        <v>2103</v>
      </c>
      <c r="II53" t="s">
        <v>2103</v>
      </c>
      <c r="IJ53" t="s">
        <v>2103</v>
      </c>
      <c r="IK53" t="s">
        <v>1969</v>
      </c>
      <c r="IL53" t="s">
        <v>2060</v>
      </c>
      <c r="IM53" t="s">
        <v>1969</v>
      </c>
      <c r="IN53" t="s">
        <v>1969</v>
      </c>
      <c r="IO53" t="s">
        <v>2103</v>
      </c>
      <c r="IP53" t="s">
        <v>1969</v>
      </c>
      <c r="IQ53" t="s">
        <v>1969</v>
      </c>
      <c r="IR53" t="s">
        <v>2060</v>
      </c>
      <c r="IS53" t="s">
        <v>1969</v>
      </c>
      <c r="IT53" t="s">
        <v>1969</v>
      </c>
      <c r="IU53" t="s">
        <v>1969</v>
      </c>
      <c r="IV53" t="s">
        <v>1969</v>
      </c>
      <c r="IW53" t="s">
        <v>1969</v>
      </c>
      <c r="IX53" t="s">
        <v>1969</v>
      </c>
      <c r="IY53" t="s">
        <v>1969</v>
      </c>
      <c r="IZ53" t="s">
        <v>1969</v>
      </c>
      <c r="JA53" t="s">
        <v>1969</v>
      </c>
      <c r="JB53" t="s">
        <v>2103</v>
      </c>
      <c r="JC53" t="s">
        <v>1969</v>
      </c>
      <c r="JD53" t="s">
        <v>1969</v>
      </c>
      <c r="JE53" t="s">
        <v>1969</v>
      </c>
      <c r="JF53" t="s">
        <v>1969</v>
      </c>
      <c r="JG53" t="s">
        <v>1969</v>
      </c>
      <c r="JH53" t="s">
        <v>1969</v>
      </c>
      <c r="JI53" t="s">
        <v>1969</v>
      </c>
      <c r="JJ53" t="s">
        <v>1969</v>
      </c>
      <c r="JK53" t="s">
        <v>2060</v>
      </c>
      <c r="JL53" t="s">
        <v>2103</v>
      </c>
      <c r="JM53" t="s">
        <v>1969</v>
      </c>
      <c r="JN53" t="s">
        <v>1969</v>
      </c>
      <c r="JO53" t="s">
        <v>2060</v>
      </c>
      <c r="JP53" t="s">
        <v>2060</v>
      </c>
      <c r="JQ53" t="s">
        <v>1969</v>
      </c>
      <c r="JR53" t="s">
        <v>1969</v>
      </c>
      <c r="JS53" t="s">
        <v>2060</v>
      </c>
      <c r="JT53" t="s">
        <v>2103</v>
      </c>
      <c r="JU53" t="s">
        <v>2060</v>
      </c>
      <c r="JV53" t="s">
        <v>2103</v>
      </c>
      <c r="JW53" t="s">
        <v>1969</v>
      </c>
      <c r="JX53" t="s">
        <v>1969</v>
      </c>
      <c r="JY53" t="s">
        <v>1969</v>
      </c>
      <c r="JZ53" t="s">
        <v>2103</v>
      </c>
      <c r="KA53" t="s">
        <v>1969</v>
      </c>
      <c r="KB53" t="s">
        <v>1969</v>
      </c>
      <c r="KC53" t="s">
        <v>1969</v>
      </c>
      <c r="KD53" t="s">
        <v>1969</v>
      </c>
      <c r="KE53" t="s">
        <v>1969</v>
      </c>
      <c r="KF53" t="s">
        <v>1969</v>
      </c>
      <c r="KG53" t="s">
        <v>1969</v>
      </c>
      <c r="KH53" t="s">
        <v>1969</v>
      </c>
      <c r="KI53" t="s">
        <v>1969</v>
      </c>
      <c r="KJ53" t="s">
        <v>2060</v>
      </c>
      <c r="KK53" t="s">
        <v>1969</v>
      </c>
      <c r="KL53" t="s">
        <v>1969</v>
      </c>
      <c r="KM53" t="s">
        <v>1969</v>
      </c>
      <c r="KN53" t="s">
        <v>2103</v>
      </c>
      <c r="KO53" t="s">
        <v>1969</v>
      </c>
      <c r="KP53" t="s">
        <v>2060</v>
      </c>
      <c r="KQ53" t="s">
        <v>2060</v>
      </c>
      <c r="KR53" t="s">
        <v>1969</v>
      </c>
      <c r="KS53" t="s">
        <v>1969</v>
      </c>
      <c r="KT53" t="s">
        <v>1969</v>
      </c>
      <c r="KU53" t="s">
        <v>1969</v>
      </c>
      <c r="KV53" t="s">
        <v>1969</v>
      </c>
      <c r="KW53" t="s">
        <v>1969</v>
      </c>
      <c r="KX53" t="s">
        <v>1969</v>
      </c>
      <c r="KY53" t="s">
        <v>1969</v>
      </c>
      <c r="KZ53" t="s">
        <v>1969</v>
      </c>
      <c r="LA53" t="s">
        <v>1969</v>
      </c>
      <c r="LB53" t="s">
        <v>1969</v>
      </c>
      <c r="LC53" t="s">
        <v>1969</v>
      </c>
      <c r="LD53" t="s">
        <v>1969</v>
      </c>
      <c r="LE53" t="s">
        <v>1969</v>
      </c>
      <c r="LF53" t="s">
        <v>1969</v>
      </c>
      <c r="LG53" t="s">
        <v>2103</v>
      </c>
      <c r="LH53" t="s">
        <v>2103</v>
      </c>
      <c r="LI53" t="s">
        <v>2103</v>
      </c>
      <c r="LJ53" t="s">
        <v>1969</v>
      </c>
      <c r="LK53" t="s">
        <v>2103</v>
      </c>
      <c r="LL53" t="s">
        <v>2103</v>
      </c>
      <c r="LM53" t="s">
        <v>1969</v>
      </c>
      <c r="LN53" t="s">
        <v>1969</v>
      </c>
      <c r="LO53" t="s">
        <v>2103</v>
      </c>
      <c r="LP53" t="s">
        <v>2103</v>
      </c>
      <c r="LQ53" t="s">
        <v>2103</v>
      </c>
      <c r="LR53" t="s">
        <v>2103</v>
      </c>
      <c r="LS53" t="s">
        <v>2060</v>
      </c>
      <c r="LT53" t="s">
        <v>2060</v>
      </c>
      <c r="LU53" t="s">
        <v>1969</v>
      </c>
      <c r="LV53" t="s">
        <v>1969</v>
      </c>
      <c r="LW53" t="s">
        <v>2103</v>
      </c>
      <c r="LX53" t="s">
        <v>1969</v>
      </c>
      <c r="LY53" t="s">
        <v>1969</v>
      </c>
      <c r="LZ53" t="s">
        <v>1969</v>
      </c>
      <c r="MA53" t="s">
        <v>1969</v>
      </c>
      <c r="MB53" t="s">
        <v>1969</v>
      </c>
      <c r="MC53" t="s">
        <v>1969</v>
      </c>
      <c r="MD53" t="s">
        <v>2103</v>
      </c>
      <c r="ME53" t="s">
        <v>1969</v>
      </c>
      <c r="MF53" t="s">
        <v>1969</v>
      </c>
      <c r="MG53" t="s">
        <v>2103</v>
      </c>
      <c r="MH53" t="s">
        <v>2103</v>
      </c>
      <c r="MI53" t="s">
        <v>2103</v>
      </c>
      <c r="MJ53" t="s">
        <v>1969</v>
      </c>
      <c r="MK53" t="s">
        <v>1969</v>
      </c>
      <c r="ML53" t="s">
        <v>1969</v>
      </c>
      <c r="MM53" t="s">
        <v>1969</v>
      </c>
      <c r="MN53" t="s">
        <v>1969</v>
      </c>
      <c r="MO53" t="s">
        <v>1969</v>
      </c>
      <c r="MP53" t="s">
        <v>1969</v>
      </c>
      <c r="MQ53" t="s">
        <v>1969</v>
      </c>
      <c r="MR53" t="s">
        <v>1969</v>
      </c>
      <c r="MS53" t="s">
        <v>1969</v>
      </c>
      <c r="MT53" t="s">
        <v>1969</v>
      </c>
      <c r="MU53" t="s">
        <v>1969</v>
      </c>
      <c r="MV53" t="s">
        <v>1969</v>
      </c>
      <c r="MW53" t="s">
        <v>1969</v>
      </c>
      <c r="MX53" t="s">
        <v>2103</v>
      </c>
      <c r="MY53" t="s">
        <v>1969</v>
      </c>
      <c r="MZ53" t="s">
        <v>2103</v>
      </c>
      <c r="NA53" t="s">
        <v>1969</v>
      </c>
      <c r="NB53" t="s">
        <v>1969</v>
      </c>
      <c r="NC53" t="s">
        <v>1969</v>
      </c>
      <c r="ND53" t="s">
        <v>1969</v>
      </c>
      <c r="NG53" t="s">
        <v>1969</v>
      </c>
      <c r="NH53" t="s">
        <v>1969</v>
      </c>
      <c r="NI53" t="s">
        <v>1969</v>
      </c>
      <c r="NJ53" t="s">
        <v>1969</v>
      </c>
      <c r="NK53" t="s">
        <v>1969</v>
      </c>
      <c r="NL53" t="s">
        <v>1969</v>
      </c>
      <c r="NM53" t="s">
        <v>1969</v>
      </c>
      <c r="NN53" t="s">
        <v>2103</v>
      </c>
      <c r="NR53" t="s">
        <v>1509</v>
      </c>
      <c r="NS53" t="s">
        <v>2101</v>
      </c>
      <c r="NX53" t="s">
        <v>2105</v>
      </c>
      <c r="NY53" t="s">
        <v>1885</v>
      </c>
    </row>
    <row r="54" spans="1:389" ht="15" customHeight="1" x14ac:dyDescent="0.25">
      <c r="A54" t="s">
        <v>1844</v>
      </c>
      <c r="B54" t="s">
        <v>1853</v>
      </c>
      <c r="C54" t="s">
        <v>1841</v>
      </c>
      <c r="D54" t="s">
        <v>1510</v>
      </c>
      <c r="G54" t="s">
        <v>1844</v>
      </c>
      <c r="H54" t="s">
        <v>1978</v>
      </c>
      <c r="I54" t="s">
        <v>1978</v>
      </c>
      <c r="J54" t="s">
        <v>1978</v>
      </c>
      <c r="K54" t="s">
        <v>1844</v>
      </c>
      <c r="L54" t="s">
        <v>1844</v>
      </c>
      <c r="M54" t="s">
        <v>1844</v>
      </c>
      <c r="N54" t="s">
        <v>1844</v>
      </c>
      <c r="O54" t="s">
        <v>1978</v>
      </c>
      <c r="P54" t="s">
        <v>1844</v>
      </c>
      <c r="Q54" t="s">
        <v>1978</v>
      </c>
      <c r="R54" t="s">
        <v>1844</v>
      </c>
      <c r="S54" t="s">
        <v>1844</v>
      </c>
      <c r="T54" t="s">
        <v>1978</v>
      </c>
      <c r="U54" t="s">
        <v>1978</v>
      </c>
      <c r="V54" t="s">
        <v>1978</v>
      </c>
      <c r="W54" t="s">
        <v>1978</v>
      </c>
      <c r="X54" t="s">
        <v>1978</v>
      </c>
      <c r="Y54" t="s">
        <v>1978</v>
      </c>
      <c r="AA54" t="s">
        <v>1978</v>
      </c>
      <c r="AB54" t="s">
        <v>1978</v>
      </c>
      <c r="AC54" t="s">
        <v>1978</v>
      </c>
      <c r="AD54" t="s">
        <v>1978</v>
      </c>
      <c r="AE54" t="s">
        <v>1978</v>
      </c>
      <c r="AF54" t="s">
        <v>1978</v>
      </c>
      <c r="AG54" t="s">
        <v>1978</v>
      </c>
      <c r="AH54" t="s">
        <v>1844</v>
      </c>
      <c r="AI54" t="s">
        <v>1978</v>
      </c>
      <c r="AJ54" t="s">
        <v>1978</v>
      </c>
      <c r="AK54" t="s">
        <v>1978</v>
      </c>
      <c r="AL54" t="s">
        <v>1978</v>
      </c>
      <c r="AM54" t="s">
        <v>1844</v>
      </c>
      <c r="AN54" t="s">
        <v>1978</v>
      </c>
      <c r="AO54" t="s">
        <v>1844</v>
      </c>
      <c r="AP54" t="s">
        <v>1844</v>
      </c>
      <c r="AQ54" t="s">
        <v>1844</v>
      </c>
      <c r="AR54" t="s">
        <v>1844</v>
      </c>
      <c r="AS54" t="s">
        <v>1978</v>
      </c>
      <c r="AT54" t="s">
        <v>1978</v>
      </c>
      <c r="AU54" t="s">
        <v>1978</v>
      </c>
      <c r="AV54" t="s">
        <v>1978</v>
      </c>
      <c r="AW54" t="s">
        <v>1978</v>
      </c>
      <c r="AX54" t="s">
        <v>1978</v>
      </c>
      <c r="AY54" t="s">
        <v>1978</v>
      </c>
      <c r="AZ54" t="s">
        <v>1978</v>
      </c>
      <c r="BA54" t="s">
        <v>1978</v>
      </c>
      <c r="BB54" t="s">
        <v>1978</v>
      </c>
      <c r="BC54" t="s">
        <v>1978</v>
      </c>
      <c r="BD54" t="s">
        <v>1978</v>
      </c>
      <c r="BE54" t="s">
        <v>1978</v>
      </c>
      <c r="BF54" t="s">
        <v>1978</v>
      </c>
      <c r="BG54" t="s">
        <v>1978</v>
      </c>
      <c r="BH54" t="s">
        <v>1978</v>
      </c>
      <c r="BI54" t="s">
        <v>1978</v>
      </c>
      <c r="BJ54" t="s">
        <v>1978</v>
      </c>
      <c r="BK54" t="s">
        <v>1978</v>
      </c>
      <c r="BL54" t="s">
        <v>1978</v>
      </c>
      <c r="BM54" t="s">
        <v>1978</v>
      </c>
      <c r="BN54" t="s">
        <v>1978</v>
      </c>
      <c r="BO54" t="s">
        <v>1978</v>
      </c>
      <c r="BP54" t="s">
        <v>1978</v>
      </c>
      <c r="BQ54" t="s">
        <v>1978</v>
      </c>
      <c r="BR54" t="s">
        <v>1978</v>
      </c>
      <c r="BS54" t="s">
        <v>1978</v>
      </c>
      <c r="BT54" t="s">
        <v>1978</v>
      </c>
      <c r="BU54" t="s">
        <v>1978</v>
      </c>
      <c r="BV54" t="s">
        <v>1978</v>
      </c>
      <c r="BW54" t="s">
        <v>1978</v>
      </c>
      <c r="BX54" t="s">
        <v>1978</v>
      </c>
      <c r="BY54" t="s">
        <v>1978</v>
      </c>
      <c r="BZ54" t="s">
        <v>1844</v>
      </c>
      <c r="CA54" t="s">
        <v>1844</v>
      </c>
      <c r="CB54" t="s">
        <v>1978</v>
      </c>
      <c r="CC54" t="s">
        <v>1978</v>
      </c>
      <c r="CD54" t="s">
        <v>1978</v>
      </c>
      <c r="CE54" t="s">
        <v>1844</v>
      </c>
      <c r="CF54" t="s">
        <v>1978</v>
      </c>
      <c r="CG54" t="s">
        <v>1978</v>
      </c>
      <c r="CH54" t="s">
        <v>1978</v>
      </c>
      <c r="CI54" t="s">
        <v>1978</v>
      </c>
      <c r="CJ54" t="s">
        <v>1978</v>
      </c>
      <c r="CK54" t="s">
        <v>1844</v>
      </c>
      <c r="CL54" t="s">
        <v>1844</v>
      </c>
      <c r="CM54" t="s">
        <v>1844</v>
      </c>
      <c r="CN54" t="s">
        <v>1844</v>
      </c>
      <c r="CO54" t="s">
        <v>1844</v>
      </c>
      <c r="CP54" t="s">
        <v>1844</v>
      </c>
      <c r="CQ54" t="s">
        <v>1844</v>
      </c>
      <c r="CR54" t="s">
        <v>1844</v>
      </c>
      <c r="CS54" t="s">
        <v>1978</v>
      </c>
      <c r="CT54" t="s">
        <v>1978</v>
      </c>
      <c r="CU54" t="s">
        <v>1844</v>
      </c>
      <c r="CV54" t="s">
        <v>1978</v>
      </c>
      <c r="CW54" t="s">
        <v>1978</v>
      </c>
      <c r="CX54" t="s">
        <v>1978</v>
      </c>
      <c r="CY54" t="s">
        <v>1978</v>
      </c>
      <c r="CZ54" t="s">
        <v>1844</v>
      </c>
      <c r="DA54" t="s">
        <v>1844</v>
      </c>
      <c r="DB54" t="s">
        <v>1844</v>
      </c>
      <c r="DC54" t="s">
        <v>1844</v>
      </c>
      <c r="DD54" t="s">
        <v>1978</v>
      </c>
      <c r="DE54" t="s">
        <v>1978</v>
      </c>
      <c r="DF54" t="s">
        <v>1978</v>
      </c>
      <c r="DG54" t="s">
        <v>1978</v>
      </c>
      <c r="DH54" t="s">
        <v>1978</v>
      </c>
      <c r="DI54" t="s">
        <v>1978</v>
      </c>
      <c r="DJ54" t="s">
        <v>1844</v>
      </c>
      <c r="DK54" t="s">
        <v>1844</v>
      </c>
      <c r="DL54" t="s">
        <v>1978</v>
      </c>
      <c r="DM54" t="s">
        <v>1978</v>
      </c>
      <c r="DN54" t="s">
        <v>1978</v>
      </c>
      <c r="DO54" t="s">
        <v>1844</v>
      </c>
      <c r="DP54" t="s">
        <v>1844</v>
      </c>
      <c r="DQ54" t="s">
        <v>1844</v>
      </c>
      <c r="DR54" t="s">
        <v>1844</v>
      </c>
      <c r="DS54" t="s">
        <v>1978</v>
      </c>
      <c r="DT54" t="s">
        <v>1844</v>
      </c>
      <c r="DU54" t="s">
        <v>1844</v>
      </c>
      <c r="DV54" t="s">
        <v>1844</v>
      </c>
      <c r="DW54" t="s">
        <v>1978</v>
      </c>
      <c r="DX54" t="s">
        <v>1978</v>
      </c>
      <c r="DY54" t="s">
        <v>1978</v>
      </c>
      <c r="DZ54" t="s">
        <v>1978</v>
      </c>
      <c r="EA54" t="s">
        <v>1844</v>
      </c>
      <c r="EB54" t="s">
        <v>1844</v>
      </c>
      <c r="EC54" t="s">
        <v>1844</v>
      </c>
      <c r="ED54" t="s">
        <v>1978</v>
      </c>
      <c r="EE54" t="s">
        <v>1978</v>
      </c>
      <c r="EF54" t="s">
        <v>1978</v>
      </c>
      <c r="EG54" t="s">
        <v>1844</v>
      </c>
      <c r="EH54" t="s">
        <v>1844</v>
      </c>
      <c r="EI54" t="s">
        <v>1844</v>
      </c>
      <c r="EJ54" t="s">
        <v>1844</v>
      </c>
      <c r="EK54" t="s">
        <v>1844</v>
      </c>
      <c r="EL54" t="s">
        <v>1844</v>
      </c>
      <c r="EM54" t="s">
        <v>1978</v>
      </c>
      <c r="EN54" t="s">
        <v>1978</v>
      </c>
      <c r="EO54" t="s">
        <v>1978</v>
      </c>
      <c r="ET54" t="s">
        <v>1978</v>
      </c>
      <c r="EU54" t="s">
        <v>1978</v>
      </c>
      <c r="EV54" t="s">
        <v>1978</v>
      </c>
      <c r="EW54" t="s">
        <v>1978</v>
      </c>
      <c r="EX54" t="s">
        <v>1950</v>
      </c>
      <c r="EY54" t="s">
        <v>1844</v>
      </c>
      <c r="EZ54" t="s">
        <v>1978</v>
      </c>
      <c r="FA54" t="s">
        <v>1844</v>
      </c>
      <c r="FB54" t="s">
        <v>1844</v>
      </c>
      <c r="FC54" t="s">
        <v>1844</v>
      </c>
      <c r="FD54" t="s">
        <v>1978</v>
      </c>
      <c r="FE54" t="s">
        <v>1978</v>
      </c>
      <c r="FF54" t="s">
        <v>1844</v>
      </c>
      <c r="FG54" t="s">
        <v>1844</v>
      </c>
      <c r="FH54" t="s">
        <v>1844</v>
      </c>
      <c r="FI54" t="s">
        <v>1844</v>
      </c>
      <c r="FJ54" t="s">
        <v>1950</v>
      </c>
      <c r="FK54" t="s">
        <v>1978</v>
      </c>
      <c r="FL54" t="s">
        <v>1978</v>
      </c>
      <c r="FM54" t="s">
        <v>1978</v>
      </c>
      <c r="FN54" t="s">
        <v>1978</v>
      </c>
      <c r="FO54" t="s">
        <v>1978</v>
      </c>
      <c r="FP54" t="s">
        <v>1978</v>
      </c>
      <c r="FQ54" t="s">
        <v>1978</v>
      </c>
      <c r="FR54" t="s">
        <v>1978</v>
      </c>
      <c r="FS54" t="s">
        <v>1978</v>
      </c>
      <c r="FT54" t="s">
        <v>1978</v>
      </c>
      <c r="FU54" t="s">
        <v>1978</v>
      </c>
      <c r="FV54" t="s">
        <v>1978</v>
      </c>
      <c r="FW54" t="s">
        <v>1978</v>
      </c>
      <c r="FX54" t="s">
        <v>1978</v>
      </c>
      <c r="FY54" t="s">
        <v>1844</v>
      </c>
      <c r="FZ54" t="s">
        <v>1844</v>
      </c>
      <c r="GA54" t="s">
        <v>1844</v>
      </c>
      <c r="GB54" t="s">
        <v>1978</v>
      </c>
      <c r="GC54" t="s">
        <v>1978</v>
      </c>
      <c r="GD54" t="s">
        <v>1978</v>
      </c>
      <c r="GE54" t="s">
        <v>1978</v>
      </c>
      <c r="GF54" t="s">
        <v>1978</v>
      </c>
      <c r="GG54" t="s">
        <v>1978</v>
      </c>
      <c r="GH54" t="s">
        <v>1978</v>
      </c>
      <c r="GI54" t="s">
        <v>1978</v>
      </c>
      <c r="GJ54" t="s">
        <v>1978</v>
      </c>
      <c r="GK54" t="s">
        <v>1978</v>
      </c>
      <c r="GL54" t="s">
        <v>1978</v>
      </c>
      <c r="GM54" t="s">
        <v>1978</v>
      </c>
      <c r="GN54" t="s">
        <v>1978</v>
      </c>
      <c r="GO54" t="s">
        <v>1978</v>
      </c>
      <c r="GP54" t="s">
        <v>1978</v>
      </c>
      <c r="GQ54" t="s">
        <v>1978</v>
      </c>
      <c r="GR54" t="s">
        <v>1978</v>
      </c>
      <c r="GS54" t="s">
        <v>1978</v>
      </c>
      <c r="GT54" t="s">
        <v>1978</v>
      </c>
      <c r="GU54" t="s">
        <v>1978</v>
      </c>
      <c r="GV54" t="s">
        <v>1978</v>
      </c>
      <c r="GW54" t="s">
        <v>1978</v>
      </c>
      <c r="GX54" t="s">
        <v>1978</v>
      </c>
      <c r="GY54" t="s">
        <v>1978</v>
      </c>
      <c r="GZ54" t="s">
        <v>1978</v>
      </c>
      <c r="HA54" t="s">
        <v>1978</v>
      </c>
      <c r="HB54" t="s">
        <v>1978</v>
      </c>
      <c r="HC54" t="s">
        <v>1950</v>
      </c>
      <c r="HD54" t="s">
        <v>1844</v>
      </c>
      <c r="HE54" t="s">
        <v>1950</v>
      </c>
      <c r="HF54" t="s">
        <v>1844</v>
      </c>
      <c r="HG54" t="s">
        <v>1978</v>
      </c>
      <c r="HH54" t="s">
        <v>1950</v>
      </c>
      <c r="HI54" t="s">
        <v>1950</v>
      </c>
      <c r="HJ54" t="s">
        <v>1978</v>
      </c>
      <c r="HK54" t="s">
        <v>1978</v>
      </c>
      <c r="HL54" t="s">
        <v>1978</v>
      </c>
      <c r="HM54" t="s">
        <v>1950</v>
      </c>
      <c r="HN54" t="s">
        <v>1978</v>
      </c>
      <c r="HO54" t="s">
        <v>1844</v>
      </c>
      <c r="HP54" t="s">
        <v>1950</v>
      </c>
      <c r="HQ54" t="s">
        <v>1844</v>
      </c>
      <c r="HR54" t="s">
        <v>1844</v>
      </c>
      <c r="HS54" t="s">
        <v>1844</v>
      </c>
      <c r="HT54" t="s">
        <v>1978</v>
      </c>
      <c r="HU54" t="s">
        <v>1978</v>
      </c>
      <c r="HV54" t="s">
        <v>1978</v>
      </c>
      <c r="HW54" t="s">
        <v>1978</v>
      </c>
      <c r="HX54" t="s">
        <v>1978</v>
      </c>
      <c r="HY54" t="s">
        <v>1978</v>
      </c>
      <c r="HZ54" t="s">
        <v>1950</v>
      </c>
      <c r="IA54" t="s">
        <v>1978</v>
      </c>
      <c r="IB54" t="s">
        <v>1978</v>
      </c>
      <c r="IC54" t="s">
        <v>1950</v>
      </c>
      <c r="ID54" t="s">
        <v>1978</v>
      </c>
      <c r="IE54" t="s">
        <v>1978</v>
      </c>
      <c r="IF54" t="s">
        <v>1844</v>
      </c>
      <c r="IG54" t="s">
        <v>1844</v>
      </c>
      <c r="IH54" t="s">
        <v>1844</v>
      </c>
      <c r="II54" t="s">
        <v>1844</v>
      </c>
      <c r="IJ54" t="s">
        <v>1844</v>
      </c>
      <c r="IK54" t="s">
        <v>1978</v>
      </c>
      <c r="IL54" t="s">
        <v>1950</v>
      </c>
      <c r="IM54" t="s">
        <v>1978</v>
      </c>
      <c r="IN54" t="s">
        <v>1978</v>
      </c>
      <c r="IO54" t="s">
        <v>1844</v>
      </c>
      <c r="IP54" t="s">
        <v>1978</v>
      </c>
      <c r="IQ54" t="s">
        <v>1978</v>
      </c>
      <c r="IR54" t="s">
        <v>1950</v>
      </c>
      <c r="IS54" t="s">
        <v>1978</v>
      </c>
      <c r="IT54" t="s">
        <v>1978</v>
      </c>
      <c r="IU54" t="s">
        <v>1978</v>
      </c>
      <c r="IV54" t="s">
        <v>1978</v>
      </c>
      <c r="IW54" t="s">
        <v>1978</v>
      </c>
      <c r="IX54" t="s">
        <v>1978</v>
      </c>
      <c r="IY54" t="s">
        <v>1978</v>
      </c>
      <c r="IZ54" t="s">
        <v>1978</v>
      </c>
      <c r="JA54" t="s">
        <v>1978</v>
      </c>
      <c r="JB54" t="s">
        <v>1844</v>
      </c>
      <c r="JC54" t="s">
        <v>1978</v>
      </c>
      <c r="JD54" t="s">
        <v>1978</v>
      </c>
      <c r="JE54" t="s">
        <v>1978</v>
      </c>
      <c r="JF54" t="s">
        <v>1978</v>
      </c>
      <c r="JG54" t="s">
        <v>1978</v>
      </c>
      <c r="JH54" t="s">
        <v>1978</v>
      </c>
      <c r="JI54" t="s">
        <v>1978</v>
      </c>
      <c r="JJ54" t="s">
        <v>1978</v>
      </c>
      <c r="JK54" t="s">
        <v>1950</v>
      </c>
      <c r="JL54" t="s">
        <v>1844</v>
      </c>
      <c r="JM54" t="s">
        <v>1978</v>
      </c>
      <c r="JN54" t="s">
        <v>1978</v>
      </c>
      <c r="JO54" t="s">
        <v>1950</v>
      </c>
      <c r="JP54" t="s">
        <v>1950</v>
      </c>
      <c r="JQ54" t="s">
        <v>1978</v>
      </c>
      <c r="JR54" t="s">
        <v>1978</v>
      </c>
      <c r="JS54" t="s">
        <v>1950</v>
      </c>
      <c r="JT54" t="s">
        <v>1844</v>
      </c>
      <c r="JU54" t="s">
        <v>1950</v>
      </c>
      <c r="JV54" t="s">
        <v>1844</v>
      </c>
      <c r="JW54" t="s">
        <v>1978</v>
      </c>
      <c r="JX54" t="s">
        <v>1978</v>
      </c>
      <c r="JY54" t="s">
        <v>1978</v>
      </c>
      <c r="JZ54" t="s">
        <v>1844</v>
      </c>
      <c r="KA54" t="s">
        <v>1978</v>
      </c>
      <c r="KB54" t="s">
        <v>1978</v>
      </c>
      <c r="KC54" t="s">
        <v>1978</v>
      </c>
      <c r="KD54" t="s">
        <v>1978</v>
      </c>
      <c r="KE54" t="s">
        <v>1978</v>
      </c>
      <c r="KF54" t="s">
        <v>1978</v>
      </c>
      <c r="KG54" t="s">
        <v>1978</v>
      </c>
      <c r="KH54" t="s">
        <v>1978</v>
      </c>
      <c r="KI54" t="s">
        <v>1978</v>
      </c>
      <c r="KJ54" t="s">
        <v>1950</v>
      </c>
      <c r="KK54" t="s">
        <v>1978</v>
      </c>
      <c r="KL54" t="s">
        <v>1978</v>
      </c>
      <c r="KM54" t="s">
        <v>1978</v>
      </c>
      <c r="KN54" t="s">
        <v>1844</v>
      </c>
      <c r="KO54" t="s">
        <v>1978</v>
      </c>
      <c r="KP54" t="s">
        <v>1950</v>
      </c>
      <c r="KQ54" t="s">
        <v>1950</v>
      </c>
      <c r="KR54" t="s">
        <v>1978</v>
      </c>
      <c r="KS54" t="s">
        <v>1978</v>
      </c>
      <c r="KT54" t="s">
        <v>1978</v>
      </c>
      <c r="KU54" t="s">
        <v>1978</v>
      </c>
      <c r="KV54" t="s">
        <v>1978</v>
      </c>
      <c r="KW54" t="s">
        <v>1978</v>
      </c>
      <c r="KX54" t="s">
        <v>1978</v>
      </c>
      <c r="KY54" t="s">
        <v>1978</v>
      </c>
      <c r="KZ54" t="s">
        <v>1978</v>
      </c>
      <c r="LA54" t="s">
        <v>1978</v>
      </c>
      <c r="LB54" t="s">
        <v>1978</v>
      </c>
      <c r="LC54" t="s">
        <v>1978</v>
      </c>
      <c r="LD54" t="s">
        <v>1978</v>
      </c>
      <c r="LE54" t="s">
        <v>1978</v>
      </c>
      <c r="LF54" t="s">
        <v>1978</v>
      </c>
      <c r="LG54" t="s">
        <v>1844</v>
      </c>
      <c r="LH54" t="s">
        <v>1844</v>
      </c>
      <c r="LI54" t="s">
        <v>1844</v>
      </c>
      <c r="LJ54" t="s">
        <v>1978</v>
      </c>
      <c r="LK54" t="s">
        <v>1844</v>
      </c>
      <c r="LL54" t="s">
        <v>1844</v>
      </c>
      <c r="LM54" t="s">
        <v>1978</v>
      </c>
      <c r="LN54" t="s">
        <v>1978</v>
      </c>
      <c r="LO54" t="s">
        <v>1844</v>
      </c>
      <c r="LP54" t="s">
        <v>1844</v>
      </c>
      <c r="LQ54" t="s">
        <v>1844</v>
      </c>
      <c r="LR54" t="s">
        <v>1844</v>
      </c>
      <c r="LS54" t="s">
        <v>1950</v>
      </c>
      <c r="LT54" t="s">
        <v>1950</v>
      </c>
      <c r="LU54" t="s">
        <v>1978</v>
      </c>
      <c r="LV54" t="s">
        <v>1978</v>
      </c>
      <c r="LW54" t="s">
        <v>1844</v>
      </c>
      <c r="LX54" t="s">
        <v>1978</v>
      </c>
      <c r="LY54" t="s">
        <v>1978</v>
      </c>
      <c r="LZ54" t="s">
        <v>1978</v>
      </c>
      <c r="MA54" t="s">
        <v>1978</v>
      </c>
      <c r="MB54" t="s">
        <v>1978</v>
      </c>
      <c r="MC54" t="s">
        <v>1978</v>
      </c>
      <c r="MD54" t="s">
        <v>1844</v>
      </c>
      <c r="ME54" t="s">
        <v>1978</v>
      </c>
      <c r="MF54" t="s">
        <v>1978</v>
      </c>
      <c r="MG54" t="s">
        <v>1844</v>
      </c>
      <c r="MH54" t="s">
        <v>1844</v>
      </c>
      <c r="MI54" t="s">
        <v>1844</v>
      </c>
      <c r="MJ54" t="s">
        <v>1978</v>
      </c>
      <c r="MK54" t="s">
        <v>1978</v>
      </c>
      <c r="ML54" t="s">
        <v>1978</v>
      </c>
      <c r="MM54" t="s">
        <v>1978</v>
      </c>
      <c r="MN54" t="s">
        <v>1978</v>
      </c>
      <c r="MO54" t="s">
        <v>1978</v>
      </c>
      <c r="MP54" t="s">
        <v>1978</v>
      </c>
      <c r="MQ54" t="s">
        <v>1978</v>
      </c>
      <c r="MR54" t="s">
        <v>1978</v>
      </c>
      <c r="MS54" t="s">
        <v>1978</v>
      </c>
      <c r="MT54" t="s">
        <v>1978</v>
      </c>
      <c r="MU54" t="s">
        <v>1978</v>
      </c>
      <c r="MV54" t="s">
        <v>1978</v>
      </c>
      <c r="MW54" t="s">
        <v>1978</v>
      </c>
      <c r="MX54" t="s">
        <v>1844</v>
      </c>
      <c r="MY54" t="s">
        <v>1978</v>
      </c>
      <c r="MZ54" t="s">
        <v>1844</v>
      </c>
      <c r="NA54" t="s">
        <v>1978</v>
      </c>
      <c r="NB54" t="s">
        <v>1978</v>
      </c>
      <c r="NC54" t="s">
        <v>1978</v>
      </c>
      <c r="ND54" t="s">
        <v>1978</v>
      </c>
      <c r="NG54" t="s">
        <v>1978</v>
      </c>
      <c r="NH54" t="s">
        <v>1978</v>
      </c>
      <c r="NI54" t="s">
        <v>1978</v>
      </c>
      <c r="NJ54" t="s">
        <v>1978</v>
      </c>
      <c r="NK54" t="s">
        <v>1978</v>
      </c>
      <c r="NL54" t="s">
        <v>1978</v>
      </c>
      <c r="NM54" t="s">
        <v>1978</v>
      </c>
      <c r="NN54" t="s">
        <v>1844</v>
      </c>
      <c r="NR54" t="s">
        <v>1510</v>
      </c>
      <c r="NS54" t="s">
        <v>2106</v>
      </c>
      <c r="NX54" t="s">
        <v>2107</v>
      </c>
      <c r="NY54" t="s">
        <v>1885</v>
      </c>
    </row>
    <row r="55" spans="1:389" ht="15" customHeight="1" x14ac:dyDescent="0.25">
      <c r="A55" t="s">
        <v>2108</v>
      </c>
      <c r="B55" t="s">
        <v>2109</v>
      </c>
      <c r="C55" t="s">
        <v>1841</v>
      </c>
      <c r="D55" t="s">
        <v>1511</v>
      </c>
      <c r="G55" t="s">
        <v>2108</v>
      </c>
      <c r="H55" t="s">
        <v>2083</v>
      </c>
      <c r="I55" t="s">
        <v>2083</v>
      </c>
      <c r="J55" t="s">
        <v>2083</v>
      </c>
      <c r="K55" t="s">
        <v>2108</v>
      </c>
      <c r="L55" t="s">
        <v>2108</v>
      </c>
      <c r="M55" t="s">
        <v>2108</v>
      </c>
      <c r="N55" t="s">
        <v>2108</v>
      </c>
      <c r="O55" t="s">
        <v>2083</v>
      </c>
      <c r="P55" t="s">
        <v>2108</v>
      </c>
      <c r="Q55" t="s">
        <v>2083</v>
      </c>
      <c r="R55" t="s">
        <v>2108</v>
      </c>
      <c r="S55" t="s">
        <v>2108</v>
      </c>
      <c r="T55" t="s">
        <v>2083</v>
      </c>
      <c r="U55" t="s">
        <v>2083</v>
      </c>
      <c r="V55" t="s">
        <v>2083</v>
      </c>
      <c r="W55" t="s">
        <v>2083</v>
      </c>
      <c r="X55" t="s">
        <v>2083</v>
      </c>
      <c r="Y55" t="s">
        <v>2083</v>
      </c>
      <c r="AA55" t="s">
        <v>2083</v>
      </c>
      <c r="AB55" t="s">
        <v>2083</v>
      </c>
      <c r="AC55" t="s">
        <v>2083</v>
      </c>
      <c r="AD55" t="s">
        <v>2083</v>
      </c>
      <c r="AE55" t="s">
        <v>2083</v>
      </c>
      <c r="AF55" t="s">
        <v>2083</v>
      </c>
      <c r="AG55" t="s">
        <v>2083</v>
      </c>
      <c r="AH55" t="s">
        <v>2108</v>
      </c>
      <c r="AI55" t="s">
        <v>2083</v>
      </c>
      <c r="AJ55" t="s">
        <v>2083</v>
      </c>
      <c r="AK55" t="s">
        <v>2083</v>
      </c>
      <c r="AL55" t="s">
        <v>2083</v>
      </c>
      <c r="AM55" t="s">
        <v>2108</v>
      </c>
      <c r="AN55" t="s">
        <v>2083</v>
      </c>
      <c r="AO55" t="s">
        <v>2108</v>
      </c>
      <c r="AP55" t="s">
        <v>2108</v>
      </c>
      <c r="AQ55" t="s">
        <v>2108</v>
      </c>
      <c r="AR55" t="s">
        <v>2108</v>
      </c>
      <c r="AS55" t="s">
        <v>2083</v>
      </c>
      <c r="AT55" t="s">
        <v>2083</v>
      </c>
      <c r="AU55" t="s">
        <v>2083</v>
      </c>
      <c r="AV55" t="s">
        <v>2083</v>
      </c>
      <c r="AW55" t="s">
        <v>2083</v>
      </c>
      <c r="AX55" t="s">
        <v>2083</v>
      </c>
      <c r="AY55" t="s">
        <v>2083</v>
      </c>
      <c r="AZ55" t="s">
        <v>2083</v>
      </c>
      <c r="BA55" t="s">
        <v>2083</v>
      </c>
      <c r="BB55" t="s">
        <v>2083</v>
      </c>
      <c r="BC55" t="s">
        <v>2083</v>
      </c>
      <c r="BD55" t="s">
        <v>2083</v>
      </c>
      <c r="BE55" t="s">
        <v>2083</v>
      </c>
      <c r="BF55" t="s">
        <v>2083</v>
      </c>
      <c r="BG55" t="s">
        <v>2083</v>
      </c>
      <c r="BH55" t="s">
        <v>2083</v>
      </c>
      <c r="BI55" t="s">
        <v>2083</v>
      </c>
      <c r="BJ55" t="s">
        <v>2083</v>
      </c>
      <c r="BK55" t="s">
        <v>2083</v>
      </c>
      <c r="BL55" t="s">
        <v>2083</v>
      </c>
      <c r="BM55" t="s">
        <v>2083</v>
      </c>
      <c r="BN55" t="s">
        <v>2083</v>
      </c>
      <c r="BO55" t="s">
        <v>2083</v>
      </c>
      <c r="BP55" t="s">
        <v>2083</v>
      </c>
      <c r="BQ55" t="s">
        <v>2083</v>
      </c>
      <c r="BR55" t="s">
        <v>2083</v>
      </c>
      <c r="BS55" t="s">
        <v>2083</v>
      </c>
      <c r="BT55" t="s">
        <v>2083</v>
      </c>
      <c r="BU55" t="s">
        <v>2083</v>
      </c>
      <c r="BV55" t="s">
        <v>2083</v>
      </c>
      <c r="BW55" t="s">
        <v>2083</v>
      </c>
      <c r="BX55" t="s">
        <v>2083</v>
      </c>
      <c r="BY55" t="s">
        <v>2083</v>
      </c>
      <c r="BZ55" t="s">
        <v>2108</v>
      </c>
      <c r="CA55" t="s">
        <v>2108</v>
      </c>
      <c r="CB55" t="s">
        <v>2083</v>
      </c>
      <c r="CC55" t="s">
        <v>2083</v>
      </c>
      <c r="CD55" t="s">
        <v>2083</v>
      </c>
      <c r="CE55" t="s">
        <v>2108</v>
      </c>
      <c r="CF55" t="s">
        <v>2083</v>
      </c>
      <c r="CG55" t="s">
        <v>2083</v>
      </c>
      <c r="CH55" t="s">
        <v>2083</v>
      </c>
      <c r="CI55" t="s">
        <v>2083</v>
      </c>
      <c r="CJ55" t="s">
        <v>2083</v>
      </c>
      <c r="CK55" t="s">
        <v>2108</v>
      </c>
      <c r="CL55" t="s">
        <v>2108</v>
      </c>
      <c r="CM55" t="s">
        <v>2108</v>
      </c>
      <c r="CN55" t="s">
        <v>2108</v>
      </c>
      <c r="CO55" t="s">
        <v>2108</v>
      </c>
      <c r="CP55" t="s">
        <v>2108</v>
      </c>
      <c r="CQ55" t="s">
        <v>2108</v>
      </c>
      <c r="CR55" t="s">
        <v>2108</v>
      </c>
      <c r="CS55" t="s">
        <v>2083</v>
      </c>
      <c r="CT55" t="s">
        <v>2083</v>
      </c>
      <c r="CU55" t="s">
        <v>2108</v>
      </c>
      <c r="CV55" t="s">
        <v>2083</v>
      </c>
      <c r="CW55" t="s">
        <v>2083</v>
      </c>
      <c r="CX55" t="s">
        <v>2083</v>
      </c>
      <c r="CY55" t="s">
        <v>2083</v>
      </c>
      <c r="CZ55" t="s">
        <v>2108</v>
      </c>
      <c r="DA55" t="s">
        <v>2108</v>
      </c>
      <c r="DB55" t="s">
        <v>2108</v>
      </c>
      <c r="DC55" t="s">
        <v>2108</v>
      </c>
      <c r="DD55" t="s">
        <v>2083</v>
      </c>
      <c r="DE55" t="s">
        <v>2083</v>
      </c>
      <c r="DF55" t="s">
        <v>2083</v>
      </c>
      <c r="DG55" t="s">
        <v>2083</v>
      </c>
      <c r="DH55" t="s">
        <v>2083</v>
      </c>
      <c r="DI55" t="s">
        <v>2083</v>
      </c>
      <c r="DJ55" t="s">
        <v>2108</v>
      </c>
      <c r="DK55" t="s">
        <v>2108</v>
      </c>
      <c r="DL55" t="s">
        <v>2083</v>
      </c>
      <c r="DM55" t="s">
        <v>2083</v>
      </c>
      <c r="DN55" t="s">
        <v>2083</v>
      </c>
      <c r="DO55" t="s">
        <v>2108</v>
      </c>
      <c r="DP55" t="s">
        <v>2108</v>
      </c>
      <c r="DQ55" t="s">
        <v>2108</v>
      </c>
      <c r="DR55" t="s">
        <v>2108</v>
      </c>
      <c r="DS55" t="s">
        <v>2083</v>
      </c>
      <c r="DT55" t="s">
        <v>2108</v>
      </c>
      <c r="DU55" t="s">
        <v>2108</v>
      </c>
      <c r="DV55" t="s">
        <v>2108</v>
      </c>
      <c r="DW55" t="s">
        <v>2083</v>
      </c>
      <c r="DX55" t="s">
        <v>2083</v>
      </c>
      <c r="DY55" t="s">
        <v>2083</v>
      </c>
      <c r="DZ55" t="s">
        <v>2083</v>
      </c>
      <c r="EA55" t="s">
        <v>2108</v>
      </c>
      <c r="EB55" t="s">
        <v>2108</v>
      </c>
      <c r="EC55" t="s">
        <v>2108</v>
      </c>
      <c r="ED55" t="s">
        <v>2083</v>
      </c>
      <c r="EE55" t="s">
        <v>2083</v>
      </c>
      <c r="EF55" t="s">
        <v>2083</v>
      </c>
      <c r="EG55" t="s">
        <v>2108</v>
      </c>
      <c r="EH55" t="s">
        <v>2108</v>
      </c>
      <c r="EI55" t="s">
        <v>2108</v>
      </c>
      <c r="EJ55" t="s">
        <v>2108</v>
      </c>
      <c r="EK55" t="s">
        <v>2108</v>
      </c>
      <c r="EL55" t="s">
        <v>2108</v>
      </c>
      <c r="EM55" t="s">
        <v>2083</v>
      </c>
      <c r="EN55" t="s">
        <v>2083</v>
      </c>
      <c r="EO55" t="s">
        <v>2083</v>
      </c>
      <c r="ET55" t="s">
        <v>2083</v>
      </c>
      <c r="EU55" t="s">
        <v>2083</v>
      </c>
      <c r="EV55" t="s">
        <v>2083</v>
      </c>
      <c r="EW55" t="s">
        <v>2083</v>
      </c>
      <c r="EX55" t="s">
        <v>1969</v>
      </c>
      <c r="EY55" t="s">
        <v>2108</v>
      </c>
      <c r="EZ55" t="s">
        <v>2083</v>
      </c>
      <c r="FA55" t="s">
        <v>2108</v>
      </c>
      <c r="FB55" t="s">
        <v>2108</v>
      </c>
      <c r="FC55" t="s">
        <v>2108</v>
      </c>
      <c r="FD55" t="s">
        <v>2083</v>
      </c>
      <c r="FE55" t="s">
        <v>2083</v>
      </c>
      <c r="FF55" t="s">
        <v>2108</v>
      </c>
      <c r="FG55" t="s">
        <v>2108</v>
      </c>
      <c r="FH55" t="s">
        <v>2108</v>
      </c>
      <c r="FI55" t="s">
        <v>2108</v>
      </c>
      <c r="FJ55" t="s">
        <v>1969</v>
      </c>
      <c r="FK55" t="s">
        <v>2083</v>
      </c>
      <c r="FL55" t="s">
        <v>2083</v>
      </c>
      <c r="FM55" t="s">
        <v>2083</v>
      </c>
      <c r="FN55" t="s">
        <v>2083</v>
      </c>
      <c r="FO55" t="s">
        <v>2083</v>
      </c>
      <c r="FP55" t="s">
        <v>2083</v>
      </c>
      <c r="FQ55" t="s">
        <v>2083</v>
      </c>
      <c r="FR55" t="s">
        <v>2083</v>
      </c>
      <c r="FS55" t="s">
        <v>2083</v>
      </c>
      <c r="FT55" t="s">
        <v>2083</v>
      </c>
      <c r="FU55" t="s">
        <v>2083</v>
      </c>
      <c r="FV55" t="s">
        <v>2083</v>
      </c>
      <c r="FW55" t="s">
        <v>2083</v>
      </c>
      <c r="FX55" t="s">
        <v>2083</v>
      </c>
      <c r="FY55" t="s">
        <v>2108</v>
      </c>
      <c r="FZ55" t="s">
        <v>2108</v>
      </c>
      <c r="GA55" t="s">
        <v>2108</v>
      </c>
      <c r="GB55" t="s">
        <v>2083</v>
      </c>
      <c r="GC55" t="s">
        <v>2083</v>
      </c>
      <c r="GD55" t="s">
        <v>2083</v>
      </c>
      <c r="GE55" t="s">
        <v>2083</v>
      </c>
      <c r="GF55" t="s">
        <v>2083</v>
      </c>
      <c r="GG55" t="s">
        <v>2083</v>
      </c>
      <c r="GH55" t="s">
        <v>2083</v>
      </c>
      <c r="GI55" t="s">
        <v>2083</v>
      </c>
      <c r="GJ55" t="s">
        <v>2083</v>
      </c>
      <c r="GK55" t="s">
        <v>2083</v>
      </c>
      <c r="GL55" t="s">
        <v>2083</v>
      </c>
      <c r="GM55" t="s">
        <v>2083</v>
      </c>
      <c r="GN55" t="s">
        <v>2083</v>
      </c>
      <c r="GO55" t="s">
        <v>2083</v>
      </c>
      <c r="GP55" t="s">
        <v>2083</v>
      </c>
      <c r="GQ55" t="s">
        <v>2083</v>
      </c>
      <c r="GR55" t="s">
        <v>2083</v>
      </c>
      <c r="GS55" t="s">
        <v>2083</v>
      </c>
      <c r="GT55" t="s">
        <v>2083</v>
      </c>
      <c r="GU55" t="s">
        <v>2083</v>
      </c>
      <c r="GV55" t="s">
        <v>2083</v>
      </c>
      <c r="GW55" t="s">
        <v>2083</v>
      </c>
      <c r="GX55" t="s">
        <v>2083</v>
      </c>
      <c r="GY55" t="s">
        <v>2083</v>
      </c>
      <c r="GZ55" t="s">
        <v>2083</v>
      </c>
      <c r="HA55" t="s">
        <v>2083</v>
      </c>
      <c r="HB55" t="s">
        <v>2083</v>
      </c>
      <c r="HC55" t="s">
        <v>1969</v>
      </c>
      <c r="HD55" t="s">
        <v>2108</v>
      </c>
      <c r="HE55" t="s">
        <v>1969</v>
      </c>
      <c r="HF55" t="s">
        <v>2108</v>
      </c>
      <c r="HG55" t="s">
        <v>2083</v>
      </c>
      <c r="HH55" t="s">
        <v>1969</v>
      </c>
      <c r="HI55" t="s">
        <v>1969</v>
      </c>
      <c r="HJ55" t="s">
        <v>2083</v>
      </c>
      <c r="HK55" t="s">
        <v>2083</v>
      </c>
      <c r="HL55" t="s">
        <v>2083</v>
      </c>
      <c r="HM55" t="s">
        <v>1969</v>
      </c>
      <c r="HN55" t="s">
        <v>2083</v>
      </c>
      <c r="HO55" t="s">
        <v>2108</v>
      </c>
      <c r="HP55" t="s">
        <v>1969</v>
      </c>
      <c r="HQ55" t="s">
        <v>2108</v>
      </c>
      <c r="HR55" t="s">
        <v>2108</v>
      </c>
      <c r="HS55" t="s">
        <v>2108</v>
      </c>
      <c r="HT55" t="s">
        <v>2083</v>
      </c>
      <c r="HU55" t="s">
        <v>2083</v>
      </c>
      <c r="HV55" t="s">
        <v>2083</v>
      </c>
      <c r="HW55" t="s">
        <v>2083</v>
      </c>
      <c r="HX55" t="s">
        <v>2083</v>
      </c>
      <c r="HY55" t="s">
        <v>2083</v>
      </c>
      <c r="HZ55" t="s">
        <v>1969</v>
      </c>
      <c r="IA55" t="s">
        <v>2083</v>
      </c>
      <c r="IB55" t="s">
        <v>2083</v>
      </c>
      <c r="IC55" t="s">
        <v>1969</v>
      </c>
      <c r="ID55" t="s">
        <v>2083</v>
      </c>
      <c r="IE55" t="s">
        <v>2083</v>
      </c>
      <c r="IF55" t="s">
        <v>2108</v>
      </c>
      <c r="IG55" t="s">
        <v>2108</v>
      </c>
      <c r="IH55" t="s">
        <v>2108</v>
      </c>
      <c r="II55" t="s">
        <v>2108</v>
      </c>
      <c r="IJ55" t="s">
        <v>2108</v>
      </c>
      <c r="IK55" t="s">
        <v>2083</v>
      </c>
      <c r="IL55" t="s">
        <v>1969</v>
      </c>
      <c r="IM55" t="s">
        <v>2083</v>
      </c>
      <c r="IN55" t="s">
        <v>2083</v>
      </c>
      <c r="IO55" t="s">
        <v>2108</v>
      </c>
      <c r="IP55" t="s">
        <v>2083</v>
      </c>
      <c r="IQ55" t="s">
        <v>2083</v>
      </c>
      <c r="IR55" t="s">
        <v>1969</v>
      </c>
      <c r="IS55" t="s">
        <v>2083</v>
      </c>
      <c r="IT55" t="s">
        <v>2083</v>
      </c>
      <c r="IU55" t="s">
        <v>2083</v>
      </c>
      <c r="IV55" t="s">
        <v>2083</v>
      </c>
      <c r="IW55" t="s">
        <v>2083</v>
      </c>
      <c r="IX55" t="s">
        <v>2083</v>
      </c>
      <c r="IY55" t="s">
        <v>2083</v>
      </c>
      <c r="IZ55" t="s">
        <v>2083</v>
      </c>
      <c r="JA55" t="s">
        <v>2083</v>
      </c>
      <c r="JB55" t="s">
        <v>2108</v>
      </c>
      <c r="JC55" t="s">
        <v>2083</v>
      </c>
      <c r="JD55" t="s">
        <v>2083</v>
      </c>
      <c r="JE55" t="s">
        <v>2083</v>
      </c>
      <c r="JF55" t="s">
        <v>2083</v>
      </c>
      <c r="JG55" t="s">
        <v>2083</v>
      </c>
      <c r="JH55" t="s">
        <v>2083</v>
      </c>
      <c r="JI55" t="s">
        <v>2083</v>
      </c>
      <c r="JJ55" t="s">
        <v>2083</v>
      </c>
      <c r="JK55" t="s">
        <v>1969</v>
      </c>
      <c r="JL55" t="s">
        <v>2108</v>
      </c>
      <c r="JM55" t="s">
        <v>2083</v>
      </c>
      <c r="JN55" t="s">
        <v>2083</v>
      </c>
      <c r="JO55" t="s">
        <v>1969</v>
      </c>
      <c r="JP55" t="s">
        <v>1969</v>
      </c>
      <c r="JQ55" t="s">
        <v>2083</v>
      </c>
      <c r="JR55" t="s">
        <v>2083</v>
      </c>
      <c r="JS55" t="s">
        <v>1969</v>
      </c>
      <c r="JT55" t="s">
        <v>2108</v>
      </c>
      <c r="JU55" t="s">
        <v>1969</v>
      </c>
      <c r="JV55" t="s">
        <v>2108</v>
      </c>
      <c r="JW55" t="s">
        <v>2083</v>
      </c>
      <c r="JX55" t="s">
        <v>2083</v>
      </c>
      <c r="JY55" t="s">
        <v>2083</v>
      </c>
      <c r="JZ55" t="s">
        <v>2108</v>
      </c>
      <c r="KA55" t="s">
        <v>2083</v>
      </c>
      <c r="KB55" t="s">
        <v>2083</v>
      </c>
      <c r="KC55" t="s">
        <v>2083</v>
      </c>
      <c r="KD55" t="s">
        <v>2083</v>
      </c>
      <c r="KE55" t="s">
        <v>2083</v>
      </c>
      <c r="KF55" t="s">
        <v>2083</v>
      </c>
      <c r="KG55" t="s">
        <v>2083</v>
      </c>
      <c r="KH55" t="s">
        <v>2083</v>
      </c>
      <c r="KI55" t="s">
        <v>2083</v>
      </c>
      <c r="KJ55" t="s">
        <v>1969</v>
      </c>
      <c r="KK55" t="s">
        <v>2083</v>
      </c>
      <c r="KL55" t="s">
        <v>2083</v>
      </c>
      <c r="KM55" t="s">
        <v>2083</v>
      </c>
      <c r="KN55" t="s">
        <v>2108</v>
      </c>
      <c r="KO55" t="s">
        <v>2083</v>
      </c>
      <c r="KP55" t="s">
        <v>1969</v>
      </c>
      <c r="KQ55" t="s">
        <v>1969</v>
      </c>
      <c r="KR55" t="s">
        <v>2083</v>
      </c>
      <c r="KS55" t="s">
        <v>2083</v>
      </c>
      <c r="KT55" t="s">
        <v>2083</v>
      </c>
      <c r="KU55" t="s">
        <v>2083</v>
      </c>
      <c r="KV55" t="s">
        <v>2083</v>
      </c>
      <c r="KW55" t="s">
        <v>2083</v>
      </c>
      <c r="KX55" t="s">
        <v>2083</v>
      </c>
      <c r="KY55" t="s">
        <v>2083</v>
      </c>
      <c r="KZ55" t="s">
        <v>2083</v>
      </c>
      <c r="LA55" t="s">
        <v>2083</v>
      </c>
      <c r="LB55" t="s">
        <v>2083</v>
      </c>
      <c r="LC55" t="s">
        <v>2083</v>
      </c>
      <c r="LD55" t="s">
        <v>2083</v>
      </c>
      <c r="LE55" t="s">
        <v>2083</v>
      </c>
      <c r="LF55" t="s">
        <v>2083</v>
      </c>
      <c r="LG55" t="s">
        <v>2108</v>
      </c>
      <c r="LH55" t="s">
        <v>2108</v>
      </c>
      <c r="LI55" t="s">
        <v>2108</v>
      </c>
      <c r="LJ55" t="s">
        <v>2083</v>
      </c>
      <c r="LK55" t="s">
        <v>2108</v>
      </c>
      <c r="LL55" t="s">
        <v>2108</v>
      </c>
      <c r="LM55" t="s">
        <v>2083</v>
      </c>
      <c r="LN55" t="s">
        <v>2083</v>
      </c>
      <c r="LO55" t="s">
        <v>2108</v>
      </c>
      <c r="LP55" t="s">
        <v>2108</v>
      </c>
      <c r="LQ55" t="s">
        <v>2108</v>
      </c>
      <c r="LR55" t="s">
        <v>2108</v>
      </c>
      <c r="LS55" t="s">
        <v>1969</v>
      </c>
      <c r="LT55" t="s">
        <v>1969</v>
      </c>
      <c r="LU55" t="s">
        <v>2083</v>
      </c>
      <c r="LV55" t="s">
        <v>2083</v>
      </c>
      <c r="LW55" t="s">
        <v>2108</v>
      </c>
      <c r="LX55" t="s">
        <v>2083</v>
      </c>
      <c r="LY55" t="s">
        <v>2083</v>
      </c>
      <c r="LZ55" t="s">
        <v>2083</v>
      </c>
      <c r="MA55" t="s">
        <v>2083</v>
      </c>
      <c r="MB55" t="s">
        <v>2083</v>
      </c>
      <c r="MC55" t="s">
        <v>2083</v>
      </c>
      <c r="MD55" t="s">
        <v>2108</v>
      </c>
      <c r="ME55" t="s">
        <v>2083</v>
      </c>
      <c r="MF55" t="s">
        <v>2083</v>
      </c>
      <c r="MG55" t="s">
        <v>2108</v>
      </c>
      <c r="MH55" t="s">
        <v>2108</v>
      </c>
      <c r="MI55" t="s">
        <v>2108</v>
      </c>
      <c r="MJ55" t="s">
        <v>2083</v>
      </c>
      <c r="MK55" t="s">
        <v>2083</v>
      </c>
      <c r="ML55" t="s">
        <v>2083</v>
      </c>
      <c r="MM55" t="s">
        <v>2083</v>
      </c>
      <c r="MN55" t="s">
        <v>2083</v>
      </c>
      <c r="MO55" t="s">
        <v>2083</v>
      </c>
      <c r="MP55" t="s">
        <v>2083</v>
      </c>
      <c r="MQ55" t="s">
        <v>2083</v>
      </c>
      <c r="MR55" t="s">
        <v>2083</v>
      </c>
      <c r="MS55" t="s">
        <v>2083</v>
      </c>
      <c r="MT55" t="s">
        <v>2083</v>
      </c>
      <c r="MU55" t="s">
        <v>2083</v>
      </c>
      <c r="MV55" t="s">
        <v>2083</v>
      </c>
      <c r="MW55" t="s">
        <v>2083</v>
      </c>
      <c r="MX55" t="s">
        <v>2108</v>
      </c>
      <c r="MY55" t="s">
        <v>2083</v>
      </c>
      <c r="MZ55" t="s">
        <v>2108</v>
      </c>
      <c r="NA55" t="s">
        <v>2083</v>
      </c>
      <c r="NB55" t="s">
        <v>2083</v>
      </c>
      <c r="NC55" t="s">
        <v>2083</v>
      </c>
      <c r="ND55" t="s">
        <v>2083</v>
      </c>
      <c r="NG55" t="s">
        <v>2083</v>
      </c>
      <c r="NH55" t="s">
        <v>2083</v>
      </c>
      <c r="NI55" t="s">
        <v>2083</v>
      </c>
      <c r="NJ55" t="s">
        <v>2083</v>
      </c>
      <c r="NK55" t="s">
        <v>2083</v>
      </c>
      <c r="NL55" t="s">
        <v>2083</v>
      </c>
      <c r="NM55" t="s">
        <v>2083</v>
      </c>
      <c r="NN55" t="s">
        <v>2108</v>
      </c>
      <c r="NR55" t="s">
        <v>1511</v>
      </c>
      <c r="NS55" t="s">
        <v>2106</v>
      </c>
      <c r="NX55" t="s">
        <v>2110</v>
      </c>
      <c r="NY55" t="s">
        <v>1885</v>
      </c>
    </row>
    <row r="56" spans="1:389" ht="15" customHeight="1" x14ac:dyDescent="0.25">
      <c r="A56" t="s">
        <v>2111</v>
      </c>
      <c r="B56" t="s">
        <v>1849</v>
      </c>
      <c r="C56" t="s">
        <v>1841</v>
      </c>
      <c r="D56" t="s">
        <v>1512</v>
      </c>
      <c r="G56" t="s">
        <v>2111</v>
      </c>
      <c r="H56" t="s">
        <v>1987</v>
      </c>
      <c r="I56" t="s">
        <v>1987</v>
      </c>
      <c r="J56" t="s">
        <v>1987</v>
      </c>
      <c r="K56" t="s">
        <v>2111</v>
      </c>
      <c r="L56" t="s">
        <v>2111</v>
      </c>
      <c r="M56" t="s">
        <v>2111</v>
      </c>
      <c r="N56" t="s">
        <v>2111</v>
      </c>
      <c r="O56" t="s">
        <v>1987</v>
      </c>
      <c r="P56" t="s">
        <v>2111</v>
      </c>
      <c r="Q56" t="s">
        <v>1987</v>
      </c>
      <c r="R56" t="s">
        <v>2111</v>
      </c>
      <c r="S56" t="s">
        <v>2111</v>
      </c>
      <c r="T56" t="s">
        <v>1987</v>
      </c>
      <c r="U56" t="s">
        <v>1987</v>
      </c>
      <c r="V56" t="s">
        <v>1987</v>
      </c>
      <c r="W56" t="s">
        <v>1987</v>
      </c>
      <c r="X56" t="s">
        <v>1987</v>
      </c>
      <c r="Y56" t="s">
        <v>1987</v>
      </c>
      <c r="AA56" t="s">
        <v>1987</v>
      </c>
      <c r="AB56" t="s">
        <v>1987</v>
      </c>
      <c r="AC56" t="s">
        <v>1987</v>
      </c>
      <c r="AD56" t="s">
        <v>1987</v>
      </c>
      <c r="AE56" t="s">
        <v>1987</v>
      </c>
      <c r="AF56" t="s">
        <v>1987</v>
      </c>
      <c r="AG56" t="s">
        <v>1987</v>
      </c>
      <c r="AH56" t="s">
        <v>2111</v>
      </c>
      <c r="AI56" t="s">
        <v>1987</v>
      </c>
      <c r="AJ56" t="s">
        <v>1987</v>
      </c>
      <c r="AK56" t="s">
        <v>1987</v>
      </c>
      <c r="AL56" t="s">
        <v>1987</v>
      </c>
      <c r="AM56" t="s">
        <v>2111</v>
      </c>
      <c r="AN56" t="s">
        <v>1987</v>
      </c>
      <c r="AO56" t="s">
        <v>2111</v>
      </c>
      <c r="AP56" t="s">
        <v>2111</v>
      </c>
      <c r="AQ56" t="s">
        <v>2111</v>
      </c>
      <c r="AR56" t="s">
        <v>2111</v>
      </c>
      <c r="AS56" t="s">
        <v>1987</v>
      </c>
      <c r="AT56" t="s">
        <v>1987</v>
      </c>
      <c r="AU56" t="s">
        <v>1987</v>
      </c>
      <c r="AV56" t="s">
        <v>1987</v>
      </c>
      <c r="AW56" t="s">
        <v>1987</v>
      </c>
      <c r="AX56" t="s">
        <v>1987</v>
      </c>
      <c r="AY56" t="s">
        <v>1987</v>
      </c>
      <c r="AZ56" t="s">
        <v>1987</v>
      </c>
      <c r="BA56" t="s">
        <v>1987</v>
      </c>
      <c r="BB56" t="s">
        <v>1987</v>
      </c>
      <c r="BC56" t="s">
        <v>1987</v>
      </c>
      <c r="BD56" t="s">
        <v>1987</v>
      </c>
      <c r="BE56" t="s">
        <v>1987</v>
      </c>
      <c r="BF56" t="s">
        <v>1987</v>
      </c>
      <c r="BG56" t="s">
        <v>1987</v>
      </c>
      <c r="BH56" t="s">
        <v>1987</v>
      </c>
      <c r="BI56" t="s">
        <v>1987</v>
      </c>
      <c r="BJ56" t="s">
        <v>1987</v>
      </c>
      <c r="BK56" t="s">
        <v>1987</v>
      </c>
      <c r="BL56" t="s">
        <v>1987</v>
      </c>
      <c r="BM56" t="s">
        <v>1987</v>
      </c>
      <c r="BN56" t="s">
        <v>1987</v>
      </c>
      <c r="BO56" t="s">
        <v>1987</v>
      </c>
      <c r="BP56" t="s">
        <v>1987</v>
      </c>
      <c r="BQ56" t="s">
        <v>1987</v>
      </c>
      <c r="BR56" t="s">
        <v>1987</v>
      </c>
      <c r="BS56" t="s">
        <v>1987</v>
      </c>
      <c r="BT56" t="s">
        <v>1987</v>
      </c>
      <c r="BU56" t="s">
        <v>1987</v>
      </c>
      <c r="BV56" t="s">
        <v>1987</v>
      </c>
      <c r="BW56" t="s">
        <v>1987</v>
      </c>
      <c r="BX56" t="s">
        <v>1987</v>
      </c>
      <c r="BY56" t="s">
        <v>1987</v>
      </c>
      <c r="BZ56" t="s">
        <v>2111</v>
      </c>
      <c r="CA56" t="s">
        <v>2111</v>
      </c>
      <c r="CB56" t="s">
        <v>1987</v>
      </c>
      <c r="CC56" t="s">
        <v>1987</v>
      </c>
      <c r="CD56" t="s">
        <v>1987</v>
      </c>
      <c r="CE56" t="s">
        <v>2111</v>
      </c>
      <c r="CF56" t="s">
        <v>1987</v>
      </c>
      <c r="CG56" t="s">
        <v>1987</v>
      </c>
      <c r="CH56" t="s">
        <v>1987</v>
      </c>
      <c r="CI56" t="s">
        <v>1987</v>
      </c>
      <c r="CJ56" t="s">
        <v>1987</v>
      </c>
      <c r="CK56" t="s">
        <v>2111</v>
      </c>
      <c r="CL56" t="s">
        <v>2111</v>
      </c>
      <c r="CM56" t="s">
        <v>2111</v>
      </c>
      <c r="CN56" t="s">
        <v>2111</v>
      </c>
      <c r="CO56" t="s">
        <v>2111</v>
      </c>
      <c r="CP56" t="s">
        <v>2111</v>
      </c>
      <c r="CQ56" t="s">
        <v>2111</v>
      </c>
      <c r="CR56" t="s">
        <v>2111</v>
      </c>
      <c r="CS56" t="s">
        <v>1987</v>
      </c>
      <c r="CT56" t="s">
        <v>1987</v>
      </c>
      <c r="CU56" t="s">
        <v>2111</v>
      </c>
      <c r="CV56" t="s">
        <v>1987</v>
      </c>
      <c r="CW56" t="s">
        <v>1987</v>
      </c>
      <c r="CX56" t="s">
        <v>1987</v>
      </c>
      <c r="CY56" t="s">
        <v>1987</v>
      </c>
      <c r="CZ56" t="s">
        <v>2111</v>
      </c>
      <c r="DA56" t="s">
        <v>2111</v>
      </c>
      <c r="DB56" t="s">
        <v>2111</v>
      </c>
      <c r="DC56" t="s">
        <v>2111</v>
      </c>
      <c r="DD56" t="s">
        <v>1987</v>
      </c>
      <c r="DE56" t="s">
        <v>1987</v>
      </c>
      <c r="DF56" t="s">
        <v>1987</v>
      </c>
      <c r="DG56" t="s">
        <v>1987</v>
      </c>
      <c r="DH56" t="s">
        <v>1987</v>
      </c>
      <c r="DI56" t="s">
        <v>1987</v>
      </c>
      <c r="DJ56" t="s">
        <v>2111</v>
      </c>
      <c r="DK56" t="s">
        <v>2111</v>
      </c>
      <c r="DL56" t="s">
        <v>1987</v>
      </c>
      <c r="DM56" t="s">
        <v>1987</v>
      </c>
      <c r="DN56" t="s">
        <v>1987</v>
      </c>
      <c r="DO56" t="s">
        <v>2111</v>
      </c>
      <c r="DP56" t="s">
        <v>2111</v>
      </c>
      <c r="DQ56" t="s">
        <v>2111</v>
      </c>
      <c r="DR56" t="s">
        <v>2111</v>
      </c>
      <c r="DS56" t="s">
        <v>1987</v>
      </c>
      <c r="DT56" t="s">
        <v>2111</v>
      </c>
      <c r="DU56" t="s">
        <v>2111</v>
      </c>
      <c r="DV56" t="s">
        <v>2111</v>
      </c>
      <c r="DW56" t="s">
        <v>1987</v>
      </c>
      <c r="DX56" t="s">
        <v>1987</v>
      </c>
      <c r="DY56" t="s">
        <v>1987</v>
      </c>
      <c r="DZ56" t="s">
        <v>1987</v>
      </c>
      <c r="EA56" t="s">
        <v>2111</v>
      </c>
      <c r="EB56" t="s">
        <v>2111</v>
      </c>
      <c r="EC56" t="s">
        <v>2111</v>
      </c>
      <c r="ED56" t="s">
        <v>1987</v>
      </c>
      <c r="EE56" t="s">
        <v>1987</v>
      </c>
      <c r="EF56" t="s">
        <v>1987</v>
      </c>
      <c r="EG56" t="s">
        <v>2111</v>
      </c>
      <c r="EH56" t="s">
        <v>2111</v>
      </c>
      <c r="EI56" t="s">
        <v>2111</v>
      </c>
      <c r="EJ56" t="s">
        <v>2111</v>
      </c>
      <c r="EK56" t="s">
        <v>2111</v>
      </c>
      <c r="EL56" t="s">
        <v>2111</v>
      </c>
      <c r="EM56" t="s">
        <v>1987</v>
      </c>
      <c r="EN56" t="s">
        <v>1987</v>
      </c>
      <c r="EO56" t="s">
        <v>1987</v>
      </c>
      <c r="ET56" t="s">
        <v>1987</v>
      </c>
      <c r="EU56" t="s">
        <v>1987</v>
      </c>
      <c r="EV56" t="s">
        <v>1987</v>
      </c>
      <c r="EW56" t="s">
        <v>1987</v>
      </c>
      <c r="EX56" t="s">
        <v>1978</v>
      </c>
      <c r="EY56" t="s">
        <v>2111</v>
      </c>
      <c r="EZ56" t="s">
        <v>1987</v>
      </c>
      <c r="FA56" t="s">
        <v>2111</v>
      </c>
      <c r="FB56" t="s">
        <v>2111</v>
      </c>
      <c r="FC56" t="s">
        <v>2111</v>
      </c>
      <c r="FD56" t="s">
        <v>1987</v>
      </c>
      <c r="FE56" t="s">
        <v>1987</v>
      </c>
      <c r="FF56" t="s">
        <v>2111</v>
      </c>
      <c r="FG56" t="s">
        <v>2111</v>
      </c>
      <c r="FH56" t="s">
        <v>2111</v>
      </c>
      <c r="FI56" t="s">
        <v>2111</v>
      </c>
      <c r="FJ56" t="s">
        <v>1978</v>
      </c>
      <c r="FK56" t="s">
        <v>1987</v>
      </c>
      <c r="FL56" t="s">
        <v>1987</v>
      </c>
      <c r="FM56" t="s">
        <v>1987</v>
      </c>
      <c r="FN56" t="s">
        <v>1987</v>
      </c>
      <c r="FO56" t="s">
        <v>1987</v>
      </c>
      <c r="FP56" t="s">
        <v>1987</v>
      </c>
      <c r="FQ56" t="s">
        <v>1987</v>
      </c>
      <c r="FR56" t="s">
        <v>1987</v>
      </c>
      <c r="FS56" t="s">
        <v>1987</v>
      </c>
      <c r="FT56" t="s">
        <v>1987</v>
      </c>
      <c r="FU56" t="s">
        <v>1987</v>
      </c>
      <c r="FV56" t="s">
        <v>1987</v>
      </c>
      <c r="FW56" t="s">
        <v>1987</v>
      </c>
      <c r="FX56" t="s">
        <v>1987</v>
      </c>
      <c r="FY56" t="s">
        <v>2111</v>
      </c>
      <c r="FZ56" t="s">
        <v>2111</v>
      </c>
      <c r="GA56" t="s">
        <v>2111</v>
      </c>
      <c r="GB56" t="s">
        <v>1987</v>
      </c>
      <c r="GC56" t="s">
        <v>1987</v>
      </c>
      <c r="GD56" t="s">
        <v>1987</v>
      </c>
      <c r="GE56" t="s">
        <v>1987</v>
      </c>
      <c r="GF56" t="s">
        <v>1987</v>
      </c>
      <c r="GG56" t="s">
        <v>1987</v>
      </c>
      <c r="GH56" t="s">
        <v>1987</v>
      </c>
      <c r="GI56" t="s">
        <v>1987</v>
      </c>
      <c r="GJ56" t="s">
        <v>1987</v>
      </c>
      <c r="GK56" t="s">
        <v>1987</v>
      </c>
      <c r="GL56" t="s">
        <v>1987</v>
      </c>
      <c r="GM56" t="s">
        <v>1987</v>
      </c>
      <c r="GN56" t="s">
        <v>1987</v>
      </c>
      <c r="GO56" t="s">
        <v>1987</v>
      </c>
      <c r="GP56" t="s">
        <v>1987</v>
      </c>
      <c r="GQ56" t="s">
        <v>1987</v>
      </c>
      <c r="GR56" t="s">
        <v>1987</v>
      </c>
      <c r="GS56" t="s">
        <v>1987</v>
      </c>
      <c r="GT56" t="s">
        <v>1987</v>
      </c>
      <c r="GU56" t="s">
        <v>1987</v>
      </c>
      <c r="GV56" t="s">
        <v>1987</v>
      </c>
      <c r="GW56" t="s">
        <v>1987</v>
      </c>
      <c r="GX56" t="s">
        <v>1987</v>
      </c>
      <c r="GY56" t="s">
        <v>1987</v>
      </c>
      <c r="GZ56" t="s">
        <v>1987</v>
      </c>
      <c r="HA56" t="s">
        <v>1987</v>
      </c>
      <c r="HB56" t="s">
        <v>1987</v>
      </c>
      <c r="HC56" t="s">
        <v>1978</v>
      </c>
      <c r="HD56" t="s">
        <v>2111</v>
      </c>
      <c r="HE56" t="s">
        <v>1978</v>
      </c>
      <c r="HF56" t="s">
        <v>2111</v>
      </c>
      <c r="HG56" t="s">
        <v>1987</v>
      </c>
      <c r="HH56" t="s">
        <v>1978</v>
      </c>
      <c r="HI56" t="s">
        <v>1978</v>
      </c>
      <c r="HJ56" t="s">
        <v>1987</v>
      </c>
      <c r="HK56" t="s">
        <v>1987</v>
      </c>
      <c r="HL56" t="s">
        <v>1987</v>
      </c>
      <c r="HM56" t="s">
        <v>1978</v>
      </c>
      <c r="HN56" t="s">
        <v>1987</v>
      </c>
      <c r="HO56" t="s">
        <v>2111</v>
      </c>
      <c r="HP56" t="s">
        <v>1978</v>
      </c>
      <c r="HQ56" t="s">
        <v>2111</v>
      </c>
      <c r="HR56" t="s">
        <v>2111</v>
      </c>
      <c r="HS56" t="s">
        <v>2111</v>
      </c>
      <c r="HT56" t="s">
        <v>1987</v>
      </c>
      <c r="HU56" t="s">
        <v>1987</v>
      </c>
      <c r="HV56" t="s">
        <v>1987</v>
      </c>
      <c r="HW56" t="s">
        <v>1987</v>
      </c>
      <c r="HX56" t="s">
        <v>1987</v>
      </c>
      <c r="HY56" t="s">
        <v>1987</v>
      </c>
      <c r="HZ56" t="s">
        <v>1978</v>
      </c>
      <c r="IA56" t="s">
        <v>1987</v>
      </c>
      <c r="IB56" t="s">
        <v>1987</v>
      </c>
      <c r="IC56" t="s">
        <v>1978</v>
      </c>
      <c r="ID56" t="s">
        <v>1987</v>
      </c>
      <c r="IE56" t="s">
        <v>1987</v>
      </c>
      <c r="IF56" t="s">
        <v>2111</v>
      </c>
      <c r="IG56" t="s">
        <v>2111</v>
      </c>
      <c r="IH56" t="s">
        <v>2111</v>
      </c>
      <c r="II56" t="s">
        <v>2111</v>
      </c>
      <c r="IJ56" t="s">
        <v>2111</v>
      </c>
      <c r="IK56" t="s">
        <v>1987</v>
      </c>
      <c r="IL56" t="s">
        <v>1978</v>
      </c>
      <c r="IM56" t="s">
        <v>1987</v>
      </c>
      <c r="IN56" t="s">
        <v>1987</v>
      </c>
      <c r="IO56" t="s">
        <v>2111</v>
      </c>
      <c r="IP56" t="s">
        <v>1987</v>
      </c>
      <c r="IQ56" t="s">
        <v>1987</v>
      </c>
      <c r="IR56" t="s">
        <v>1978</v>
      </c>
      <c r="IS56" t="s">
        <v>1987</v>
      </c>
      <c r="IT56" t="s">
        <v>1987</v>
      </c>
      <c r="IU56" t="s">
        <v>1987</v>
      </c>
      <c r="IV56" t="s">
        <v>1987</v>
      </c>
      <c r="IW56" t="s">
        <v>1987</v>
      </c>
      <c r="IX56" t="s">
        <v>1987</v>
      </c>
      <c r="IY56" t="s">
        <v>1987</v>
      </c>
      <c r="IZ56" t="s">
        <v>1987</v>
      </c>
      <c r="JA56" t="s">
        <v>1987</v>
      </c>
      <c r="JB56" t="s">
        <v>2111</v>
      </c>
      <c r="JC56" t="s">
        <v>1987</v>
      </c>
      <c r="JD56" t="s">
        <v>1987</v>
      </c>
      <c r="JE56" t="s">
        <v>1987</v>
      </c>
      <c r="JF56" t="s">
        <v>1987</v>
      </c>
      <c r="JG56" t="s">
        <v>1987</v>
      </c>
      <c r="JH56" t="s">
        <v>1987</v>
      </c>
      <c r="JI56" t="s">
        <v>1987</v>
      </c>
      <c r="JJ56" t="s">
        <v>1987</v>
      </c>
      <c r="JK56" t="s">
        <v>1978</v>
      </c>
      <c r="JL56" t="s">
        <v>2111</v>
      </c>
      <c r="JM56" t="s">
        <v>1987</v>
      </c>
      <c r="JN56" t="s">
        <v>1987</v>
      </c>
      <c r="JO56" t="s">
        <v>1978</v>
      </c>
      <c r="JP56" t="s">
        <v>1978</v>
      </c>
      <c r="JQ56" t="s">
        <v>1987</v>
      </c>
      <c r="JR56" t="s">
        <v>1987</v>
      </c>
      <c r="JS56" t="s">
        <v>1978</v>
      </c>
      <c r="JT56" t="s">
        <v>2111</v>
      </c>
      <c r="JU56" t="s">
        <v>1978</v>
      </c>
      <c r="JV56" t="s">
        <v>2111</v>
      </c>
      <c r="JW56" t="s">
        <v>1987</v>
      </c>
      <c r="JX56" t="s">
        <v>1987</v>
      </c>
      <c r="JY56" t="s">
        <v>1987</v>
      </c>
      <c r="JZ56" t="s">
        <v>2111</v>
      </c>
      <c r="KA56" t="s">
        <v>1987</v>
      </c>
      <c r="KB56" t="s">
        <v>1987</v>
      </c>
      <c r="KC56" t="s">
        <v>1987</v>
      </c>
      <c r="KD56" t="s">
        <v>1987</v>
      </c>
      <c r="KE56" t="s">
        <v>1987</v>
      </c>
      <c r="KF56" t="s">
        <v>1987</v>
      </c>
      <c r="KG56" t="s">
        <v>1987</v>
      </c>
      <c r="KH56" t="s">
        <v>1987</v>
      </c>
      <c r="KI56" t="s">
        <v>1987</v>
      </c>
      <c r="KJ56" t="s">
        <v>1978</v>
      </c>
      <c r="KK56" t="s">
        <v>1987</v>
      </c>
      <c r="KL56" t="s">
        <v>1987</v>
      </c>
      <c r="KM56" t="s">
        <v>1987</v>
      </c>
      <c r="KN56" t="s">
        <v>2111</v>
      </c>
      <c r="KO56" t="s">
        <v>1987</v>
      </c>
      <c r="KP56" t="s">
        <v>1978</v>
      </c>
      <c r="KQ56" t="s">
        <v>1978</v>
      </c>
      <c r="KR56" t="s">
        <v>1987</v>
      </c>
      <c r="KS56" t="s">
        <v>1987</v>
      </c>
      <c r="KT56" t="s">
        <v>1987</v>
      </c>
      <c r="KU56" t="s">
        <v>1987</v>
      </c>
      <c r="KV56" t="s">
        <v>1987</v>
      </c>
      <c r="KW56" t="s">
        <v>1987</v>
      </c>
      <c r="KX56" t="s">
        <v>1987</v>
      </c>
      <c r="KY56" t="s">
        <v>1987</v>
      </c>
      <c r="KZ56" t="s">
        <v>1987</v>
      </c>
      <c r="LA56" t="s">
        <v>1987</v>
      </c>
      <c r="LB56" t="s">
        <v>1987</v>
      </c>
      <c r="LC56" t="s">
        <v>1987</v>
      </c>
      <c r="LD56" t="s">
        <v>1987</v>
      </c>
      <c r="LE56" t="s">
        <v>1987</v>
      </c>
      <c r="LF56" t="s">
        <v>1987</v>
      </c>
      <c r="LG56" t="s">
        <v>2111</v>
      </c>
      <c r="LH56" t="s">
        <v>2111</v>
      </c>
      <c r="LI56" t="s">
        <v>2111</v>
      </c>
      <c r="LJ56" t="s">
        <v>1987</v>
      </c>
      <c r="LK56" t="s">
        <v>2111</v>
      </c>
      <c r="LL56" t="s">
        <v>2111</v>
      </c>
      <c r="LM56" t="s">
        <v>1987</v>
      </c>
      <c r="LN56" t="s">
        <v>1987</v>
      </c>
      <c r="LO56" t="s">
        <v>2111</v>
      </c>
      <c r="LP56" t="s">
        <v>2111</v>
      </c>
      <c r="LQ56" t="s">
        <v>2111</v>
      </c>
      <c r="LR56" t="s">
        <v>2111</v>
      </c>
      <c r="LS56" t="s">
        <v>1978</v>
      </c>
      <c r="LT56" t="s">
        <v>1978</v>
      </c>
      <c r="LU56" t="s">
        <v>1987</v>
      </c>
      <c r="LV56" t="s">
        <v>1987</v>
      </c>
      <c r="LW56" t="s">
        <v>2111</v>
      </c>
      <c r="LX56" t="s">
        <v>1987</v>
      </c>
      <c r="LY56" t="s">
        <v>1987</v>
      </c>
      <c r="LZ56" t="s">
        <v>1987</v>
      </c>
      <c r="MA56" t="s">
        <v>1987</v>
      </c>
      <c r="MB56" t="s">
        <v>1987</v>
      </c>
      <c r="MC56" t="s">
        <v>1987</v>
      </c>
      <c r="MD56" t="s">
        <v>2111</v>
      </c>
      <c r="ME56" t="s">
        <v>1987</v>
      </c>
      <c r="MF56" t="s">
        <v>1987</v>
      </c>
      <c r="MG56" t="s">
        <v>2111</v>
      </c>
      <c r="MH56" t="s">
        <v>2111</v>
      </c>
      <c r="MI56" t="s">
        <v>2111</v>
      </c>
      <c r="MJ56" t="s">
        <v>1987</v>
      </c>
      <c r="MK56" t="s">
        <v>1987</v>
      </c>
      <c r="ML56" t="s">
        <v>1987</v>
      </c>
      <c r="MM56" t="s">
        <v>1987</v>
      </c>
      <c r="MN56" t="s">
        <v>1987</v>
      </c>
      <c r="MO56" t="s">
        <v>1987</v>
      </c>
      <c r="MP56" t="s">
        <v>1987</v>
      </c>
      <c r="MQ56" t="s">
        <v>1987</v>
      </c>
      <c r="MR56" t="s">
        <v>1987</v>
      </c>
      <c r="MS56" t="s">
        <v>1987</v>
      </c>
      <c r="MT56" t="s">
        <v>1987</v>
      </c>
      <c r="MU56" t="s">
        <v>1987</v>
      </c>
      <c r="MV56" t="s">
        <v>1987</v>
      </c>
      <c r="MW56" t="s">
        <v>1987</v>
      </c>
      <c r="MX56" t="s">
        <v>2111</v>
      </c>
      <c r="MY56" t="s">
        <v>1987</v>
      </c>
      <c r="MZ56" t="s">
        <v>2111</v>
      </c>
      <c r="NA56" t="s">
        <v>1987</v>
      </c>
      <c r="NB56" t="s">
        <v>1987</v>
      </c>
      <c r="NC56" t="s">
        <v>1987</v>
      </c>
      <c r="ND56" t="s">
        <v>1987</v>
      </c>
      <c r="NG56" t="s">
        <v>1987</v>
      </c>
      <c r="NH56" t="s">
        <v>1987</v>
      </c>
      <c r="NI56" t="s">
        <v>1987</v>
      </c>
      <c r="NJ56" t="s">
        <v>1987</v>
      </c>
      <c r="NK56" t="s">
        <v>1987</v>
      </c>
      <c r="NL56" t="s">
        <v>1987</v>
      </c>
      <c r="NM56" t="s">
        <v>1987</v>
      </c>
      <c r="NN56" t="s">
        <v>2111</v>
      </c>
      <c r="NR56" t="s">
        <v>1512</v>
      </c>
      <c r="NS56" t="s">
        <v>2112</v>
      </c>
      <c r="NX56" t="s">
        <v>2113</v>
      </c>
      <c r="NY56" t="s">
        <v>1885</v>
      </c>
    </row>
    <row r="57" spans="1:389" ht="15" customHeight="1" x14ac:dyDescent="0.25">
      <c r="A57" t="s">
        <v>2035</v>
      </c>
      <c r="B57" t="s">
        <v>1923</v>
      </c>
      <c r="C57" t="s">
        <v>1850</v>
      </c>
      <c r="D57" t="s">
        <v>1513</v>
      </c>
      <c r="G57" t="s">
        <v>2034</v>
      </c>
      <c r="H57" t="s">
        <v>2095</v>
      </c>
      <c r="I57" t="s">
        <v>2095</v>
      </c>
      <c r="J57" t="s">
        <v>2095</v>
      </c>
      <c r="K57" t="s">
        <v>2034</v>
      </c>
      <c r="L57" t="s">
        <v>2034</v>
      </c>
      <c r="M57" t="s">
        <v>2034</v>
      </c>
      <c r="N57" t="s">
        <v>2034</v>
      </c>
      <c r="O57" t="s">
        <v>2095</v>
      </c>
      <c r="P57" t="s">
        <v>2034</v>
      </c>
      <c r="Q57" t="s">
        <v>2095</v>
      </c>
      <c r="R57" t="s">
        <v>2034</v>
      </c>
      <c r="S57" t="s">
        <v>2034</v>
      </c>
      <c r="T57" t="s">
        <v>2095</v>
      </c>
      <c r="U57" t="s">
        <v>2095</v>
      </c>
      <c r="V57" t="s">
        <v>2095</v>
      </c>
      <c r="W57" t="s">
        <v>2095</v>
      </c>
      <c r="X57" t="s">
        <v>2095</v>
      </c>
      <c r="Y57" t="s">
        <v>2095</v>
      </c>
      <c r="AA57" t="s">
        <v>2095</v>
      </c>
      <c r="AB57" t="s">
        <v>2095</v>
      </c>
      <c r="AC57" t="s">
        <v>2095</v>
      </c>
      <c r="AD57" t="s">
        <v>2095</v>
      </c>
      <c r="AE57" t="s">
        <v>2095</v>
      </c>
      <c r="AF57" t="s">
        <v>2095</v>
      </c>
      <c r="AG57" t="s">
        <v>2095</v>
      </c>
      <c r="AH57" t="s">
        <v>2034</v>
      </c>
      <c r="AI57" t="s">
        <v>2095</v>
      </c>
      <c r="AJ57" t="s">
        <v>2095</v>
      </c>
      <c r="AK57" t="s">
        <v>2095</v>
      </c>
      <c r="AL57" t="s">
        <v>2095</v>
      </c>
      <c r="AM57" t="s">
        <v>2035</v>
      </c>
      <c r="AN57" t="s">
        <v>2095</v>
      </c>
      <c r="AO57" t="s">
        <v>2035</v>
      </c>
      <c r="AP57" t="s">
        <v>2035</v>
      </c>
      <c r="AQ57" t="s">
        <v>2034</v>
      </c>
      <c r="AR57" t="s">
        <v>2035</v>
      </c>
      <c r="AS57" t="s">
        <v>2095</v>
      </c>
      <c r="AT57" t="s">
        <v>2095</v>
      </c>
      <c r="AU57" t="s">
        <v>2095</v>
      </c>
      <c r="AV57" t="s">
        <v>2095</v>
      </c>
      <c r="AW57" t="s">
        <v>2095</v>
      </c>
      <c r="AX57" t="s">
        <v>2095</v>
      </c>
      <c r="AY57" t="s">
        <v>2095</v>
      </c>
      <c r="AZ57" t="s">
        <v>2095</v>
      </c>
      <c r="BA57" t="s">
        <v>2095</v>
      </c>
      <c r="BB57" t="s">
        <v>2095</v>
      </c>
      <c r="BC57" t="s">
        <v>2095</v>
      </c>
      <c r="BD57" t="s">
        <v>2095</v>
      </c>
      <c r="BE57" t="s">
        <v>2095</v>
      </c>
      <c r="BF57" t="s">
        <v>2095</v>
      </c>
      <c r="BG57" t="s">
        <v>2095</v>
      </c>
      <c r="BH57" t="s">
        <v>2095</v>
      </c>
      <c r="BI57" t="s">
        <v>2095</v>
      </c>
      <c r="BJ57" t="s">
        <v>2095</v>
      </c>
      <c r="BK57" t="s">
        <v>2095</v>
      </c>
      <c r="BL57" t="s">
        <v>2095</v>
      </c>
      <c r="BM57" t="s">
        <v>2095</v>
      </c>
      <c r="BN57" t="s">
        <v>2095</v>
      </c>
      <c r="BO57" t="s">
        <v>2095</v>
      </c>
      <c r="BP57" t="s">
        <v>2095</v>
      </c>
      <c r="BQ57" t="s">
        <v>2095</v>
      </c>
      <c r="BR57" t="s">
        <v>2095</v>
      </c>
      <c r="BS57" t="s">
        <v>2095</v>
      </c>
      <c r="BT57" t="s">
        <v>2095</v>
      </c>
      <c r="BU57" t="s">
        <v>2095</v>
      </c>
      <c r="BV57" t="s">
        <v>2095</v>
      </c>
      <c r="BW57" t="s">
        <v>2095</v>
      </c>
      <c r="BX57" t="s">
        <v>2095</v>
      </c>
      <c r="BY57" t="s">
        <v>2095</v>
      </c>
      <c r="BZ57" t="s">
        <v>2034</v>
      </c>
      <c r="CA57" t="s">
        <v>2035</v>
      </c>
      <c r="CB57" t="s">
        <v>2095</v>
      </c>
      <c r="CC57" t="s">
        <v>2095</v>
      </c>
      <c r="CD57" t="s">
        <v>2095</v>
      </c>
      <c r="CE57" t="s">
        <v>2034</v>
      </c>
      <c r="CF57" t="s">
        <v>2095</v>
      </c>
      <c r="CG57" t="s">
        <v>2095</v>
      </c>
      <c r="CH57" t="s">
        <v>2095</v>
      </c>
      <c r="CI57" t="s">
        <v>2095</v>
      </c>
      <c r="CJ57" t="s">
        <v>2095</v>
      </c>
      <c r="CK57" t="s">
        <v>2034</v>
      </c>
      <c r="CL57" t="s">
        <v>2034</v>
      </c>
      <c r="CM57" t="s">
        <v>2034</v>
      </c>
      <c r="CN57" t="s">
        <v>2034</v>
      </c>
      <c r="CO57" t="s">
        <v>2034</v>
      </c>
      <c r="CP57" t="s">
        <v>2035</v>
      </c>
      <c r="CQ57" t="s">
        <v>2034</v>
      </c>
      <c r="CR57" t="s">
        <v>2034</v>
      </c>
      <c r="CS57" t="s">
        <v>2095</v>
      </c>
      <c r="CT57" t="s">
        <v>2095</v>
      </c>
      <c r="CU57" t="s">
        <v>2035</v>
      </c>
      <c r="CV57" t="s">
        <v>2095</v>
      </c>
      <c r="CW57" t="s">
        <v>2095</v>
      </c>
      <c r="CX57" t="s">
        <v>2095</v>
      </c>
      <c r="CY57" t="s">
        <v>2095</v>
      </c>
      <c r="CZ57" t="s">
        <v>2034</v>
      </c>
      <c r="DA57" t="s">
        <v>2034</v>
      </c>
      <c r="DB57" t="s">
        <v>2034</v>
      </c>
      <c r="DC57" t="s">
        <v>2034</v>
      </c>
      <c r="DD57" t="s">
        <v>2095</v>
      </c>
      <c r="DE57" t="s">
        <v>2095</v>
      </c>
      <c r="DF57" t="s">
        <v>2095</v>
      </c>
      <c r="DG57" t="s">
        <v>2095</v>
      </c>
      <c r="DH57" t="s">
        <v>2095</v>
      </c>
      <c r="DI57" t="s">
        <v>2095</v>
      </c>
      <c r="DJ57" t="s">
        <v>2034</v>
      </c>
      <c r="DK57" t="s">
        <v>2034</v>
      </c>
      <c r="DL57" t="s">
        <v>2095</v>
      </c>
      <c r="DM57" t="s">
        <v>2095</v>
      </c>
      <c r="DN57" t="s">
        <v>2095</v>
      </c>
      <c r="DO57" t="s">
        <v>2035</v>
      </c>
      <c r="DP57" t="s">
        <v>2034</v>
      </c>
      <c r="DQ57" t="s">
        <v>2035</v>
      </c>
      <c r="DR57" t="s">
        <v>2034</v>
      </c>
      <c r="DS57" t="s">
        <v>2095</v>
      </c>
      <c r="DT57" t="s">
        <v>2035</v>
      </c>
      <c r="DU57" t="s">
        <v>2035</v>
      </c>
      <c r="DV57" t="s">
        <v>2035</v>
      </c>
      <c r="DW57" t="s">
        <v>2095</v>
      </c>
      <c r="DX57" t="s">
        <v>2095</v>
      </c>
      <c r="DY57" t="s">
        <v>2095</v>
      </c>
      <c r="DZ57" t="s">
        <v>2095</v>
      </c>
      <c r="EA57" t="s">
        <v>2035</v>
      </c>
      <c r="EB57" t="s">
        <v>2034</v>
      </c>
      <c r="EC57" t="s">
        <v>2034</v>
      </c>
      <c r="ED57" t="s">
        <v>2095</v>
      </c>
      <c r="EE57" t="s">
        <v>2095</v>
      </c>
      <c r="EF57" t="s">
        <v>2095</v>
      </c>
      <c r="EG57" t="s">
        <v>2035</v>
      </c>
      <c r="EH57" t="s">
        <v>2035</v>
      </c>
      <c r="EI57" t="s">
        <v>2035</v>
      </c>
      <c r="EJ57" t="s">
        <v>2034</v>
      </c>
      <c r="EK57" t="s">
        <v>2034</v>
      </c>
      <c r="EL57" t="s">
        <v>2034</v>
      </c>
      <c r="EM57" t="s">
        <v>2095</v>
      </c>
      <c r="EN57" t="s">
        <v>2095</v>
      </c>
      <c r="EO57" t="s">
        <v>2095</v>
      </c>
      <c r="ET57" t="s">
        <v>2095</v>
      </c>
      <c r="EU57" t="s">
        <v>2095</v>
      </c>
      <c r="EV57" t="s">
        <v>2095</v>
      </c>
      <c r="EW57" t="s">
        <v>2095</v>
      </c>
      <c r="EX57" t="s">
        <v>2083</v>
      </c>
      <c r="EY57" t="s">
        <v>2034</v>
      </c>
      <c r="EZ57" t="s">
        <v>2095</v>
      </c>
      <c r="FA57" t="s">
        <v>2035</v>
      </c>
      <c r="FB57" t="s">
        <v>2034</v>
      </c>
      <c r="FC57" t="s">
        <v>2034</v>
      </c>
      <c r="FD57" t="s">
        <v>2095</v>
      </c>
      <c r="FE57" t="s">
        <v>2095</v>
      </c>
      <c r="FF57" t="s">
        <v>2034</v>
      </c>
      <c r="FG57" t="s">
        <v>2034</v>
      </c>
      <c r="FH57" t="s">
        <v>2034</v>
      </c>
      <c r="FI57" t="s">
        <v>2034</v>
      </c>
      <c r="FJ57" t="s">
        <v>2083</v>
      </c>
      <c r="FK57" t="s">
        <v>2095</v>
      </c>
      <c r="FL57" t="s">
        <v>2095</v>
      </c>
      <c r="FM57" t="s">
        <v>2095</v>
      </c>
      <c r="FN57" t="s">
        <v>2095</v>
      </c>
      <c r="FO57" t="s">
        <v>2095</v>
      </c>
      <c r="FP57" t="s">
        <v>2095</v>
      </c>
      <c r="FQ57" t="s">
        <v>2095</v>
      </c>
      <c r="FR57" t="s">
        <v>2095</v>
      </c>
      <c r="FS57" t="s">
        <v>2095</v>
      </c>
      <c r="FT57" t="s">
        <v>2095</v>
      </c>
      <c r="FU57" t="s">
        <v>2095</v>
      </c>
      <c r="FV57" t="s">
        <v>2095</v>
      </c>
      <c r="FW57" t="s">
        <v>2095</v>
      </c>
      <c r="FX57" t="s">
        <v>2095</v>
      </c>
      <c r="FY57" t="s">
        <v>2035</v>
      </c>
      <c r="FZ57" t="s">
        <v>2035</v>
      </c>
      <c r="GA57" t="s">
        <v>2034</v>
      </c>
      <c r="GB57" t="s">
        <v>2095</v>
      </c>
      <c r="GC57" t="s">
        <v>2095</v>
      </c>
      <c r="GD57" t="s">
        <v>2095</v>
      </c>
      <c r="GE57" t="s">
        <v>2095</v>
      </c>
      <c r="GF57" t="s">
        <v>2095</v>
      </c>
      <c r="GG57" t="s">
        <v>2095</v>
      </c>
      <c r="GH57" t="s">
        <v>2095</v>
      </c>
      <c r="GI57" t="s">
        <v>2095</v>
      </c>
      <c r="GJ57" t="s">
        <v>2095</v>
      </c>
      <c r="GK57" t="s">
        <v>2095</v>
      </c>
      <c r="GL57" t="s">
        <v>2095</v>
      </c>
      <c r="GM57" t="s">
        <v>2095</v>
      </c>
      <c r="GN57" t="s">
        <v>2095</v>
      </c>
      <c r="GO57" t="s">
        <v>2095</v>
      </c>
      <c r="GP57" t="s">
        <v>2095</v>
      </c>
      <c r="GQ57" t="s">
        <v>2095</v>
      </c>
      <c r="GR57" t="s">
        <v>2095</v>
      </c>
      <c r="GS57" t="s">
        <v>2095</v>
      </c>
      <c r="GT57" t="s">
        <v>2095</v>
      </c>
      <c r="GU57" t="s">
        <v>2095</v>
      </c>
      <c r="GV57" t="s">
        <v>2095</v>
      </c>
      <c r="GW57" t="s">
        <v>2095</v>
      </c>
      <c r="GX57" t="s">
        <v>2095</v>
      </c>
      <c r="GY57" t="s">
        <v>2095</v>
      </c>
      <c r="GZ57" t="s">
        <v>2095</v>
      </c>
      <c r="HA57" t="s">
        <v>2095</v>
      </c>
      <c r="HB57" t="s">
        <v>2095</v>
      </c>
      <c r="HC57" t="s">
        <v>2083</v>
      </c>
      <c r="HD57" t="s">
        <v>2035</v>
      </c>
      <c r="HE57" t="s">
        <v>2083</v>
      </c>
      <c r="HF57" t="s">
        <v>2035</v>
      </c>
      <c r="HG57" t="s">
        <v>2095</v>
      </c>
      <c r="HH57" t="s">
        <v>2083</v>
      </c>
      <c r="HI57" t="s">
        <v>2083</v>
      </c>
      <c r="HJ57" t="s">
        <v>2095</v>
      </c>
      <c r="HK57" t="s">
        <v>2095</v>
      </c>
      <c r="HL57" t="s">
        <v>2095</v>
      </c>
      <c r="HM57" t="s">
        <v>2083</v>
      </c>
      <c r="HN57" t="s">
        <v>2095</v>
      </c>
      <c r="HO57" t="s">
        <v>2035</v>
      </c>
      <c r="HP57" t="s">
        <v>2083</v>
      </c>
      <c r="HQ57" t="s">
        <v>2035</v>
      </c>
      <c r="HR57" t="s">
        <v>2035</v>
      </c>
      <c r="HS57" t="s">
        <v>2035</v>
      </c>
      <c r="HT57" t="s">
        <v>2095</v>
      </c>
      <c r="HU57" t="s">
        <v>2095</v>
      </c>
      <c r="HV57" t="s">
        <v>2095</v>
      </c>
      <c r="HW57" t="s">
        <v>2095</v>
      </c>
      <c r="HX57" t="s">
        <v>2095</v>
      </c>
      <c r="HY57" t="s">
        <v>2095</v>
      </c>
      <c r="HZ57" t="s">
        <v>2083</v>
      </c>
      <c r="IA57" t="s">
        <v>2095</v>
      </c>
      <c r="IB57" t="s">
        <v>2095</v>
      </c>
      <c r="IC57" t="s">
        <v>2083</v>
      </c>
      <c r="ID57" t="s">
        <v>2095</v>
      </c>
      <c r="IE57" t="s">
        <v>2095</v>
      </c>
      <c r="IF57" t="s">
        <v>2035</v>
      </c>
      <c r="IG57" t="s">
        <v>2035</v>
      </c>
      <c r="IH57" t="s">
        <v>2035</v>
      </c>
      <c r="II57" t="s">
        <v>2035</v>
      </c>
      <c r="IJ57" t="s">
        <v>2035</v>
      </c>
      <c r="IK57" t="s">
        <v>2095</v>
      </c>
      <c r="IL57" t="s">
        <v>2083</v>
      </c>
      <c r="IM57" t="s">
        <v>2095</v>
      </c>
      <c r="IN57" t="s">
        <v>2095</v>
      </c>
      <c r="IO57" t="s">
        <v>2035</v>
      </c>
      <c r="IP57" t="s">
        <v>2095</v>
      </c>
      <c r="IQ57" t="s">
        <v>2095</v>
      </c>
      <c r="IR57" t="s">
        <v>2083</v>
      </c>
      <c r="IS57" t="s">
        <v>2095</v>
      </c>
      <c r="IT57" t="s">
        <v>2095</v>
      </c>
      <c r="IU57" t="s">
        <v>2095</v>
      </c>
      <c r="IV57" t="s">
        <v>2095</v>
      </c>
      <c r="IW57" t="s">
        <v>2095</v>
      </c>
      <c r="IX57" t="s">
        <v>2095</v>
      </c>
      <c r="IY57" t="s">
        <v>2095</v>
      </c>
      <c r="IZ57" t="s">
        <v>2095</v>
      </c>
      <c r="JA57" t="s">
        <v>2095</v>
      </c>
      <c r="JB57" t="s">
        <v>2035</v>
      </c>
      <c r="JC57" t="s">
        <v>2095</v>
      </c>
      <c r="JD57" t="s">
        <v>2095</v>
      </c>
      <c r="JE57" t="s">
        <v>2095</v>
      </c>
      <c r="JF57" t="s">
        <v>2095</v>
      </c>
      <c r="JG57" t="s">
        <v>2095</v>
      </c>
      <c r="JH57" t="s">
        <v>2095</v>
      </c>
      <c r="JI57" t="s">
        <v>2095</v>
      </c>
      <c r="JJ57" t="s">
        <v>2095</v>
      </c>
      <c r="JK57" t="s">
        <v>2083</v>
      </c>
      <c r="JL57" t="s">
        <v>2034</v>
      </c>
      <c r="JM57" t="s">
        <v>2095</v>
      </c>
      <c r="JN57" t="s">
        <v>2095</v>
      </c>
      <c r="JO57" t="s">
        <v>2083</v>
      </c>
      <c r="JP57" t="s">
        <v>2083</v>
      </c>
      <c r="JQ57" t="s">
        <v>2095</v>
      </c>
      <c r="JR57" t="s">
        <v>2095</v>
      </c>
      <c r="JS57" t="s">
        <v>2083</v>
      </c>
      <c r="JT57" t="s">
        <v>2035</v>
      </c>
      <c r="JU57" t="s">
        <v>2083</v>
      </c>
      <c r="JV57" t="s">
        <v>2035</v>
      </c>
      <c r="JW57" t="s">
        <v>2095</v>
      </c>
      <c r="JX57" t="s">
        <v>2095</v>
      </c>
      <c r="JY57" t="s">
        <v>2095</v>
      </c>
      <c r="JZ57" t="s">
        <v>2034</v>
      </c>
      <c r="KA57" t="s">
        <v>2095</v>
      </c>
      <c r="KB57" t="s">
        <v>2095</v>
      </c>
      <c r="KC57" t="s">
        <v>2095</v>
      </c>
      <c r="KD57" t="s">
        <v>2095</v>
      </c>
      <c r="KE57" t="s">
        <v>2095</v>
      </c>
      <c r="KF57" t="s">
        <v>2095</v>
      </c>
      <c r="KG57" t="s">
        <v>2095</v>
      </c>
      <c r="KH57" t="s">
        <v>2095</v>
      </c>
      <c r="KI57" t="s">
        <v>2095</v>
      </c>
      <c r="KJ57" t="s">
        <v>2083</v>
      </c>
      <c r="KK57" t="s">
        <v>2095</v>
      </c>
      <c r="KL57" t="s">
        <v>2095</v>
      </c>
      <c r="KM57" t="s">
        <v>2095</v>
      </c>
      <c r="KN57" t="s">
        <v>2035</v>
      </c>
      <c r="KO57" t="s">
        <v>2095</v>
      </c>
      <c r="KP57" t="s">
        <v>2083</v>
      </c>
      <c r="KQ57" t="s">
        <v>2083</v>
      </c>
      <c r="KR57" t="s">
        <v>2095</v>
      </c>
      <c r="KS57" t="s">
        <v>2095</v>
      </c>
      <c r="KT57" t="s">
        <v>2095</v>
      </c>
      <c r="KU57" t="s">
        <v>2095</v>
      </c>
      <c r="KV57" t="s">
        <v>2095</v>
      </c>
      <c r="KW57" t="s">
        <v>2095</v>
      </c>
      <c r="KX57" t="s">
        <v>2095</v>
      </c>
      <c r="KY57" t="s">
        <v>2095</v>
      </c>
      <c r="KZ57" t="s">
        <v>2095</v>
      </c>
      <c r="LA57" t="s">
        <v>2095</v>
      </c>
      <c r="LB57" t="s">
        <v>2095</v>
      </c>
      <c r="LC57" t="s">
        <v>2095</v>
      </c>
      <c r="LD57" t="s">
        <v>2095</v>
      </c>
      <c r="LE57" t="s">
        <v>2095</v>
      </c>
      <c r="LF57" t="s">
        <v>2095</v>
      </c>
      <c r="LG57" t="s">
        <v>2035</v>
      </c>
      <c r="LH57" t="s">
        <v>2034</v>
      </c>
      <c r="LI57" t="s">
        <v>2034</v>
      </c>
      <c r="LJ57" t="s">
        <v>2095</v>
      </c>
      <c r="LK57" t="s">
        <v>2034</v>
      </c>
      <c r="LL57" t="s">
        <v>2034</v>
      </c>
      <c r="LM57" t="s">
        <v>2095</v>
      </c>
      <c r="LN57" t="s">
        <v>2095</v>
      </c>
      <c r="LO57" t="s">
        <v>2035</v>
      </c>
      <c r="LP57" t="s">
        <v>2035</v>
      </c>
      <c r="LQ57" t="s">
        <v>2035</v>
      </c>
      <c r="LR57" t="s">
        <v>2035</v>
      </c>
      <c r="LS57" t="s">
        <v>2083</v>
      </c>
      <c r="LT57" t="s">
        <v>2083</v>
      </c>
      <c r="LU57" t="s">
        <v>2095</v>
      </c>
      <c r="LV57" t="s">
        <v>2095</v>
      </c>
      <c r="LW57" t="s">
        <v>2034</v>
      </c>
      <c r="LX57" t="s">
        <v>2095</v>
      </c>
      <c r="LY57" t="s">
        <v>2095</v>
      </c>
      <c r="LZ57" t="s">
        <v>2095</v>
      </c>
      <c r="MA57" t="s">
        <v>2095</v>
      </c>
      <c r="MB57" t="s">
        <v>2095</v>
      </c>
      <c r="MC57" t="s">
        <v>2095</v>
      </c>
      <c r="MD57" t="s">
        <v>2035</v>
      </c>
      <c r="ME57" t="s">
        <v>2095</v>
      </c>
      <c r="MF57" t="s">
        <v>2095</v>
      </c>
      <c r="MG57" t="s">
        <v>2034</v>
      </c>
      <c r="MH57" t="s">
        <v>2034</v>
      </c>
      <c r="MI57" t="s">
        <v>2035</v>
      </c>
      <c r="MJ57" t="s">
        <v>2095</v>
      </c>
      <c r="MK57" t="s">
        <v>2095</v>
      </c>
      <c r="ML57" t="s">
        <v>2095</v>
      </c>
      <c r="MM57" t="s">
        <v>2095</v>
      </c>
      <c r="MN57" t="s">
        <v>2095</v>
      </c>
      <c r="MO57" t="s">
        <v>2095</v>
      </c>
      <c r="MP57" t="s">
        <v>2095</v>
      </c>
      <c r="MQ57" t="s">
        <v>2095</v>
      </c>
      <c r="MR57" t="s">
        <v>2095</v>
      </c>
      <c r="MS57" t="s">
        <v>2095</v>
      </c>
      <c r="MT57" t="s">
        <v>2095</v>
      </c>
      <c r="MU57" t="s">
        <v>2095</v>
      </c>
      <c r="MV57" t="s">
        <v>2095</v>
      </c>
      <c r="MW57" t="s">
        <v>2095</v>
      </c>
      <c r="MX57" t="s">
        <v>2035</v>
      </c>
      <c r="MY57" t="s">
        <v>2095</v>
      </c>
      <c r="MZ57" t="s">
        <v>2035</v>
      </c>
      <c r="NA57" t="s">
        <v>2095</v>
      </c>
      <c r="NB57" t="s">
        <v>2095</v>
      </c>
      <c r="NC57" t="s">
        <v>2095</v>
      </c>
      <c r="ND57" t="s">
        <v>2095</v>
      </c>
      <c r="NG57" t="s">
        <v>2095</v>
      </c>
      <c r="NH57" t="s">
        <v>2095</v>
      </c>
      <c r="NI57" t="s">
        <v>2095</v>
      </c>
      <c r="NJ57" t="s">
        <v>2095</v>
      </c>
      <c r="NK57" t="s">
        <v>2095</v>
      </c>
      <c r="NL57" t="s">
        <v>2095</v>
      </c>
      <c r="NM57" t="s">
        <v>2095</v>
      </c>
      <c r="NN57" t="s">
        <v>2035</v>
      </c>
      <c r="NR57" t="s">
        <v>1513</v>
      </c>
      <c r="NS57" t="s">
        <v>2112</v>
      </c>
      <c r="NX57" t="s">
        <v>2114</v>
      </c>
      <c r="NY57" t="s">
        <v>1893</v>
      </c>
    </row>
    <row r="58" spans="1:389" ht="15" customHeight="1" x14ac:dyDescent="0.25">
      <c r="A58" t="s">
        <v>2034</v>
      </c>
      <c r="B58" t="s">
        <v>2115</v>
      </c>
      <c r="C58" t="s">
        <v>1850</v>
      </c>
      <c r="D58" t="s">
        <v>1514</v>
      </c>
      <c r="G58" t="s">
        <v>1849</v>
      </c>
      <c r="H58" t="s">
        <v>2092</v>
      </c>
      <c r="I58" t="s">
        <v>2092</v>
      </c>
      <c r="J58" t="s">
        <v>2092</v>
      </c>
      <c r="K58" t="s">
        <v>1849</v>
      </c>
      <c r="L58" t="s">
        <v>1849</v>
      </c>
      <c r="M58" t="s">
        <v>1849</v>
      </c>
      <c r="N58" t="s">
        <v>1849</v>
      </c>
      <c r="O58" t="s">
        <v>2092</v>
      </c>
      <c r="P58" t="s">
        <v>1849</v>
      </c>
      <c r="Q58" t="s">
        <v>2092</v>
      </c>
      <c r="R58" t="s">
        <v>1849</v>
      </c>
      <c r="S58" t="s">
        <v>1849</v>
      </c>
      <c r="T58" t="s">
        <v>2092</v>
      </c>
      <c r="U58" t="s">
        <v>2092</v>
      </c>
      <c r="V58" t="s">
        <v>2092</v>
      </c>
      <c r="W58" t="s">
        <v>2092</v>
      </c>
      <c r="X58" t="s">
        <v>2092</v>
      </c>
      <c r="Y58" t="s">
        <v>2092</v>
      </c>
      <c r="AA58" t="s">
        <v>2092</v>
      </c>
      <c r="AB58" t="s">
        <v>2092</v>
      </c>
      <c r="AC58" t="s">
        <v>2092</v>
      </c>
      <c r="AD58" t="s">
        <v>2092</v>
      </c>
      <c r="AE58" t="s">
        <v>2092</v>
      </c>
      <c r="AF58" t="s">
        <v>2092</v>
      </c>
      <c r="AG58" t="s">
        <v>2092</v>
      </c>
      <c r="AH58" t="s">
        <v>1849</v>
      </c>
      <c r="AI58" t="s">
        <v>2092</v>
      </c>
      <c r="AJ58" t="s">
        <v>2092</v>
      </c>
      <c r="AK58" t="s">
        <v>2092</v>
      </c>
      <c r="AL58" t="s">
        <v>2092</v>
      </c>
      <c r="AM58" t="s">
        <v>2034</v>
      </c>
      <c r="AN58" t="s">
        <v>2092</v>
      </c>
      <c r="AO58" t="s">
        <v>2034</v>
      </c>
      <c r="AP58" t="s">
        <v>2034</v>
      </c>
      <c r="AQ58" t="s">
        <v>1849</v>
      </c>
      <c r="AR58" t="s">
        <v>2034</v>
      </c>
      <c r="AS58" t="s">
        <v>2092</v>
      </c>
      <c r="AT58" t="s">
        <v>2092</v>
      </c>
      <c r="AU58" t="s">
        <v>2092</v>
      </c>
      <c r="AV58" t="s">
        <v>2092</v>
      </c>
      <c r="AW58" t="s">
        <v>2092</v>
      </c>
      <c r="AX58" t="s">
        <v>2092</v>
      </c>
      <c r="AY58" t="s">
        <v>2092</v>
      </c>
      <c r="AZ58" t="s">
        <v>2092</v>
      </c>
      <c r="BA58" t="s">
        <v>2092</v>
      </c>
      <c r="BB58" t="s">
        <v>2092</v>
      </c>
      <c r="BC58" t="s">
        <v>2092</v>
      </c>
      <c r="BD58" t="s">
        <v>2092</v>
      </c>
      <c r="BE58" t="s">
        <v>2092</v>
      </c>
      <c r="BF58" t="s">
        <v>2092</v>
      </c>
      <c r="BG58" t="s">
        <v>2092</v>
      </c>
      <c r="BH58" t="s">
        <v>2092</v>
      </c>
      <c r="BI58" t="s">
        <v>2092</v>
      </c>
      <c r="BJ58" t="s">
        <v>2092</v>
      </c>
      <c r="BK58" t="s">
        <v>2092</v>
      </c>
      <c r="BL58" t="s">
        <v>2092</v>
      </c>
      <c r="BM58" t="s">
        <v>2092</v>
      </c>
      <c r="BN58" t="s">
        <v>2092</v>
      </c>
      <c r="BO58" t="s">
        <v>2092</v>
      </c>
      <c r="BP58" t="s">
        <v>2092</v>
      </c>
      <c r="BQ58" t="s">
        <v>2092</v>
      </c>
      <c r="BR58" t="s">
        <v>2092</v>
      </c>
      <c r="BS58" t="s">
        <v>2092</v>
      </c>
      <c r="BT58" t="s">
        <v>2092</v>
      </c>
      <c r="BU58" t="s">
        <v>2092</v>
      </c>
      <c r="BV58" t="s">
        <v>2092</v>
      </c>
      <c r="BW58" t="s">
        <v>2092</v>
      </c>
      <c r="BX58" t="s">
        <v>2092</v>
      </c>
      <c r="BY58" t="s">
        <v>2092</v>
      </c>
      <c r="BZ58" t="s">
        <v>1849</v>
      </c>
      <c r="CA58" t="s">
        <v>2034</v>
      </c>
      <c r="CB58" t="s">
        <v>2092</v>
      </c>
      <c r="CC58" t="s">
        <v>2092</v>
      </c>
      <c r="CD58" t="s">
        <v>2092</v>
      </c>
      <c r="CE58" t="s">
        <v>1849</v>
      </c>
      <c r="CF58" t="s">
        <v>2092</v>
      </c>
      <c r="CG58" t="s">
        <v>2092</v>
      </c>
      <c r="CH58" t="s">
        <v>2092</v>
      </c>
      <c r="CI58" t="s">
        <v>2092</v>
      </c>
      <c r="CJ58" t="s">
        <v>2092</v>
      </c>
      <c r="CK58" t="s">
        <v>1849</v>
      </c>
      <c r="CL58" t="s">
        <v>1849</v>
      </c>
      <c r="CM58" t="s">
        <v>1849</v>
      </c>
      <c r="CN58" t="s">
        <v>1849</v>
      </c>
      <c r="CO58" t="s">
        <v>1849</v>
      </c>
      <c r="CP58" t="s">
        <v>2034</v>
      </c>
      <c r="CQ58" t="s">
        <v>1849</v>
      </c>
      <c r="CR58" t="s">
        <v>1849</v>
      </c>
      <c r="CS58" t="s">
        <v>2092</v>
      </c>
      <c r="CT58" t="s">
        <v>2092</v>
      </c>
      <c r="CU58" t="s">
        <v>2034</v>
      </c>
      <c r="CV58" t="s">
        <v>2092</v>
      </c>
      <c r="CW58" t="s">
        <v>2092</v>
      </c>
      <c r="CX58" t="s">
        <v>2092</v>
      </c>
      <c r="CY58" t="s">
        <v>2092</v>
      </c>
      <c r="CZ58" t="s">
        <v>1849</v>
      </c>
      <c r="DA58" t="s">
        <v>1849</v>
      </c>
      <c r="DB58" t="s">
        <v>1849</v>
      </c>
      <c r="DC58" t="s">
        <v>1849</v>
      </c>
      <c r="DD58" t="s">
        <v>2092</v>
      </c>
      <c r="DE58" t="s">
        <v>2092</v>
      </c>
      <c r="DF58" t="s">
        <v>2092</v>
      </c>
      <c r="DG58" t="s">
        <v>2092</v>
      </c>
      <c r="DH58" t="s">
        <v>2092</v>
      </c>
      <c r="DI58" t="s">
        <v>2092</v>
      </c>
      <c r="DJ58" t="s">
        <v>1849</v>
      </c>
      <c r="DK58" t="s">
        <v>1849</v>
      </c>
      <c r="DL58" t="s">
        <v>2092</v>
      </c>
      <c r="DM58" t="s">
        <v>2092</v>
      </c>
      <c r="DN58" t="s">
        <v>2092</v>
      </c>
      <c r="DO58" t="s">
        <v>2034</v>
      </c>
      <c r="DP58" t="s">
        <v>1849</v>
      </c>
      <c r="DQ58" t="s">
        <v>2034</v>
      </c>
      <c r="DR58" t="s">
        <v>1849</v>
      </c>
      <c r="DS58" t="s">
        <v>2092</v>
      </c>
      <c r="DT58" t="s">
        <v>2034</v>
      </c>
      <c r="DU58" t="s">
        <v>2034</v>
      </c>
      <c r="DV58" t="s">
        <v>2034</v>
      </c>
      <c r="DW58" t="s">
        <v>2092</v>
      </c>
      <c r="DX58" t="s">
        <v>2092</v>
      </c>
      <c r="DY58" t="s">
        <v>2092</v>
      </c>
      <c r="DZ58" t="s">
        <v>2092</v>
      </c>
      <c r="EA58" t="s">
        <v>2034</v>
      </c>
      <c r="EB58" t="s">
        <v>1849</v>
      </c>
      <c r="EC58" t="s">
        <v>1849</v>
      </c>
      <c r="ED58" t="s">
        <v>2092</v>
      </c>
      <c r="EE58" t="s">
        <v>2092</v>
      </c>
      <c r="EF58" t="s">
        <v>2092</v>
      </c>
      <c r="EG58" t="s">
        <v>2034</v>
      </c>
      <c r="EH58" t="s">
        <v>2034</v>
      </c>
      <c r="EI58" t="s">
        <v>2034</v>
      </c>
      <c r="EJ58" t="s">
        <v>1849</v>
      </c>
      <c r="EK58" t="s">
        <v>1849</v>
      </c>
      <c r="EL58" t="s">
        <v>1849</v>
      </c>
      <c r="EM58" t="s">
        <v>2092</v>
      </c>
      <c r="EN58" t="s">
        <v>2092</v>
      </c>
      <c r="EO58" t="s">
        <v>2092</v>
      </c>
      <c r="ET58" t="s">
        <v>2092</v>
      </c>
      <c r="EU58" t="s">
        <v>2092</v>
      </c>
      <c r="EV58" t="s">
        <v>2092</v>
      </c>
      <c r="EW58" t="s">
        <v>2092</v>
      </c>
      <c r="EX58" t="s">
        <v>1987</v>
      </c>
      <c r="EY58" t="s">
        <v>1849</v>
      </c>
      <c r="EZ58" t="s">
        <v>2092</v>
      </c>
      <c r="FA58" t="s">
        <v>2034</v>
      </c>
      <c r="FB58" t="s">
        <v>1849</v>
      </c>
      <c r="FC58" t="s">
        <v>1849</v>
      </c>
      <c r="FD58" t="s">
        <v>2092</v>
      </c>
      <c r="FE58" t="s">
        <v>2092</v>
      </c>
      <c r="FF58" t="s">
        <v>1849</v>
      </c>
      <c r="FG58" t="s">
        <v>1849</v>
      </c>
      <c r="FH58" t="s">
        <v>1849</v>
      </c>
      <c r="FI58" t="s">
        <v>1849</v>
      </c>
      <c r="FJ58" t="s">
        <v>1987</v>
      </c>
      <c r="FK58" t="s">
        <v>2092</v>
      </c>
      <c r="FL58" t="s">
        <v>2092</v>
      </c>
      <c r="FM58" t="s">
        <v>2092</v>
      </c>
      <c r="FN58" t="s">
        <v>2092</v>
      </c>
      <c r="FO58" t="s">
        <v>2092</v>
      </c>
      <c r="FP58" t="s">
        <v>2092</v>
      </c>
      <c r="FQ58" t="s">
        <v>2092</v>
      </c>
      <c r="FR58" t="s">
        <v>2092</v>
      </c>
      <c r="FS58" t="s">
        <v>2092</v>
      </c>
      <c r="FT58" t="s">
        <v>2092</v>
      </c>
      <c r="FU58" t="s">
        <v>2092</v>
      </c>
      <c r="FV58" t="s">
        <v>2092</v>
      </c>
      <c r="FW58" t="s">
        <v>2092</v>
      </c>
      <c r="FX58" t="s">
        <v>2092</v>
      </c>
      <c r="FY58" t="s">
        <v>2034</v>
      </c>
      <c r="FZ58" t="s">
        <v>2034</v>
      </c>
      <c r="GA58" t="s">
        <v>1849</v>
      </c>
      <c r="GB58" t="s">
        <v>2092</v>
      </c>
      <c r="GC58" t="s">
        <v>2092</v>
      </c>
      <c r="GD58" t="s">
        <v>2092</v>
      </c>
      <c r="GE58" t="s">
        <v>2092</v>
      </c>
      <c r="GF58" t="s">
        <v>2092</v>
      </c>
      <c r="GG58" t="s">
        <v>2092</v>
      </c>
      <c r="GH58" t="s">
        <v>2092</v>
      </c>
      <c r="GI58" t="s">
        <v>2092</v>
      </c>
      <c r="GJ58" t="s">
        <v>2092</v>
      </c>
      <c r="GK58" t="s">
        <v>2092</v>
      </c>
      <c r="GL58" t="s">
        <v>2092</v>
      </c>
      <c r="GM58" t="s">
        <v>2092</v>
      </c>
      <c r="GN58" t="s">
        <v>2092</v>
      </c>
      <c r="GO58" t="s">
        <v>2092</v>
      </c>
      <c r="GP58" t="s">
        <v>2092</v>
      </c>
      <c r="GQ58" t="s">
        <v>2092</v>
      </c>
      <c r="GR58" t="s">
        <v>2092</v>
      </c>
      <c r="GS58" t="s">
        <v>2092</v>
      </c>
      <c r="GT58" t="s">
        <v>2092</v>
      </c>
      <c r="GU58" t="s">
        <v>2092</v>
      </c>
      <c r="GV58" t="s">
        <v>2092</v>
      </c>
      <c r="GW58" t="s">
        <v>2092</v>
      </c>
      <c r="GX58" t="s">
        <v>2092</v>
      </c>
      <c r="GY58" t="s">
        <v>2092</v>
      </c>
      <c r="GZ58" t="s">
        <v>2092</v>
      </c>
      <c r="HA58" t="s">
        <v>2092</v>
      </c>
      <c r="HB58" t="s">
        <v>2092</v>
      </c>
      <c r="HC58" t="s">
        <v>1987</v>
      </c>
      <c r="HD58" t="s">
        <v>2034</v>
      </c>
      <c r="HE58" t="s">
        <v>1987</v>
      </c>
      <c r="HF58" t="s">
        <v>2034</v>
      </c>
      <c r="HG58" t="s">
        <v>2092</v>
      </c>
      <c r="HH58" t="s">
        <v>1987</v>
      </c>
      <c r="HI58" t="s">
        <v>1987</v>
      </c>
      <c r="HJ58" t="s">
        <v>2092</v>
      </c>
      <c r="HK58" t="s">
        <v>2092</v>
      </c>
      <c r="HL58" t="s">
        <v>2092</v>
      </c>
      <c r="HM58" t="s">
        <v>1987</v>
      </c>
      <c r="HN58" t="s">
        <v>2092</v>
      </c>
      <c r="HO58" t="s">
        <v>2034</v>
      </c>
      <c r="HP58" t="s">
        <v>1987</v>
      </c>
      <c r="HQ58" t="s">
        <v>2034</v>
      </c>
      <c r="HR58" t="s">
        <v>2034</v>
      </c>
      <c r="HS58" t="s">
        <v>2034</v>
      </c>
      <c r="HT58" t="s">
        <v>2092</v>
      </c>
      <c r="HU58" t="s">
        <v>2092</v>
      </c>
      <c r="HV58" t="s">
        <v>2092</v>
      </c>
      <c r="HW58" t="s">
        <v>2092</v>
      </c>
      <c r="HX58" t="s">
        <v>2092</v>
      </c>
      <c r="HY58" t="s">
        <v>2092</v>
      </c>
      <c r="HZ58" t="s">
        <v>1987</v>
      </c>
      <c r="IA58" t="s">
        <v>2092</v>
      </c>
      <c r="IB58" t="s">
        <v>2092</v>
      </c>
      <c r="IC58" t="s">
        <v>1987</v>
      </c>
      <c r="ID58" t="s">
        <v>2092</v>
      </c>
      <c r="IE58" t="s">
        <v>2092</v>
      </c>
      <c r="IF58" t="s">
        <v>2034</v>
      </c>
      <c r="IG58" t="s">
        <v>2034</v>
      </c>
      <c r="IH58" t="s">
        <v>2034</v>
      </c>
      <c r="II58" t="s">
        <v>2034</v>
      </c>
      <c r="IJ58" t="s">
        <v>2034</v>
      </c>
      <c r="IK58" t="s">
        <v>2092</v>
      </c>
      <c r="IL58" t="s">
        <v>1987</v>
      </c>
      <c r="IM58" t="s">
        <v>2092</v>
      </c>
      <c r="IN58" t="s">
        <v>2092</v>
      </c>
      <c r="IO58" t="s">
        <v>2034</v>
      </c>
      <c r="IP58" t="s">
        <v>2092</v>
      </c>
      <c r="IQ58" t="s">
        <v>2092</v>
      </c>
      <c r="IR58" t="s">
        <v>1987</v>
      </c>
      <c r="IS58" t="s">
        <v>2092</v>
      </c>
      <c r="IT58" t="s">
        <v>2092</v>
      </c>
      <c r="IU58" t="s">
        <v>2092</v>
      </c>
      <c r="IV58" t="s">
        <v>2092</v>
      </c>
      <c r="IW58" t="s">
        <v>2092</v>
      </c>
      <c r="IX58" t="s">
        <v>2092</v>
      </c>
      <c r="IY58" t="s">
        <v>2092</v>
      </c>
      <c r="IZ58" t="s">
        <v>2092</v>
      </c>
      <c r="JA58" t="s">
        <v>2092</v>
      </c>
      <c r="JB58" t="s">
        <v>2034</v>
      </c>
      <c r="JC58" t="s">
        <v>2092</v>
      </c>
      <c r="JD58" t="s">
        <v>2092</v>
      </c>
      <c r="JE58" t="s">
        <v>2092</v>
      </c>
      <c r="JF58" t="s">
        <v>2092</v>
      </c>
      <c r="JG58" t="s">
        <v>2092</v>
      </c>
      <c r="JH58" t="s">
        <v>2092</v>
      </c>
      <c r="JI58" t="s">
        <v>2092</v>
      </c>
      <c r="JJ58" t="s">
        <v>2092</v>
      </c>
      <c r="JK58" t="s">
        <v>1987</v>
      </c>
      <c r="JL58" t="s">
        <v>1849</v>
      </c>
      <c r="JM58" t="s">
        <v>2092</v>
      </c>
      <c r="JN58" t="s">
        <v>2092</v>
      </c>
      <c r="JO58" t="s">
        <v>1987</v>
      </c>
      <c r="JP58" t="s">
        <v>1987</v>
      </c>
      <c r="JQ58" t="s">
        <v>2092</v>
      </c>
      <c r="JR58" t="s">
        <v>2092</v>
      </c>
      <c r="JS58" t="s">
        <v>1987</v>
      </c>
      <c r="JT58" t="s">
        <v>2034</v>
      </c>
      <c r="JU58" t="s">
        <v>1987</v>
      </c>
      <c r="JV58" t="s">
        <v>2034</v>
      </c>
      <c r="JW58" t="s">
        <v>2092</v>
      </c>
      <c r="JX58" t="s">
        <v>2092</v>
      </c>
      <c r="JY58" t="s">
        <v>2092</v>
      </c>
      <c r="JZ58" t="s">
        <v>1849</v>
      </c>
      <c r="KA58" t="s">
        <v>2092</v>
      </c>
      <c r="KB58" t="s">
        <v>2092</v>
      </c>
      <c r="KC58" t="s">
        <v>2092</v>
      </c>
      <c r="KD58" t="s">
        <v>2092</v>
      </c>
      <c r="KE58" t="s">
        <v>2092</v>
      </c>
      <c r="KF58" t="s">
        <v>2092</v>
      </c>
      <c r="KG58" t="s">
        <v>2092</v>
      </c>
      <c r="KH58" t="s">
        <v>2092</v>
      </c>
      <c r="KI58" t="s">
        <v>2092</v>
      </c>
      <c r="KJ58" t="s">
        <v>1987</v>
      </c>
      <c r="KK58" t="s">
        <v>2092</v>
      </c>
      <c r="KL58" t="s">
        <v>2092</v>
      </c>
      <c r="KM58" t="s">
        <v>2092</v>
      </c>
      <c r="KN58" t="s">
        <v>2034</v>
      </c>
      <c r="KO58" t="s">
        <v>2092</v>
      </c>
      <c r="KP58" t="s">
        <v>1987</v>
      </c>
      <c r="KQ58" t="s">
        <v>1987</v>
      </c>
      <c r="KR58" t="s">
        <v>2092</v>
      </c>
      <c r="KS58" t="s">
        <v>2092</v>
      </c>
      <c r="KT58" t="s">
        <v>2092</v>
      </c>
      <c r="KU58" t="s">
        <v>2092</v>
      </c>
      <c r="KV58" t="s">
        <v>2092</v>
      </c>
      <c r="KW58" t="s">
        <v>2092</v>
      </c>
      <c r="KX58" t="s">
        <v>2092</v>
      </c>
      <c r="KY58" t="s">
        <v>2092</v>
      </c>
      <c r="KZ58" t="s">
        <v>2092</v>
      </c>
      <c r="LA58" t="s">
        <v>2092</v>
      </c>
      <c r="LB58" t="s">
        <v>2092</v>
      </c>
      <c r="LC58" t="s">
        <v>2092</v>
      </c>
      <c r="LD58" t="s">
        <v>2092</v>
      </c>
      <c r="LE58" t="s">
        <v>2092</v>
      </c>
      <c r="LF58" t="s">
        <v>2092</v>
      </c>
      <c r="LG58" t="s">
        <v>2034</v>
      </c>
      <c r="LH58" t="s">
        <v>1849</v>
      </c>
      <c r="LI58" t="s">
        <v>1849</v>
      </c>
      <c r="LJ58" t="s">
        <v>2092</v>
      </c>
      <c r="LK58" t="s">
        <v>1849</v>
      </c>
      <c r="LL58" t="s">
        <v>1849</v>
      </c>
      <c r="LM58" t="s">
        <v>2092</v>
      </c>
      <c r="LN58" t="s">
        <v>2092</v>
      </c>
      <c r="LO58" t="s">
        <v>2034</v>
      </c>
      <c r="LP58" t="s">
        <v>2034</v>
      </c>
      <c r="LQ58" t="s">
        <v>2034</v>
      </c>
      <c r="LR58" t="s">
        <v>2034</v>
      </c>
      <c r="LS58" t="s">
        <v>1987</v>
      </c>
      <c r="LT58" t="s">
        <v>1987</v>
      </c>
      <c r="LU58" t="s">
        <v>2092</v>
      </c>
      <c r="LV58" t="s">
        <v>2092</v>
      </c>
      <c r="LW58" t="s">
        <v>1849</v>
      </c>
      <c r="LX58" t="s">
        <v>2092</v>
      </c>
      <c r="LY58" t="s">
        <v>2092</v>
      </c>
      <c r="LZ58" t="s">
        <v>2092</v>
      </c>
      <c r="MA58" t="s">
        <v>2092</v>
      </c>
      <c r="MB58" t="s">
        <v>2092</v>
      </c>
      <c r="MC58" t="s">
        <v>2092</v>
      </c>
      <c r="MD58" t="s">
        <v>2034</v>
      </c>
      <c r="ME58" t="s">
        <v>2092</v>
      </c>
      <c r="MF58" t="s">
        <v>2092</v>
      </c>
      <c r="MG58" t="s">
        <v>1849</v>
      </c>
      <c r="MH58" t="s">
        <v>1849</v>
      </c>
      <c r="MI58" t="s">
        <v>2034</v>
      </c>
      <c r="MJ58" t="s">
        <v>2092</v>
      </c>
      <c r="MK58" t="s">
        <v>2092</v>
      </c>
      <c r="ML58" t="s">
        <v>2092</v>
      </c>
      <c r="MM58" t="s">
        <v>2092</v>
      </c>
      <c r="MN58" t="s">
        <v>2092</v>
      </c>
      <c r="MO58" t="s">
        <v>2092</v>
      </c>
      <c r="MP58" t="s">
        <v>2092</v>
      </c>
      <c r="MQ58" t="s">
        <v>2092</v>
      </c>
      <c r="MR58" t="s">
        <v>2092</v>
      </c>
      <c r="MS58" t="s">
        <v>2092</v>
      </c>
      <c r="MT58" t="s">
        <v>2092</v>
      </c>
      <c r="MU58" t="s">
        <v>2092</v>
      </c>
      <c r="MV58" t="s">
        <v>2092</v>
      </c>
      <c r="MW58" t="s">
        <v>2092</v>
      </c>
      <c r="MX58" t="s">
        <v>2034</v>
      </c>
      <c r="MY58" t="s">
        <v>2092</v>
      </c>
      <c r="MZ58" t="s">
        <v>2034</v>
      </c>
      <c r="NA58" t="s">
        <v>2092</v>
      </c>
      <c r="NB58" t="s">
        <v>2092</v>
      </c>
      <c r="NC58" t="s">
        <v>2092</v>
      </c>
      <c r="ND58" t="s">
        <v>2092</v>
      </c>
      <c r="NG58" t="s">
        <v>2092</v>
      </c>
      <c r="NH58" t="s">
        <v>2092</v>
      </c>
      <c r="NI58" t="s">
        <v>2092</v>
      </c>
      <c r="NJ58" t="s">
        <v>2092</v>
      </c>
      <c r="NK58" t="s">
        <v>2092</v>
      </c>
      <c r="NL58" t="s">
        <v>2092</v>
      </c>
      <c r="NM58" t="s">
        <v>2092</v>
      </c>
      <c r="NN58" t="s">
        <v>2034</v>
      </c>
      <c r="NR58" t="s">
        <v>1514</v>
      </c>
      <c r="NS58" t="s">
        <v>2116</v>
      </c>
      <c r="NX58" t="s">
        <v>2117</v>
      </c>
      <c r="NY58" t="s">
        <v>1893</v>
      </c>
    </row>
    <row r="59" spans="1:389" ht="15" customHeight="1" x14ac:dyDescent="0.25">
      <c r="D59" t="s">
        <v>1515</v>
      </c>
      <c r="G59" t="s">
        <v>1846</v>
      </c>
      <c r="H59" t="s">
        <v>2115</v>
      </c>
      <c r="I59" t="s">
        <v>2115</v>
      </c>
      <c r="J59" t="s">
        <v>2115</v>
      </c>
      <c r="K59" t="s">
        <v>1846</v>
      </c>
      <c r="L59" t="s">
        <v>1846</v>
      </c>
      <c r="M59" t="s">
        <v>1846</v>
      </c>
      <c r="N59" t="s">
        <v>1846</v>
      </c>
      <c r="O59" t="s">
        <v>2115</v>
      </c>
      <c r="P59" t="s">
        <v>1846</v>
      </c>
      <c r="Q59" t="s">
        <v>2115</v>
      </c>
      <c r="R59" t="s">
        <v>1846</v>
      </c>
      <c r="S59" t="s">
        <v>1846</v>
      </c>
      <c r="T59" t="s">
        <v>2115</v>
      </c>
      <c r="U59" t="s">
        <v>2115</v>
      </c>
      <c r="V59" t="s">
        <v>2115</v>
      </c>
      <c r="W59" t="s">
        <v>2115</v>
      </c>
      <c r="X59" t="s">
        <v>2115</v>
      </c>
      <c r="Y59" t="s">
        <v>2115</v>
      </c>
      <c r="AA59" t="s">
        <v>2115</v>
      </c>
      <c r="AB59" t="s">
        <v>2115</v>
      </c>
      <c r="AC59" t="s">
        <v>2115</v>
      </c>
      <c r="AD59" t="s">
        <v>2115</v>
      </c>
      <c r="AE59" t="s">
        <v>2115</v>
      </c>
      <c r="AF59" t="s">
        <v>2115</v>
      </c>
      <c r="AG59" t="s">
        <v>2115</v>
      </c>
      <c r="AH59" t="s">
        <v>1846</v>
      </c>
      <c r="AI59" t="s">
        <v>2115</v>
      </c>
      <c r="AJ59" t="s">
        <v>2115</v>
      </c>
      <c r="AK59" t="s">
        <v>2115</v>
      </c>
      <c r="AL59" t="s">
        <v>2115</v>
      </c>
      <c r="AM59" t="s">
        <v>1849</v>
      </c>
      <c r="AN59" t="s">
        <v>2115</v>
      </c>
      <c r="AO59" t="s">
        <v>1849</v>
      </c>
      <c r="AP59" t="s">
        <v>1849</v>
      </c>
      <c r="AQ59" t="s">
        <v>1846</v>
      </c>
      <c r="AR59" t="s">
        <v>1849</v>
      </c>
      <c r="AS59" t="s">
        <v>2115</v>
      </c>
      <c r="AT59" t="s">
        <v>2115</v>
      </c>
      <c r="AU59" t="s">
        <v>2115</v>
      </c>
      <c r="AV59" t="s">
        <v>2115</v>
      </c>
      <c r="AW59" t="s">
        <v>2115</v>
      </c>
      <c r="AX59" t="s">
        <v>2115</v>
      </c>
      <c r="AY59" t="s">
        <v>2115</v>
      </c>
      <c r="AZ59" t="s">
        <v>2115</v>
      </c>
      <c r="BA59" t="s">
        <v>2115</v>
      </c>
      <c r="BB59" t="s">
        <v>2115</v>
      </c>
      <c r="BC59" t="s">
        <v>2115</v>
      </c>
      <c r="BD59" t="s">
        <v>2115</v>
      </c>
      <c r="BE59" t="s">
        <v>2115</v>
      </c>
      <c r="BF59" t="s">
        <v>2115</v>
      </c>
      <c r="BG59" t="s">
        <v>2115</v>
      </c>
      <c r="BH59" t="s">
        <v>2115</v>
      </c>
      <c r="BI59" t="s">
        <v>2115</v>
      </c>
      <c r="BJ59" t="s">
        <v>2115</v>
      </c>
      <c r="BK59" t="s">
        <v>2115</v>
      </c>
      <c r="BL59" t="s">
        <v>2115</v>
      </c>
      <c r="BM59" t="s">
        <v>2115</v>
      </c>
      <c r="BN59" t="s">
        <v>2115</v>
      </c>
      <c r="BO59" t="s">
        <v>2115</v>
      </c>
      <c r="BP59" t="s">
        <v>2115</v>
      </c>
      <c r="BQ59" t="s">
        <v>2115</v>
      </c>
      <c r="BR59" t="s">
        <v>2115</v>
      </c>
      <c r="BS59" t="s">
        <v>2115</v>
      </c>
      <c r="BT59" t="s">
        <v>2115</v>
      </c>
      <c r="BU59" t="s">
        <v>2115</v>
      </c>
      <c r="BV59" t="s">
        <v>2115</v>
      </c>
      <c r="BW59" t="s">
        <v>2115</v>
      </c>
      <c r="BX59" t="s">
        <v>2115</v>
      </c>
      <c r="BY59" t="s">
        <v>2115</v>
      </c>
      <c r="BZ59" t="s">
        <v>1846</v>
      </c>
      <c r="CA59" t="s">
        <v>1849</v>
      </c>
      <c r="CB59" t="s">
        <v>2115</v>
      </c>
      <c r="CC59" t="s">
        <v>2115</v>
      </c>
      <c r="CD59" t="s">
        <v>2115</v>
      </c>
      <c r="CE59" t="s">
        <v>1846</v>
      </c>
      <c r="CF59" t="s">
        <v>2115</v>
      </c>
      <c r="CG59" t="s">
        <v>2115</v>
      </c>
      <c r="CH59" t="s">
        <v>2115</v>
      </c>
      <c r="CI59" t="s">
        <v>2115</v>
      </c>
      <c r="CJ59" t="s">
        <v>2115</v>
      </c>
      <c r="CK59" t="s">
        <v>1846</v>
      </c>
      <c r="CL59" t="s">
        <v>1846</v>
      </c>
      <c r="CM59" t="s">
        <v>1846</v>
      </c>
      <c r="CN59" t="s">
        <v>1846</v>
      </c>
      <c r="CO59" t="s">
        <v>1846</v>
      </c>
      <c r="CP59" t="s">
        <v>1849</v>
      </c>
      <c r="CQ59" t="s">
        <v>1846</v>
      </c>
      <c r="CR59" t="s">
        <v>1846</v>
      </c>
      <c r="CS59" t="s">
        <v>2115</v>
      </c>
      <c r="CT59" t="s">
        <v>2115</v>
      </c>
      <c r="CU59" t="s">
        <v>1849</v>
      </c>
      <c r="CV59" t="s">
        <v>2115</v>
      </c>
      <c r="CW59" t="s">
        <v>2115</v>
      </c>
      <c r="CX59" t="s">
        <v>2115</v>
      </c>
      <c r="CY59" t="s">
        <v>2115</v>
      </c>
      <c r="CZ59" t="s">
        <v>1846</v>
      </c>
      <c r="DA59" t="s">
        <v>1846</v>
      </c>
      <c r="DB59" t="s">
        <v>1846</v>
      </c>
      <c r="DC59" t="s">
        <v>1846</v>
      </c>
      <c r="DD59" t="s">
        <v>2115</v>
      </c>
      <c r="DE59" t="s">
        <v>2115</v>
      </c>
      <c r="DF59" t="s">
        <v>2115</v>
      </c>
      <c r="DG59" t="s">
        <v>2115</v>
      </c>
      <c r="DH59" t="s">
        <v>2115</v>
      </c>
      <c r="DI59" t="s">
        <v>2115</v>
      </c>
      <c r="DJ59" t="s">
        <v>1846</v>
      </c>
      <c r="DK59" t="s">
        <v>1846</v>
      </c>
      <c r="DL59" t="s">
        <v>2115</v>
      </c>
      <c r="DM59" t="s">
        <v>2115</v>
      </c>
      <c r="DN59" t="s">
        <v>2115</v>
      </c>
      <c r="DO59" t="s">
        <v>1849</v>
      </c>
      <c r="DP59" t="s">
        <v>1846</v>
      </c>
      <c r="DQ59" t="s">
        <v>1849</v>
      </c>
      <c r="DR59" t="s">
        <v>1846</v>
      </c>
      <c r="DS59" t="s">
        <v>2115</v>
      </c>
      <c r="DT59" t="s">
        <v>1849</v>
      </c>
      <c r="DU59" t="s">
        <v>1849</v>
      </c>
      <c r="DV59" t="s">
        <v>1849</v>
      </c>
      <c r="DW59" t="s">
        <v>2115</v>
      </c>
      <c r="DX59" t="s">
        <v>2115</v>
      </c>
      <c r="DY59" t="s">
        <v>2115</v>
      </c>
      <c r="DZ59" t="s">
        <v>2115</v>
      </c>
      <c r="EA59" t="s">
        <v>1849</v>
      </c>
      <c r="EB59" t="s">
        <v>1846</v>
      </c>
      <c r="EC59" t="s">
        <v>1846</v>
      </c>
      <c r="ED59" t="s">
        <v>2115</v>
      </c>
      <c r="EE59" t="s">
        <v>2115</v>
      </c>
      <c r="EF59" t="s">
        <v>2115</v>
      </c>
      <c r="EG59" t="s">
        <v>1849</v>
      </c>
      <c r="EH59" t="s">
        <v>1849</v>
      </c>
      <c r="EI59" t="s">
        <v>1849</v>
      </c>
      <c r="EJ59" t="s">
        <v>1846</v>
      </c>
      <c r="EK59" t="s">
        <v>1846</v>
      </c>
      <c r="EL59" t="s">
        <v>1846</v>
      </c>
      <c r="EM59" t="s">
        <v>2115</v>
      </c>
      <c r="EN59" t="s">
        <v>2115</v>
      </c>
      <c r="EO59" t="s">
        <v>2115</v>
      </c>
      <c r="ET59" t="s">
        <v>2115</v>
      </c>
      <c r="EU59" t="s">
        <v>2115</v>
      </c>
      <c r="EV59" t="s">
        <v>2115</v>
      </c>
      <c r="EW59" t="s">
        <v>2115</v>
      </c>
      <c r="EX59" t="s">
        <v>2095</v>
      </c>
      <c r="EY59" t="s">
        <v>1846</v>
      </c>
      <c r="EZ59" t="s">
        <v>2115</v>
      </c>
      <c r="FA59" t="s">
        <v>1849</v>
      </c>
      <c r="FB59" t="s">
        <v>1846</v>
      </c>
      <c r="FC59" t="s">
        <v>1846</v>
      </c>
      <c r="FD59" t="s">
        <v>2115</v>
      </c>
      <c r="FE59" t="s">
        <v>2115</v>
      </c>
      <c r="FF59" t="s">
        <v>1846</v>
      </c>
      <c r="FG59" t="s">
        <v>1846</v>
      </c>
      <c r="FH59" t="s">
        <v>1846</v>
      </c>
      <c r="FI59" t="s">
        <v>1846</v>
      </c>
      <c r="FJ59" t="s">
        <v>2095</v>
      </c>
      <c r="FK59" t="s">
        <v>2115</v>
      </c>
      <c r="FL59" t="s">
        <v>2115</v>
      </c>
      <c r="FM59" t="s">
        <v>2115</v>
      </c>
      <c r="FN59" t="s">
        <v>2115</v>
      </c>
      <c r="FO59" t="s">
        <v>2115</v>
      </c>
      <c r="FP59" t="s">
        <v>2115</v>
      </c>
      <c r="FQ59" t="s">
        <v>2115</v>
      </c>
      <c r="FR59" t="s">
        <v>2115</v>
      </c>
      <c r="FS59" t="s">
        <v>2115</v>
      </c>
      <c r="FT59" t="s">
        <v>2115</v>
      </c>
      <c r="FU59" t="s">
        <v>2115</v>
      </c>
      <c r="FV59" t="s">
        <v>2115</v>
      </c>
      <c r="FW59" t="s">
        <v>2115</v>
      </c>
      <c r="FX59" t="s">
        <v>2115</v>
      </c>
      <c r="FY59" t="s">
        <v>1849</v>
      </c>
      <c r="FZ59" t="s">
        <v>1849</v>
      </c>
      <c r="GA59" t="s">
        <v>1846</v>
      </c>
      <c r="GB59" t="s">
        <v>2115</v>
      </c>
      <c r="GC59" t="s">
        <v>2115</v>
      </c>
      <c r="GD59" t="s">
        <v>2115</v>
      </c>
      <c r="GE59" t="s">
        <v>2115</v>
      </c>
      <c r="GF59" t="s">
        <v>2115</v>
      </c>
      <c r="GG59" t="s">
        <v>2115</v>
      </c>
      <c r="GH59" t="s">
        <v>2115</v>
      </c>
      <c r="GI59" t="s">
        <v>2115</v>
      </c>
      <c r="GJ59" t="s">
        <v>2115</v>
      </c>
      <c r="GK59" t="s">
        <v>2115</v>
      </c>
      <c r="GL59" t="s">
        <v>2115</v>
      </c>
      <c r="GM59" t="s">
        <v>2115</v>
      </c>
      <c r="GN59" t="s">
        <v>2115</v>
      </c>
      <c r="GO59" t="s">
        <v>2115</v>
      </c>
      <c r="GP59" t="s">
        <v>2115</v>
      </c>
      <c r="GQ59" t="s">
        <v>2115</v>
      </c>
      <c r="GR59" t="s">
        <v>2115</v>
      </c>
      <c r="GS59" t="s">
        <v>2115</v>
      </c>
      <c r="GT59" t="s">
        <v>2115</v>
      </c>
      <c r="GU59" t="s">
        <v>2115</v>
      </c>
      <c r="GV59" t="s">
        <v>2115</v>
      </c>
      <c r="GW59" t="s">
        <v>2115</v>
      </c>
      <c r="GX59" t="s">
        <v>2115</v>
      </c>
      <c r="GY59" t="s">
        <v>2115</v>
      </c>
      <c r="GZ59" t="s">
        <v>2115</v>
      </c>
      <c r="HA59" t="s">
        <v>2115</v>
      </c>
      <c r="HB59" t="s">
        <v>2115</v>
      </c>
      <c r="HC59" t="s">
        <v>2095</v>
      </c>
      <c r="HD59" t="s">
        <v>1849</v>
      </c>
      <c r="HE59" t="s">
        <v>2095</v>
      </c>
      <c r="HF59" t="s">
        <v>1849</v>
      </c>
      <c r="HG59" t="s">
        <v>2115</v>
      </c>
      <c r="HH59" t="s">
        <v>2095</v>
      </c>
      <c r="HI59" t="s">
        <v>2095</v>
      </c>
      <c r="HJ59" t="s">
        <v>2115</v>
      </c>
      <c r="HK59" t="s">
        <v>2115</v>
      </c>
      <c r="HL59" t="s">
        <v>2115</v>
      </c>
      <c r="HM59" t="s">
        <v>2095</v>
      </c>
      <c r="HN59" t="s">
        <v>2115</v>
      </c>
      <c r="HO59" t="s">
        <v>1849</v>
      </c>
      <c r="HP59" t="s">
        <v>2095</v>
      </c>
      <c r="HQ59" t="s">
        <v>1849</v>
      </c>
      <c r="HR59" t="s">
        <v>1849</v>
      </c>
      <c r="HS59" t="s">
        <v>1849</v>
      </c>
      <c r="HT59" t="s">
        <v>2115</v>
      </c>
      <c r="HU59" t="s">
        <v>2115</v>
      </c>
      <c r="HV59" t="s">
        <v>2115</v>
      </c>
      <c r="HW59" t="s">
        <v>2115</v>
      </c>
      <c r="HX59" t="s">
        <v>2115</v>
      </c>
      <c r="HY59" t="s">
        <v>2115</v>
      </c>
      <c r="HZ59" t="s">
        <v>2095</v>
      </c>
      <c r="IA59" t="s">
        <v>2115</v>
      </c>
      <c r="IB59" t="s">
        <v>2115</v>
      </c>
      <c r="IC59" t="s">
        <v>2095</v>
      </c>
      <c r="ID59" t="s">
        <v>2115</v>
      </c>
      <c r="IE59" t="s">
        <v>2115</v>
      </c>
      <c r="IF59" t="s">
        <v>1849</v>
      </c>
      <c r="IG59" t="s">
        <v>1849</v>
      </c>
      <c r="IH59" t="s">
        <v>1849</v>
      </c>
      <c r="II59" t="s">
        <v>1849</v>
      </c>
      <c r="IJ59" t="s">
        <v>1849</v>
      </c>
      <c r="IK59" t="s">
        <v>2115</v>
      </c>
      <c r="IL59" t="s">
        <v>2095</v>
      </c>
      <c r="IM59" t="s">
        <v>2115</v>
      </c>
      <c r="IN59" t="s">
        <v>2115</v>
      </c>
      <c r="IO59" t="s">
        <v>1849</v>
      </c>
      <c r="IP59" t="s">
        <v>2115</v>
      </c>
      <c r="IQ59" t="s">
        <v>2115</v>
      </c>
      <c r="IR59" t="s">
        <v>2095</v>
      </c>
      <c r="IS59" t="s">
        <v>2115</v>
      </c>
      <c r="IT59" t="s">
        <v>2115</v>
      </c>
      <c r="IU59" t="s">
        <v>2115</v>
      </c>
      <c r="IV59" t="s">
        <v>2115</v>
      </c>
      <c r="IW59" t="s">
        <v>2115</v>
      </c>
      <c r="IX59" t="s">
        <v>2115</v>
      </c>
      <c r="IY59" t="s">
        <v>2115</v>
      </c>
      <c r="IZ59" t="s">
        <v>2115</v>
      </c>
      <c r="JA59" t="s">
        <v>2115</v>
      </c>
      <c r="JB59" t="s">
        <v>1849</v>
      </c>
      <c r="JC59" t="s">
        <v>2115</v>
      </c>
      <c r="JD59" t="s">
        <v>2115</v>
      </c>
      <c r="JE59" t="s">
        <v>2115</v>
      </c>
      <c r="JF59" t="s">
        <v>2115</v>
      </c>
      <c r="JG59" t="s">
        <v>2115</v>
      </c>
      <c r="JH59" t="s">
        <v>2115</v>
      </c>
      <c r="JI59" t="s">
        <v>2115</v>
      </c>
      <c r="JJ59" t="s">
        <v>2115</v>
      </c>
      <c r="JK59" t="s">
        <v>2095</v>
      </c>
      <c r="JL59" t="s">
        <v>1846</v>
      </c>
      <c r="JM59" t="s">
        <v>2115</v>
      </c>
      <c r="JN59" t="s">
        <v>2115</v>
      </c>
      <c r="JO59" t="s">
        <v>2095</v>
      </c>
      <c r="JP59" t="s">
        <v>2095</v>
      </c>
      <c r="JQ59" t="s">
        <v>2115</v>
      </c>
      <c r="JR59" t="s">
        <v>2115</v>
      </c>
      <c r="JS59" t="s">
        <v>2095</v>
      </c>
      <c r="JT59" t="s">
        <v>1849</v>
      </c>
      <c r="JU59" t="s">
        <v>2095</v>
      </c>
      <c r="JV59" t="s">
        <v>1849</v>
      </c>
      <c r="JW59" t="s">
        <v>2115</v>
      </c>
      <c r="JX59" t="s">
        <v>2115</v>
      </c>
      <c r="JY59" t="s">
        <v>2115</v>
      </c>
      <c r="JZ59" t="s">
        <v>1846</v>
      </c>
      <c r="KA59" t="s">
        <v>2115</v>
      </c>
      <c r="KB59" t="s">
        <v>2115</v>
      </c>
      <c r="KC59" t="s">
        <v>2115</v>
      </c>
      <c r="KD59" t="s">
        <v>2115</v>
      </c>
      <c r="KE59" t="s">
        <v>2115</v>
      </c>
      <c r="KF59" t="s">
        <v>2115</v>
      </c>
      <c r="KG59" t="s">
        <v>2115</v>
      </c>
      <c r="KH59" t="s">
        <v>2115</v>
      </c>
      <c r="KI59" t="s">
        <v>2115</v>
      </c>
      <c r="KJ59" t="s">
        <v>2095</v>
      </c>
      <c r="KK59" t="s">
        <v>2115</v>
      </c>
      <c r="KL59" t="s">
        <v>2115</v>
      </c>
      <c r="KM59" t="s">
        <v>2115</v>
      </c>
      <c r="KN59" t="s">
        <v>1849</v>
      </c>
      <c r="KO59" t="s">
        <v>2115</v>
      </c>
      <c r="KP59" t="s">
        <v>2095</v>
      </c>
      <c r="KQ59" t="s">
        <v>2095</v>
      </c>
      <c r="KR59" t="s">
        <v>2115</v>
      </c>
      <c r="KS59" t="s">
        <v>2115</v>
      </c>
      <c r="KT59" t="s">
        <v>2115</v>
      </c>
      <c r="KU59" t="s">
        <v>2115</v>
      </c>
      <c r="KV59" t="s">
        <v>2115</v>
      </c>
      <c r="KW59" t="s">
        <v>2115</v>
      </c>
      <c r="KX59" t="s">
        <v>2115</v>
      </c>
      <c r="KY59" t="s">
        <v>2115</v>
      </c>
      <c r="KZ59" t="s">
        <v>2115</v>
      </c>
      <c r="LA59" t="s">
        <v>2115</v>
      </c>
      <c r="LB59" t="s">
        <v>2115</v>
      </c>
      <c r="LC59" t="s">
        <v>2115</v>
      </c>
      <c r="LD59" t="s">
        <v>2115</v>
      </c>
      <c r="LE59" t="s">
        <v>2115</v>
      </c>
      <c r="LF59" t="s">
        <v>2115</v>
      </c>
      <c r="LG59" t="s">
        <v>1849</v>
      </c>
      <c r="LH59" t="s">
        <v>1846</v>
      </c>
      <c r="LI59" t="s">
        <v>1846</v>
      </c>
      <c r="LJ59" t="s">
        <v>2115</v>
      </c>
      <c r="LK59" t="s">
        <v>1846</v>
      </c>
      <c r="LL59" t="s">
        <v>1846</v>
      </c>
      <c r="LM59" t="s">
        <v>2115</v>
      </c>
      <c r="LN59" t="s">
        <v>2115</v>
      </c>
      <c r="LO59" t="s">
        <v>1849</v>
      </c>
      <c r="LP59" t="s">
        <v>1849</v>
      </c>
      <c r="LQ59" t="s">
        <v>1849</v>
      </c>
      <c r="LR59" t="s">
        <v>1849</v>
      </c>
      <c r="LS59" t="s">
        <v>2095</v>
      </c>
      <c r="LT59" t="s">
        <v>2095</v>
      </c>
      <c r="LU59" t="s">
        <v>2115</v>
      </c>
      <c r="LV59" t="s">
        <v>2115</v>
      </c>
      <c r="LW59" t="s">
        <v>1846</v>
      </c>
      <c r="LX59" t="s">
        <v>2115</v>
      </c>
      <c r="LY59" t="s">
        <v>2115</v>
      </c>
      <c r="LZ59" t="s">
        <v>2115</v>
      </c>
      <c r="MA59" t="s">
        <v>2115</v>
      </c>
      <c r="MB59" t="s">
        <v>2115</v>
      </c>
      <c r="MC59" t="s">
        <v>2115</v>
      </c>
      <c r="MD59" t="s">
        <v>1849</v>
      </c>
      <c r="ME59" t="s">
        <v>2115</v>
      </c>
      <c r="MF59" t="s">
        <v>2115</v>
      </c>
      <c r="MG59" t="s">
        <v>1846</v>
      </c>
      <c r="MH59" t="s">
        <v>1846</v>
      </c>
      <c r="MI59" t="s">
        <v>1849</v>
      </c>
      <c r="MJ59" t="s">
        <v>2115</v>
      </c>
      <c r="MK59" t="s">
        <v>2115</v>
      </c>
      <c r="ML59" t="s">
        <v>2115</v>
      </c>
      <c r="MM59" t="s">
        <v>2115</v>
      </c>
      <c r="MN59" t="s">
        <v>2115</v>
      </c>
      <c r="MO59" t="s">
        <v>2115</v>
      </c>
      <c r="MP59" t="s">
        <v>2115</v>
      </c>
      <c r="MQ59" t="s">
        <v>2115</v>
      </c>
      <c r="MR59" t="s">
        <v>2115</v>
      </c>
      <c r="MS59" t="s">
        <v>2115</v>
      </c>
      <c r="MT59" t="s">
        <v>2115</v>
      </c>
      <c r="MU59" t="s">
        <v>2115</v>
      </c>
      <c r="MV59" t="s">
        <v>2115</v>
      </c>
      <c r="MW59" t="s">
        <v>2115</v>
      </c>
      <c r="MX59" t="s">
        <v>1849</v>
      </c>
      <c r="MY59" t="s">
        <v>2115</v>
      </c>
      <c r="MZ59" t="s">
        <v>1849</v>
      </c>
      <c r="NA59" t="s">
        <v>2115</v>
      </c>
      <c r="NB59" t="s">
        <v>2115</v>
      </c>
      <c r="NC59" t="s">
        <v>2115</v>
      </c>
      <c r="ND59" t="s">
        <v>2115</v>
      </c>
      <c r="NG59" t="s">
        <v>2115</v>
      </c>
      <c r="NH59" t="s">
        <v>2115</v>
      </c>
      <c r="NI59" t="s">
        <v>2115</v>
      </c>
      <c r="NJ59" t="s">
        <v>2115</v>
      </c>
      <c r="NK59" t="s">
        <v>2115</v>
      </c>
      <c r="NL59" t="s">
        <v>2115</v>
      </c>
      <c r="NM59" t="s">
        <v>2115</v>
      </c>
      <c r="NN59" t="s">
        <v>1849</v>
      </c>
      <c r="NR59" t="s">
        <v>1515</v>
      </c>
      <c r="NS59" t="s">
        <v>2118</v>
      </c>
      <c r="NX59" t="s">
        <v>2119</v>
      </c>
      <c r="NY59" t="s">
        <v>1893</v>
      </c>
    </row>
    <row r="60" spans="1:389" ht="15" customHeight="1" x14ac:dyDescent="0.25">
      <c r="D60" t="s">
        <v>1516</v>
      </c>
      <c r="G60" t="s">
        <v>1840</v>
      </c>
      <c r="K60" t="s">
        <v>1840</v>
      </c>
      <c r="L60" t="s">
        <v>1840</v>
      </c>
      <c r="M60" t="s">
        <v>1840</v>
      </c>
      <c r="N60" t="s">
        <v>1840</v>
      </c>
      <c r="P60" t="s">
        <v>1840</v>
      </c>
      <c r="R60" t="s">
        <v>1840</v>
      </c>
      <c r="S60" t="s">
        <v>1840</v>
      </c>
      <c r="AH60" t="s">
        <v>1840</v>
      </c>
      <c r="AM60" t="s">
        <v>1846</v>
      </c>
      <c r="AO60" t="s">
        <v>1846</v>
      </c>
      <c r="AP60" t="s">
        <v>1846</v>
      </c>
      <c r="AQ60" t="s">
        <v>1840</v>
      </c>
      <c r="AR60" t="s">
        <v>1846</v>
      </c>
      <c r="BZ60" t="s">
        <v>1840</v>
      </c>
      <c r="CA60" t="s">
        <v>1846</v>
      </c>
      <c r="CE60" t="s">
        <v>1840</v>
      </c>
      <c r="CK60" t="s">
        <v>1840</v>
      </c>
      <c r="CL60" t="s">
        <v>1840</v>
      </c>
      <c r="CM60" t="s">
        <v>1840</v>
      </c>
      <c r="CN60" t="s">
        <v>1840</v>
      </c>
      <c r="CO60" t="s">
        <v>1840</v>
      </c>
      <c r="CP60" t="s">
        <v>1846</v>
      </c>
      <c r="CQ60" t="s">
        <v>1840</v>
      </c>
      <c r="CR60" t="s">
        <v>1840</v>
      </c>
      <c r="CU60" t="s">
        <v>1846</v>
      </c>
      <c r="CZ60" t="s">
        <v>1840</v>
      </c>
      <c r="DA60" t="s">
        <v>1840</v>
      </c>
      <c r="DB60" t="s">
        <v>1840</v>
      </c>
      <c r="DC60" t="s">
        <v>1840</v>
      </c>
      <c r="DJ60" t="s">
        <v>1840</v>
      </c>
      <c r="DK60" t="s">
        <v>1840</v>
      </c>
      <c r="DO60" t="s">
        <v>1846</v>
      </c>
      <c r="DP60" t="s">
        <v>1840</v>
      </c>
      <c r="DQ60" t="s">
        <v>1846</v>
      </c>
      <c r="DR60" t="s">
        <v>1840</v>
      </c>
      <c r="DT60" t="s">
        <v>1846</v>
      </c>
      <c r="DU60" t="s">
        <v>1846</v>
      </c>
      <c r="DV60" t="s">
        <v>1846</v>
      </c>
      <c r="EA60" t="s">
        <v>1846</v>
      </c>
      <c r="EB60" t="s">
        <v>1840</v>
      </c>
      <c r="EC60" t="s">
        <v>1840</v>
      </c>
      <c r="EG60" t="s">
        <v>1846</v>
      </c>
      <c r="EH60" t="s">
        <v>1846</v>
      </c>
      <c r="EI60" t="s">
        <v>1846</v>
      </c>
      <c r="EJ60" t="s">
        <v>1840</v>
      </c>
      <c r="EK60" t="s">
        <v>1840</v>
      </c>
      <c r="EL60" t="s">
        <v>1840</v>
      </c>
      <c r="EX60" t="s">
        <v>2092</v>
      </c>
      <c r="EY60" t="s">
        <v>1840</v>
      </c>
      <c r="FA60" t="s">
        <v>1846</v>
      </c>
      <c r="FB60" t="s">
        <v>1840</v>
      </c>
      <c r="FC60" t="s">
        <v>1840</v>
      </c>
      <c r="FF60" t="s">
        <v>1840</v>
      </c>
      <c r="FG60" t="s">
        <v>1840</v>
      </c>
      <c r="FH60" t="s">
        <v>1840</v>
      </c>
      <c r="FI60" t="s">
        <v>1840</v>
      </c>
      <c r="FJ60" t="s">
        <v>2092</v>
      </c>
      <c r="FY60" t="s">
        <v>1846</v>
      </c>
      <c r="FZ60" t="s">
        <v>1846</v>
      </c>
      <c r="GA60" t="s">
        <v>1840</v>
      </c>
      <c r="HC60" t="s">
        <v>2092</v>
      </c>
      <c r="HD60" t="s">
        <v>1846</v>
      </c>
      <c r="HE60" t="s">
        <v>2092</v>
      </c>
      <c r="HF60" t="s">
        <v>1846</v>
      </c>
      <c r="HH60" t="s">
        <v>2092</v>
      </c>
      <c r="HI60" t="s">
        <v>2092</v>
      </c>
      <c r="HM60" t="s">
        <v>2092</v>
      </c>
      <c r="HO60" t="s">
        <v>1846</v>
      </c>
      <c r="HP60" t="s">
        <v>2092</v>
      </c>
      <c r="HQ60" t="s">
        <v>1846</v>
      </c>
      <c r="HR60" t="s">
        <v>1846</v>
      </c>
      <c r="HS60" t="s">
        <v>1846</v>
      </c>
      <c r="HZ60" t="s">
        <v>2092</v>
      </c>
      <c r="IC60" t="s">
        <v>2092</v>
      </c>
      <c r="IF60" t="s">
        <v>1846</v>
      </c>
      <c r="IG60" t="s">
        <v>1846</v>
      </c>
      <c r="IH60" t="s">
        <v>1846</v>
      </c>
      <c r="II60" t="s">
        <v>1846</v>
      </c>
      <c r="IJ60" t="s">
        <v>1846</v>
      </c>
      <c r="IL60" t="s">
        <v>2092</v>
      </c>
      <c r="IO60" t="s">
        <v>1846</v>
      </c>
      <c r="IR60" t="s">
        <v>2092</v>
      </c>
      <c r="JB60" t="s">
        <v>1846</v>
      </c>
      <c r="JK60" t="s">
        <v>2092</v>
      </c>
      <c r="JL60" t="s">
        <v>1840</v>
      </c>
      <c r="JO60" t="s">
        <v>2092</v>
      </c>
      <c r="JP60" t="s">
        <v>2092</v>
      </c>
      <c r="JS60" t="s">
        <v>2092</v>
      </c>
      <c r="JT60" t="s">
        <v>1846</v>
      </c>
      <c r="JU60" t="s">
        <v>2092</v>
      </c>
      <c r="JV60" t="s">
        <v>1846</v>
      </c>
      <c r="JZ60" t="s">
        <v>1840</v>
      </c>
      <c r="KJ60" t="s">
        <v>2092</v>
      </c>
      <c r="KN60" t="s">
        <v>1846</v>
      </c>
      <c r="KP60" t="s">
        <v>2092</v>
      </c>
      <c r="KQ60" t="s">
        <v>2092</v>
      </c>
      <c r="LG60" t="s">
        <v>1846</v>
      </c>
      <c r="LH60" t="s">
        <v>1840</v>
      </c>
      <c r="LI60" t="s">
        <v>1840</v>
      </c>
      <c r="LK60" t="s">
        <v>1840</v>
      </c>
      <c r="LL60" t="s">
        <v>1840</v>
      </c>
      <c r="LO60" t="s">
        <v>1846</v>
      </c>
      <c r="LP60" t="s">
        <v>1846</v>
      </c>
      <c r="LQ60" t="s">
        <v>1846</v>
      </c>
      <c r="LR60" t="s">
        <v>1846</v>
      </c>
      <c r="LS60" t="s">
        <v>2092</v>
      </c>
      <c r="LT60" t="s">
        <v>2092</v>
      </c>
      <c r="LW60" t="s">
        <v>1840</v>
      </c>
      <c r="MD60" t="s">
        <v>1846</v>
      </c>
      <c r="MG60" t="s">
        <v>1840</v>
      </c>
      <c r="MH60" t="s">
        <v>1840</v>
      </c>
      <c r="MI60" t="s">
        <v>1846</v>
      </c>
      <c r="MX60" t="s">
        <v>1846</v>
      </c>
      <c r="MZ60" t="s">
        <v>1846</v>
      </c>
      <c r="NN60" t="s">
        <v>1846</v>
      </c>
      <c r="NR60" t="s">
        <v>1516</v>
      </c>
      <c r="NS60" t="s">
        <v>2118</v>
      </c>
      <c r="NX60" t="s">
        <v>2120</v>
      </c>
      <c r="NY60" t="s">
        <v>1901</v>
      </c>
    </row>
    <row r="61" spans="1:389" ht="15" customHeight="1" x14ac:dyDescent="0.25">
      <c r="D61" t="s">
        <v>1517</v>
      </c>
      <c r="G61" t="s">
        <v>1865</v>
      </c>
      <c r="K61" t="s">
        <v>1865</v>
      </c>
      <c r="L61" t="s">
        <v>1865</v>
      </c>
      <c r="M61" t="s">
        <v>1865</v>
      </c>
      <c r="N61" t="s">
        <v>1865</v>
      </c>
      <c r="P61" t="s">
        <v>1865</v>
      </c>
      <c r="R61" t="s">
        <v>1865</v>
      </c>
      <c r="S61" t="s">
        <v>1865</v>
      </c>
      <c r="AH61" t="s">
        <v>1865</v>
      </c>
      <c r="AM61" t="s">
        <v>1840</v>
      </c>
      <c r="AO61" t="s">
        <v>1840</v>
      </c>
      <c r="AP61" t="s">
        <v>1840</v>
      </c>
      <c r="AQ61" t="s">
        <v>1865</v>
      </c>
      <c r="AR61" t="s">
        <v>1840</v>
      </c>
      <c r="BZ61" t="s">
        <v>1865</v>
      </c>
      <c r="CA61" t="s">
        <v>1840</v>
      </c>
      <c r="CE61" t="s">
        <v>1865</v>
      </c>
      <c r="CK61" t="s">
        <v>1865</v>
      </c>
      <c r="CL61" t="s">
        <v>1865</v>
      </c>
      <c r="CM61" t="s">
        <v>1865</v>
      </c>
      <c r="CN61" t="s">
        <v>1865</v>
      </c>
      <c r="CO61" t="s">
        <v>1865</v>
      </c>
      <c r="CP61" t="s">
        <v>1840</v>
      </c>
      <c r="CQ61" t="s">
        <v>1865</v>
      </c>
      <c r="CR61" t="s">
        <v>1865</v>
      </c>
      <c r="CU61" t="s">
        <v>1840</v>
      </c>
      <c r="CZ61" t="s">
        <v>1865</v>
      </c>
      <c r="DA61" t="s">
        <v>1865</v>
      </c>
      <c r="DB61" t="s">
        <v>1865</v>
      </c>
      <c r="DC61" t="s">
        <v>1865</v>
      </c>
      <c r="DJ61" t="s">
        <v>1865</v>
      </c>
      <c r="DK61" t="s">
        <v>1865</v>
      </c>
      <c r="DO61" t="s">
        <v>1840</v>
      </c>
      <c r="DP61" t="s">
        <v>1865</v>
      </c>
      <c r="DQ61" t="s">
        <v>1840</v>
      </c>
      <c r="DR61" t="s">
        <v>1865</v>
      </c>
      <c r="DT61" t="s">
        <v>1840</v>
      </c>
      <c r="DU61" t="s">
        <v>1840</v>
      </c>
      <c r="DV61" t="s">
        <v>1840</v>
      </c>
      <c r="EA61" t="s">
        <v>1840</v>
      </c>
      <c r="EB61" t="s">
        <v>1865</v>
      </c>
      <c r="EC61" t="s">
        <v>1865</v>
      </c>
      <c r="EG61" t="s">
        <v>1840</v>
      </c>
      <c r="EH61" t="s">
        <v>1840</v>
      </c>
      <c r="EI61" t="s">
        <v>1840</v>
      </c>
      <c r="EJ61" t="s">
        <v>1865</v>
      </c>
      <c r="EK61" t="s">
        <v>1865</v>
      </c>
      <c r="EL61" t="s">
        <v>1865</v>
      </c>
      <c r="EX61" t="s">
        <v>2115</v>
      </c>
      <c r="EY61" t="s">
        <v>1865</v>
      </c>
      <c r="FA61" t="s">
        <v>1840</v>
      </c>
      <c r="FB61" t="s">
        <v>1865</v>
      </c>
      <c r="FC61" t="s">
        <v>1865</v>
      </c>
      <c r="FF61" t="s">
        <v>1865</v>
      </c>
      <c r="FG61" t="s">
        <v>1865</v>
      </c>
      <c r="FH61" t="s">
        <v>1865</v>
      </c>
      <c r="FI61" t="s">
        <v>1865</v>
      </c>
      <c r="FJ61" t="s">
        <v>2115</v>
      </c>
      <c r="FY61" t="s">
        <v>1840</v>
      </c>
      <c r="FZ61" t="s">
        <v>1840</v>
      </c>
      <c r="GA61" t="s">
        <v>1865</v>
      </c>
      <c r="HC61" t="s">
        <v>2115</v>
      </c>
      <c r="HD61" t="s">
        <v>1840</v>
      </c>
      <c r="HE61" t="s">
        <v>2115</v>
      </c>
      <c r="HF61" t="s">
        <v>1840</v>
      </c>
      <c r="HH61" t="s">
        <v>2115</v>
      </c>
      <c r="HI61" t="s">
        <v>2115</v>
      </c>
      <c r="HM61" t="s">
        <v>2115</v>
      </c>
      <c r="HO61" t="s">
        <v>1840</v>
      </c>
      <c r="HP61" t="s">
        <v>2115</v>
      </c>
      <c r="HQ61" t="s">
        <v>1840</v>
      </c>
      <c r="HR61" t="s">
        <v>1840</v>
      </c>
      <c r="HS61" t="s">
        <v>1840</v>
      </c>
      <c r="HZ61" t="s">
        <v>2115</v>
      </c>
      <c r="IC61" t="s">
        <v>2115</v>
      </c>
      <c r="IF61" t="s">
        <v>1840</v>
      </c>
      <c r="IG61" t="s">
        <v>1840</v>
      </c>
      <c r="IH61" t="s">
        <v>1840</v>
      </c>
      <c r="II61" t="s">
        <v>1840</v>
      </c>
      <c r="IJ61" t="s">
        <v>1840</v>
      </c>
      <c r="IL61" t="s">
        <v>2115</v>
      </c>
      <c r="IO61" t="s">
        <v>1840</v>
      </c>
      <c r="IR61" t="s">
        <v>2115</v>
      </c>
      <c r="JB61" t="s">
        <v>1840</v>
      </c>
      <c r="JK61" t="s">
        <v>2115</v>
      </c>
      <c r="JL61" t="s">
        <v>1865</v>
      </c>
      <c r="JO61" t="s">
        <v>2115</v>
      </c>
      <c r="JP61" t="s">
        <v>2115</v>
      </c>
      <c r="JS61" t="s">
        <v>2115</v>
      </c>
      <c r="JT61" t="s">
        <v>1840</v>
      </c>
      <c r="JU61" t="s">
        <v>2115</v>
      </c>
      <c r="JV61" t="s">
        <v>1840</v>
      </c>
      <c r="JZ61" t="s">
        <v>1865</v>
      </c>
      <c r="KJ61" t="s">
        <v>2115</v>
      </c>
      <c r="KN61" t="s">
        <v>1840</v>
      </c>
      <c r="KP61" t="s">
        <v>2115</v>
      </c>
      <c r="KQ61" t="s">
        <v>2115</v>
      </c>
      <c r="LG61" t="s">
        <v>1840</v>
      </c>
      <c r="LH61" t="s">
        <v>1865</v>
      </c>
      <c r="LI61" t="s">
        <v>1865</v>
      </c>
      <c r="LK61" t="s">
        <v>1865</v>
      </c>
      <c r="LL61" t="s">
        <v>1865</v>
      </c>
      <c r="LO61" t="s">
        <v>1840</v>
      </c>
      <c r="LP61" t="s">
        <v>1840</v>
      </c>
      <c r="LQ61" t="s">
        <v>1840</v>
      </c>
      <c r="LR61" t="s">
        <v>1840</v>
      </c>
      <c r="LS61" t="s">
        <v>2115</v>
      </c>
      <c r="LT61" t="s">
        <v>2115</v>
      </c>
      <c r="LW61" t="s">
        <v>1865</v>
      </c>
      <c r="MD61" t="s">
        <v>1840</v>
      </c>
      <c r="MG61" t="s">
        <v>1865</v>
      </c>
      <c r="MH61" t="s">
        <v>1865</v>
      </c>
      <c r="MI61" t="s">
        <v>1840</v>
      </c>
      <c r="MX61" t="s">
        <v>1840</v>
      </c>
      <c r="MZ61" t="s">
        <v>1840</v>
      </c>
      <c r="NN61" t="s">
        <v>1840</v>
      </c>
      <c r="NR61" t="s">
        <v>1517</v>
      </c>
      <c r="NS61" t="s">
        <v>2121</v>
      </c>
      <c r="NX61" t="s">
        <v>2122</v>
      </c>
      <c r="NY61" t="s">
        <v>1901</v>
      </c>
    </row>
    <row r="62" spans="1:389" ht="15" customHeight="1" x14ac:dyDescent="0.25">
      <c r="D62" t="s">
        <v>1518</v>
      </c>
      <c r="G62" t="s">
        <v>1858</v>
      </c>
      <c r="K62" t="s">
        <v>1858</v>
      </c>
      <c r="L62" t="s">
        <v>1858</v>
      </c>
      <c r="M62" t="s">
        <v>1858</v>
      </c>
      <c r="N62" t="s">
        <v>1858</v>
      </c>
      <c r="P62" t="s">
        <v>1858</v>
      </c>
      <c r="R62" t="s">
        <v>1858</v>
      </c>
      <c r="S62" t="s">
        <v>1858</v>
      </c>
      <c r="AH62" t="s">
        <v>1858</v>
      </c>
      <c r="AM62" t="s">
        <v>1865</v>
      </c>
      <c r="AO62" t="s">
        <v>1865</v>
      </c>
      <c r="AP62" t="s">
        <v>1865</v>
      </c>
      <c r="AQ62" t="s">
        <v>1858</v>
      </c>
      <c r="AR62" t="s">
        <v>1865</v>
      </c>
      <c r="BZ62" t="s">
        <v>1858</v>
      </c>
      <c r="CA62" t="s">
        <v>1865</v>
      </c>
      <c r="CE62" t="s">
        <v>1858</v>
      </c>
      <c r="CK62" t="s">
        <v>1858</v>
      </c>
      <c r="CL62" t="s">
        <v>1858</v>
      </c>
      <c r="CM62" t="s">
        <v>1858</v>
      </c>
      <c r="CN62" t="s">
        <v>1858</v>
      </c>
      <c r="CO62" t="s">
        <v>1858</v>
      </c>
      <c r="CP62" t="s">
        <v>1865</v>
      </c>
      <c r="CQ62" t="s">
        <v>1858</v>
      </c>
      <c r="CR62" t="s">
        <v>1858</v>
      </c>
      <c r="CU62" t="s">
        <v>1865</v>
      </c>
      <c r="CZ62" t="s">
        <v>1858</v>
      </c>
      <c r="DA62" t="s">
        <v>1858</v>
      </c>
      <c r="DB62" t="s">
        <v>1858</v>
      </c>
      <c r="DC62" t="s">
        <v>1858</v>
      </c>
      <c r="DJ62" t="s">
        <v>1858</v>
      </c>
      <c r="DK62" t="s">
        <v>1858</v>
      </c>
      <c r="DO62" t="s">
        <v>1865</v>
      </c>
      <c r="DP62" t="s">
        <v>1858</v>
      </c>
      <c r="DQ62" t="s">
        <v>1865</v>
      </c>
      <c r="DR62" t="s">
        <v>1858</v>
      </c>
      <c r="DT62" t="s">
        <v>1865</v>
      </c>
      <c r="DU62" t="s">
        <v>1865</v>
      </c>
      <c r="DV62" t="s">
        <v>1865</v>
      </c>
      <c r="EA62" t="s">
        <v>1865</v>
      </c>
      <c r="EB62" t="s">
        <v>1858</v>
      </c>
      <c r="EC62" t="s">
        <v>1858</v>
      </c>
      <c r="EG62" t="s">
        <v>1865</v>
      </c>
      <c r="EH62" t="s">
        <v>1865</v>
      </c>
      <c r="EI62" t="s">
        <v>1865</v>
      </c>
      <c r="EJ62" t="s">
        <v>1858</v>
      </c>
      <c r="EK62" t="s">
        <v>1858</v>
      </c>
      <c r="EL62" t="s">
        <v>1858</v>
      </c>
      <c r="EY62" t="s">
        <v>1858</v>
      </c>
      <c r="FA62" t="s">
        <v>1865</v>
      </c>
      <c r="FB62" t="s">
        <v>1858</v>
      </c>
      <c r="FC62" t="s">
        <v>1858</v>
      </c>
      <c r="FF62" t="s">
        <v>1858</v>
      </c>
      <c r="FG62" t="s">
        <v>1858</v>
      </c>
      <c r="FH62" t="s">
        <v>1858</v>
      </c>
      <c r="FI62" t="s">
        <v>1858</v>
      </c>
      <c r="FY62" t="s">
        <v>1865</v>
      </c>
      <c r="FZ62" t="s">
        <v>1865</v>
      </c>
      <c r="GA62" t="s">
        <v>1858</v>
      </c>
      <c r="HD62" t="s">
        <v>1865</v>
      </c>
      <c r="HF62" t="s">
        <v>1865</v>
      </c>
      <c r="HO62" t="s">
        <v>1865</v>
      </c>
      <c r="HQ62" t="s">
        <v>1865</v>
      </c>
      <c r="HR62" t="s">
        <v>1865</v>
      </c>
      <c r="HS62" t="s">
        <v>1865</v>
      </c>
      <c r="IF62" t="s">
        <v>1865</v>
      </c>
      <c r="IG62" t="s">
        <v>1865</v>
      </c>
      <c r="IH62" t="s">
        <v>1865</v>
      </c>
      <c r="II62" t="s">
        <v>1865</v>
      </c>
      <c r="IJ62" t="s">
        <v>1865</v>
      </c>
      <c r="IO62" t="s">
        <v>1865</v>
      </c>
      <c r="JB62" t="s">
        <v>1865</v>
      </c>
      <c r="JL62" t="s">
        <v>1858</v>
      </c>
      <c r="JT62" t="s">
        <v>1865</v>
      </c>
      <c r="JV62" t="s">
        <v>1865</v>
      </c>
      <c r="JZ62" t="s">
        <v>1858</v>
      </c>
      <c r="KN62" t="s">
        <v>1865</v>
      </c>
      <c r="LG62" t="s">
        <v>1865</v>
      </c>
      <c r="LH62" t="s">
        <v>1858</v>
      </c>
      <c r="LI62" t="s">
        <v>1858</v>
      </c>
      <c r="LK62" t="s">
        <v>1858</v>
      </c>
      <c r="LL62" t="s">
        <v>1858</v>
      </c>
      <c r="LO62" t="s">
        <v>1865</v>
      </c>
      <c r="LP62" t="s">
        <v>1865</v>
      </c>
      <c r="LQ62" t="s">
        <v>1865</v>
      </c>
      <c r="LR62" t="s">
        <v>1865</v>
      </c>
      <c r="LW62" t="s">
        <v>1858</v>
      </c>
      <c r="MD62" t="s">
        <v>1865</v>
      </c>
      <c r="MG62" t="s">
        <v>1858</v>
      </c>
      <c r="MH62" t="s">
        <v>1858</v>
      </c>
      <c r="MI62" t="s">
        <v>1865</v>
      </c>
      <c r="MX62" t="s">
        <v>1865</v>
      </c>
      <c r="MZ62" t="s">
        <v>1865</v>
      </c>
      <c r="NN62" t="s">
        <v>1865</v>
      </c>
      <c r="NR62" t="s">
        <v>1518</v>
      </c>
      <c r="NS62" t="s">
        <v>2123</v>
      </c>
      <c r="NX62" t="s">
        <v>2124</v>
      </c>
      <c r="NY62" t="s">
        <v>1901</v>
      </c>
    </row>
    <row r="63" spans="1:389" ht="15" customHeight="1" x14ac:dyDescent="0.25">
      <c r="D63" t="s">
        <v>1519</v>
      </c>
      <c r="G63" t="s">
        <v>1873</v>
      </c>
      <c r="K63" t="s">
        <v>1873</v>
      </c>
      <c r="L63" t="s">
        <v>1873</v>
      </c>
      <c r="M63" t="s">
        <v>1873</v>
      </c>
      <c r="N63" t="s">
        <v>1873</v>
      </c>
      <c r="P63" t="s">
        <v>1873</v>
      </c>
      <c r="R63" t="s">
        <v>1873</v>
      </c>
      <c r="S63" t="s">
        <v>1873</v>
      </c>
      <c r="AH63" t="s">
        <v>1873</v>
      </c>
      <c r="AM63" t="s">
        <v>1858</v>
      </c>
      <c r="AO63" t="s">
        <v>1858</v>
      </c>
      <c r="AP63" t="s">
        <v>1858</v>
      </c>
      <c r="AQ63" t="s">
        <v>1873</v>
      </c>
      <c r="AR63" t="s">
        <v>1858</v>
      </c>
      <c r="BZ63" t="s">
        <v>1873</v>
      </c>
      <c r="CA63" t="s">
        <v>1858</v>
      </c>
      <c r="CE63" t="s">
        <v>1873</v>
      </c>
      <c r="CK63" t="s">
        <v>1873</v>
      </c>
      <c r="CL63" t="s">
        <v>1873</v>
      </c>
      <c r="CM63" t="s">
        <v>1873</v>
      </c>
      <c r="CN63" t="s">
        <v>1873</v>
      </c>
      <c r="CO63" t="s">
        <v>1873</v>
      </c>
      <c r="CP63" t="s">
        <v>1858</v>
      </c>
      <c r="CQ63" t="s">
        <v>1873</v>
      </c>
      <c r="CR63" t="s">
        <v>1873</v>
      </c>
      <c r="CU63" t="s">
        <v>1858</v>
      </c>
      <c r="CZ63" t="s">
        <v>1873</v>
      </c>
      <c r="DA63" t="s">
        <v>1873</v>
      </c>
      <c r="DB63" t="s">
        <v>1873</v>
      </c>
      <c r="DC63" t="s">
        <v>1873</v>
      </c>
      <c r="DJ63" t="s">
        <v>1873</v>
      </c>
      <c r="DK63" t="s">
        <v>1873</v>
      </c>
      <c r="DO63" t="s">
        <v>1858</v>
      </c>
      <c r="DP63" t="s">
        <v>1873</v>
      </c>
      <c r="DQ63" t="s">
        <v>1858</v>
      </c>
      <c r="DR63" t="s">
        <v>1873</v>
      </c>
      <c r="DT63" t="s">
        <v>1858</v>
      </c>
      <c r="DU63" t="s">
        <v>1858</v>
      </c>
      <c r="DV63" t="s">
        <v>1858</v>
      </c>
      <c r="EA63" t="s">
        <v>1858</v>
      </c>
      <c r="EB63" t="s">
        <v>1873</v>
      </c>
      <c r="EC63" t="s">
        <v>1873</v>
      </c>
      <c r="EG63" t="s">
        <v>1858</v>
      </c>
      <c r="EH63" t="s">
        <v>1858</v>
      </c>
      <c r="EI63" t="s">
        <v>1858</v>
      </c>
      <c r="EJ63" t="s">
        <v>1873</v>
      </c>
      <c r="EK63" t="s">
        <v>1873</v>
      </c>
      <c r="EL63" t="s">
        <v>1873</v>
      </c>
      <c r="EY63" t="s">
        <v>1873</v>
      </c>
      <c r="FA63" t="s">
        <v>1858</v>
      </c>
      <c r="FB63" t="s">
        <v>1873</v>
      </c>
      <c r="FC63" t="s">
        <v>1873</v>
      </c>
      <c r="FF63" t="s">
        <v>1873</v>
      </c>
      <c r="FG63" t="s">
        <v>1873</v>
      </c>
      <c r="FH63" t="s">
        <v>1873</v>
      </c>
      <c r="FI63" t="s">
        <v>1873</v>
      </c>
      <c r="FY63" t="s">
        <v>1858</v>
      </c>
      <c r="FZ63" t="s">
        <v>1858</v>
      </c>
      <c r="GA63" t="s">
        <v>1873</v>
      </c>
      <c r="HD63" t="s">
        <v>1858</v>
      </c>
      <c r="HF63" t="s">
        <v>1858</v>
      </c>
      <c r="HO63" t="s">
        <v>1858</v>
      </c>
      <c r="HQ63" t="s">
        <v>1858</v>
      </c>
      <c r="HR63" t="s">
        <v>1858</v>
      </c>
      <c r="HS63" t="s">
        <v>1858</v>
      </c>
      <c r="IF63" t="s">
        <v>1858</v>
      </c>
      <c r="IG63" t="s">
        <v>1858</v>
      </c>
      <c r="IH63" t="s">
        <v>1858</v>
      </c>
      <c r="II63" t="s">
        <v>1858</v>
      </c>
      <c r="IJ63" t="s">
        <v>1858</v>
      </c>
      <c r="IO63" t="s">
        <v>1858</v>
      </c>
      <c r="JB63" t="s">
        <v>1858</v>
      </c>
      <c r="JL63" t="s">
        <v>1873</v>
      </c>
      <c r="JT63" t="s">
        <v>1858</v>
      </c>
      <c r="JV63" t="s">
        <v>1858</v>
      </c>
      <c r="JZ63" t="s">
        <v>1873</v>
      </c>
      <c r="KN63" t="s">
        <v>1858</v>
      </c>
      <c r="LG63" t="s">
        <v>1858</v>
      </c>
      <c r="LH63" t="s">
        <v>1873</v>
      </c>
      <c r="LI63" t="s">
        <v>1873</v>
      </c>
      <c r="LK63" t="s">
        <v>1873</v>
      </c>
      <c r="LL63" t="s">
        <v>1873</v>
      </c>
      <c r="LO63" t="s">
        <v>1858</v>
      </c>
      <c r="LP63" t="s">
        <v>1858</v>
      </c>
      <c r="LQ63" t="s">
        <v>1858</v>
      </c>
      <c r="LR63" t="s">
        <v>1858</v>
      </c>
      <c r="LW63" t="s">
        <v>1873</v>
      </c>
      <c r="MD63" t="s">
        <v>1858</v>
      </c>
      <c r="MG63" t="s">
        <v>1873</v>
      </c>
      <c r="MH63" t="s">
        <v>1873</v>
      </c>
      <c r="MI63" t="s">
        <v>1858</v>
      </c>
      <c r="MX63" t="s">
        <v>1858</v>
      </c>
      <c r="MZ63" t="s">
        <v>1858</v>
      </c>
      <c r="NN63" t="s">
        <v>1858</v>
      </c>
      <c r="NR63" t="s">
        <v>1519</v>
      </c>
      <c r="NS63" t="s">
        <v>2123</v>
      </c>
      <c r="NX63" t="s">
        <v>2125</v>
      </c>
      <c r="NY63" t="s">
        <v>1901</v>
      </c>
    </row>
    <row r="64" spans="1:389" ht="15" customHeight="1" x14ac:dyDescent="0.25">
      <c r="D64" t="s">
        <v>1520</v>
      </c>
      <c r="G64" t="s">
        <v>1870</v>
      </c>
      <c r="K64" t="s">
        <v>1870</v>
      </c>
      <c r="L64" t="s">
        <v>1870</v>
      </c>
      <c r="M64" t="s">
        <v>1870</v>
      </c>
      <c r="N64" t="s">
        <v>1870</v>
      </c>
      <c r="P64" t="s">
        <v>1870</v>
      </c>
      <c r="R64" t="s">
        <v>1870</v>
      </c>
      <c r="S64" t="s">
        <v>1870</v>
      </c>
      <c r="AH64" t="s">
        <v>1870</v>
      </c>
      <c r="AM64" t="s">
        <v>1873</v>
      </c>
      <c r="AO64" t="s">
        <v>1873</v>
      </c>
      <c r="AP64" t="s">
        <v>1873</v>
      </c>
      <c r="AQ64" t="s">
        <v>1870</v>
      </c>
      <c r="AR64" t="s">
        <v>1873</v>
      </c>
      <c r="BZ64" t="s">
        <v>1870</v>
      </c>
      <c r="CA64" t="s">
        <v>1873</v>
      </c>
      <c r="CE64" t="s">
        <v>1870</v>
      </c>
      <c r="CK64" t="s">
        <v>1870</v>
      </c>
      <c r="CL64" t="s">
        <v>1870</v>
      </c>
      <c r="CM64" t="s">
        <v>1870</v>
      </c>
      <c r="CN64" t="s">
        <v>1870</v>
      </c>
      <c r="CO64" t="s">
        <v>1870</v>
      </c>
      <c r="CP64" t="s">
        <v>1873</v>
      </c>
      <c r="CQ64" t="s">
        <v>1870</v>
      </c>
      <c r="CR64" t="s">
        <v>1870</v>
      </c>
      <c r="CU64" t="s">
        <v>1873</v>
      </c>
      <c r="CZ64" t="s">
        <v>1870</v>
      </c>
      <c r="DA64" t="s">
        <v>1870</v>
      </c>
      <c r="DB64" t="s">
        <v>1870</v>
      </c>
      <c r="DC64" t="s">
        <v>1870</v>
      </c>
      <c r="DJ64" t="s">
        <v>1870</v>
      </c>
      <c r="DK64" t="s">
        <v>1870</v>
      </c>
      <c r="DO64" t="s">
        <v>1873</v>
      </c>
      <c r="DP64" t="s">
        <v>1870</v>
      </c>
      <c r="DQ64" t="s">
        <v>1873</v>
      </c>
      <c r="DR64" t="s">
        <v>1870</v>
      </c>
      <c r="DT64" t="s">
        <v>1873</v>
      </c>
      <c r="DU64" t="s">
        <v>1873</v>
      </c>
      <c r="DV64" t="s">
        <v>1873</v>
      </c>
      <c r="EA64" t="s">
        <v>1873</v>
      </c>
      <c r="EB64" t="s">
        <v>1870</v>
      </c>
      <c r="EC64" t="s">
        <v>1870</v>
      </c>
      <c r="EG64" t="s">
        <v>1873</v>
      </c>
      <c r="EH64" t="s">
        <v>1873</v>
      </c>
      <c r="EI64" t="s">
        <v>1873</v>
      </c>
      <c r="EJ64" t="s">
        <v>1870</v>
      </c>
      <c r="EK64" t="s">
        <v>1870</v>
      </c>
      <c r="EL64" t="s">
        <v>1870</v>
      </c>
      <c r="EY64" t="s">
        <v>1870</v>
      </c>
      <c r="FA64" t="s">
        <v>1873</v>
      </c>
      <c r="FB64" t="s">
        <v>1870</v>
      </c>
      <c r="FC64" t="s">
        <v>1870</v>
      </c>
      <c r="FF64" t="s">
        <v>1870</v>
      </c>
      <c r="FG64" t="s">
        <v>1870</v>
      </c>
      <c r="FH64" t="s">
        <v>1870</v>
      </c>
      <c r="FI64" t="s">
        <v>1870</v>
      </c>
      <c r="FY64" t="s">
        <v>1873</v>
      </c>
      <c r="FZ64" t="s">
        <v>1873</v>
      </c>
      <c r="GA64" t="s">
        <v>1870</v>
      </c>
      <c r="HD64" t="s">
        <v>1873</v>
      </c>
      <c r="HF64" t="s">
        <v>1873</v>
      </c>
      <c r="HO64" t="s">
        <v>1873</v>
      </c>
      <c r="HQ64" t="s">
        <v>1873</v>
      </c>
      <c r="HR64" t="s">
        <v>1873</v>
      </c>
      <c r="HS64" t="s">
        <v>1873</v>
      </c>
      <c r="IF64" t="s">
        <v>1873</v>
      </c>
      <c r="IG64" t="s">
        <v>1873</v>
      </c>
      <c r="IH64" t="s">
        <v>1873</v>
      </c>
      <c r="II64" t="s">
        <v>1873</v>
      </c>
      <c r="IJ64" t="s">
        <v>1873</v>
      </c>
      <c r="IO64" t="s">
        <v>1873</v>
      </c>
      <c r="JB64" t="s">
        <v>1873</v>
      </c>
      <c r="JL64" t="s">
        <v>1870</v>
      </c>
      <c r="JT64" t="s">
        <v>1873</v>
      </c>
      <c r="JV64" t="s">
        <v>1873</v>
      </c>
      <c r="JZ64" t="s">
        <v>1870</v>
      </c>
      <c r="KN64" t="s">
        <v>1873</v>
      </c>
      <c r="LG64" t="s">
        <v>1873</v>
      </c>
      <c r="LH64" t="s">
        <v>1870</v>
      </c>
      <c r="LI64" t="s">
        <v>1870</v>
      </c>
      <c r="LK64" t="s">
        <v>1870</v>
      </c>
      <c r="LL64" t="s">
        <v>1870</v>
      </c>
      <c r="LO64" t="s">
        <v>1873</v>
      </c>
      <c r="LP64" t="s">
        <v>1873</v>
      </c>
      <c r="LQ64" t="s">
        <v>1873</v>
      </c>
      <c r="LR64" t="s">
        <v>1873</v>
      </c>
      <c r="LW64" t="s">
        <v>1870</v>
      </c>
      <c r="MD64" t="s">
        <v>1873</v>
      </c>
      <c r="MG64" t="s">
        <v>1870</v>
      </c>
      <c r="MH64" t="s">
        <v>1870</v>
      </c>
      <c r="MI64" t="s">
        <v>1873</v>
      </c>
      <c r="MX64" t="s">
        <v>1873</v>
      </c>
      <c r="MZ64" t="s">
        <v>1873</v>
      </c>
      <c r="NN64" t="s">
        <v>1873</v>
      </c>
      <c r="NR64" t="s">
        <v>1520</v>
      </c>
      <c r="NS64" t="s">
        <v>2126</v>
      </c>
      <c r="NX64" t="s">
        <v>2127</v>
      </c>
      <c r="NY64" t="s">
        <v>1901</v>
      </c>
    </row>
    <row r="65" spans="4:389" ht="15" customHeight="1" x14ac:dyDescent="0.25">
      <c r="D65" t="s">
        <v>1521</v>
      </c>
      <c r="G65" t="s">
        <v>1878</v>
      </c>
      <c r="K65" t="s">
        <v>1878</v>
      </c>
      <c r="L65" t="s">
        <v>1878</v>
      </c>
      <c r="M65" t="s">
        <v>1878</v>
      </c>
      <c r="N65" t="s">
        <v>1878</v>
      </c>
      <c r="P65" t="s">
        <v>1878</v>
      </c>
      <c r="R65" t="s">
        <v>1878</v>
      </c>
      <c r="S65" t="s">
        <v>1878</v>
      </c>
      <c r="AH65" t="s">
        <v>1878</v>
      </c>
      <c r="AM65" t="s">
        <v>1870</v>
      </c>
      <c r="AO65" t="s">
        <v>1870</v>
      </c>
      <c r="AP65" t="s">
        <v>1870</v>
      </c>
      <c r="AQ65" t="s">
        <v>1878</v>
      </c>
      <c r="AR65" t="s">
        <v>1870</v>
      </c>
      <c r="BZ65" t="s">
        <v>1878</v>
      </c>
      <c r="CA65" t="s">
        <v>1870</v>
      </c>
      <c r="CE65" t="s">
        <v>1878</v>
      </c>
      <c r="CK65" t="s">
        <v>1878</v>
      </c>
      <c r="CL65" t="s">
        <v>1878</v>
      </c>
      <c r="CM65" t="s">
        <v>1878</v>
      </c>
      <c r="CN65" t="s">
        <v>1878</v>
      </c>
      <c r="CO65" t="s">
        <v>1878</v>
      </c>
      <c r="CP65" t="s">
        <v>1870</v>
      </c>
      <c r="CQ65" t="s">
        <v>1878</v>
      </c>
      <c r="CR65" t="s">
        <v>1878</v>
      </c>
      <c r="CU65" t="s">
        <v>1870</v>
      </c>
      <c r="CZ65" t="s">
        <v>1878</v>
      </c>
      <c r="DA65" t="s">
        <v>1878</v>
      </c>
      <c r="DB65" t="s">
        <v>1878</v>
      </c>
      <c r="DC65" t="s">
        <v>1878</v>
      </c>
      <c r="DJ65" t="s">
        <v>1878</v>
      </c>
      <c r="DK65" t="s">
        <v>1878</v>
      </c>
      <c r="DO65" t="s">
        <v>1870</v>
      </c>
      <c r="DP65" t="s">
        <v>1878</v>
      </c>
      <c r="DQ65" t="s">
        <v>1870</v>
      </c>
      <c r="DR65" t="s">
        <v>1878</v>
      </c>
      <c r="DT65" t="s">
        <v>1870</v>
      </c>
      <c r="DU65" t="s">
        <v>1870</v>
      </c>
      <c r="DV65" t="s">
        <v>1870</v>
      </c>
      <c r="EA65" t="s">
        <v>1870</v>
      </c>
      <c r="EB65" t="s">
        <v>1878</v>
      </c>
      <c r="EC65" t="s">
        <v>1878</v>
      </c>
      <c r="EG65" t="s">
        <v>1870</v>
      </c>
      <c r="EH65" t="s">
        <v>1870</v>
      </c>
      <c r="EI65" t="s">
        <v>1870</v>
      </c>
      <c r="EJ65" t="s">
        <v>1878</v>
      </c>
      <c r="EK65" t="s">
        <v>1878</v>
      </c>
      <c r="EL65" t="s">
        <v>1878</v>
      </c>
      <c r="EY65" t="s">
        <v>1878</v>
      </c>
      <c r="FA65" t="s">
        <v>1870</v>
      </c>
      <c r="FB65" t="s">
        <v>1878</v>
      </c>
      <c r="FC65" t="s">
        <v>1878</v>
      </c>
      <c r="FF65" t="s">
        <v>1878</v>
      </c>
      <c r="FG65" t="s">
        <v>1878</v>
      </c>
      <c r="FH65" t="s">
        <v>1878</v>
      </c>
      <c r="FI65" t="s">
        <v>1878</v>
      </c>
      <c r="FY65" t="s">
        <v>1870</v>
      </c>
      <c r="FZ65" t="s">
        <v>1870</v>
      </c>
      <c r="GA65" t="s">
        <v>1878</v>
      </c>
      <c r="HD65" t="s">
        <v>1870</v>
      </c>
      <c r="HF65" t="s">
        <v>1870</v>
      </c>
      <c r="HO65" t="s">
        <v>1870</v>
      </c>
      <c r="HQ65" t="s">
        <v>1870</v>
      </c>
      <c r="HR65" t="s">
        <v>1870</v>
      </c>
      <c r="HS65" t="s">
        <v>1870</v>
      </c>
      <c r="IF65" t="s">
        <v>1870</v>
      </c>
      <c r="IG65" t="s">
        <v>1870</v>
      </c>
      <c r="IH65" t="s">
        <v>1870</v>
      </c>
      <c r="II65" t="s">
        <v>1870</v>
      </c>
      <c r="IJ65" t="s">
        <v>1870</v>
      </c>
      <c r="IO65" t="s">
        <v>1870</v>
      </c>
      <c r="JB65" t="s">
        <v>1870</v>
      </c>
      <c r="JL65" t="s">
        <v>1878</v>
      </c>
      <c r="JT65" t="s">
        <v>1870</v>
      </c>
      <c r="JV65" t="s">
        <v>1870</v>
      </c>
      <c r="JZ65" t="s">
        <v>1878</v>
      </c>
      <c r="KN65" t="s">
        <v>1870</v>
      </c>
      <c r="LG65" t="s">
        <v>1870</v>
      </c>
      <c r="LH65" t="s">
        <v>1878</v>
      </c>
      <c r="LI65" t="s">
        <v>1878</v>
      </c>
      <c r="LK65" t="s">
        <v>1878</v>
      </c>
      <c r="LL65" t="s">
        <v>1878</v>
      </c>
      <c r="LO65" t="s">
        <v>1870</v>
      </c>
      <c r="LP65" t="s">
        <v>1870</v>
      </c>
      <c r="LQ65" t="s">
        <v>1870</v>
      </c>
      <c r="LR65" t="s">
        <v>1870</v>
      </c>
      <c r="LW65" t="s">
        <v>1878</v>
      </c>
      <c r="MD65" t="s">
        <v>1870</v>
      </c>
      <c r="MG65" t="s">
        <v>1878</v>
      </c>
      <c r="MH65" t="s">
        <v>1878</v>
      </c>
      <c r="MI65" t="s">
        <v>1870</v>
      </c>
      <c r="MX65" t="s">
        <v>1870</v>
      </c>
      <c r="MZ65" t="s">
        <v>1870</v>
      </c>
      <c r="NN65" t="s">
        <v>1870</v>
      </c>
      <c r="NR65" t="s">
        <v>1521</v>
      </c>
      <c r="NS65" t="s">
        <v>2128</v>
      </c>
      <c r="NX65" t="s">
        <v>2129</v>
      </c>
      <c r="NY65" t="s">
        <v>1901</v>
      </c>
    </row>
    <row r="66" spans="4:389" ht="15" customHeight="1" x14ac:dyDescent="0.25">
      <c r="D66" t="s">
        <v>1522</v>
      </c>
      <c r="G66" t="s">
        <v>1904</v>
      </c>
      <c r="K66" t="s">
        <v>1904</v>
      </c>
      <c r="L66" t="s">
        <v>1904</v>
      </c>
      <c r="M66" t="s">
        <v>1904</v>
      </c>
      <c r="N66" t="s">
        <v>1904</v>
      </c>
      <c r="P66" t="s">
        <v>1904</v>
      </c>
      <c r="R66" t="s">
        <v>1904</v>
      </c>
      <c r="S66" t="s">
        <v>1904</v>
      </c>
      <c r="AH66" t="s">
        <v>1904</v>
      </c>
      <c r="AM66" t="s">
        <v>1878</v>
      </c>
      <c r="AO66" t="s">
        <v>1878</v>
      </c>
      <c r="AP66" t="s">
        <v>1878</v>
      </c>
      <c r="AQ66" t="s">
        <v>1904</v>
      </c>
      <c r="AR66" t="s">
        <v>1878</v>
      </c>
      <c r="BZ66" t="s">
        <v>1904</v>
      </c>
      <c r="CA66" t="s">
        <v>1878</v>
      </c>
      <c r="CE66" t="s">
        <v>1904</v>
      </c>
      <c r="CK66" t="s">
        <v>1904</v>
      </c>
      <c r="CL66" t="s">
        <v>1904</v>
      </c>
      <c r="CM66" t="s">
        <v>1904</v>
      </c>
      <c r="CN66" t="s">
        <v>1904</v>
      </c>
      <c r="CO66" t="s">
        <v>1904</v>
      </c>
      <c r="CP66" t="s">
        <v>1878</v>
      </c>
      <c r="CQ66" t="s">
        <v>1904</v>
      </c>
      <c r="CR66" t="s">
        <v>1904</v>
      </c>
      <c r="CU66" t="s">
        <v>1878</v>
      </c>
      <c r="CZ66" t="s">
        <v>1904</v>
      </c>
      <c r="DA66" t="s">
        <v>1904</v>
      </c>
      <c r="DB66" t="s">
        <v>1904</v>
      </c>
      <c r="DC66" t="s">
        <v>1904</v>
      </c>
      <c r="DJ66" t="s">
        <v>1904</v>
      </c>
      <c r="DK66" t="s">
        <v>1904</v>
      </c>
      <c r="DO66" t="s">
        <v>1878</v>
      </c>
      <c r="DP66" t="s">
        <v>1904</v>
      </c>
      <c r="DQ66" t="s">
        <v>1878</v>
      </c>
      <c r="DR66" t="s">
        <v>1904</v>
      </c>
      <c r="DT66" t="s">
        <v>1878</v>
      </c>
      <c r="DU66" t="s">
        <v>1878</v>
      </c>
      <c r="DV66" t="s">
        <v>1878</v>
      </c>
      <c r="EA66" t="s">
        <v>1878</v>
      </c>
      <c r="EB66" t="s">
        <v>1904</v>
      </c>
      <c r="EC66" t="s">
        <v>1904</v>
      </c>
      <c r="EG66" t="s">
        <v>1878</v>
      </c>
      <c r="EH66" t="s">
        <v>1878</v>
      </c>
      <c r="EI66" t="s">
        <v>1878</v>
      </c>
      <c r="EJ66" t="s">
        <v>1904</v>
      </c>
      <c r="EK66" t="s">
        <v>1904</v>
      </c>
      <c r="EL66" t="s">
        <v>1904</v>
      </c>
      <c r="EY66" t="s">
        <v>1904</v>
      </c>
      <c r="FA66" t="s">
        <v>1878</v>
      </c>
      <c r="FB66" t="s">
        <v>1904</v>
      </c>
      <c r="FC66" t="s">
        <v>1904</v>
      </c>
      <c r="FF66" t="s">
        <v>1904</v>
      </c>
      <c r="FG66" t="s">
        <v>1904</v>
      </c>
      <c r="FH66" t="s">
        <v>1904</v>
      </c>
      <c r="FI66" t="s">
        <v>1904</v>
      </c>
      <c r="FY66" t="s">
        <v>1878</v>
      </c>
      <c r="FZ66" t="s">
        <v>1878</v>
      </c>
      <c r="GA66" t="s">
        <v>1904</v>
      </c>
      <c r="HD66" t="s">
        <v>1878</v>
      </c>
      <c r="HF66" t="s">
        <v>1878</v>
      </c>
      <c r="HO66" t="s">
        <v>1878</v>
      </c>
      <c r="HQ66" t="s">
        <v>1878</v>
      </c>
      <c r="HR66" t="s">
        <v>1878</v>
      </c>
      <c r="HS66" t="s">
        <v>1878</v>
      </c>
      <c r="IF66" t="s">
        <v>1878</v>
      </c>
      <c r="IG66" t="s">
        <v>1878</v>
      </c>
      <c r="IH66" t="s">
        <v>1878</v>
      </c>
      <c r="II66" t="s">
        <v>1878</v>
      </c>
      <c r="IJ66" t="s">
        <v>1878</v>
      </c>
      <c r="IO66" t="s">
        <v>1878</v>
      </c>
      <c r="JB66" t="s">
        <v>1878</v>
      </c>
      <c r="JL66" t="s">
        <v>1904</v>
      </c>
      <c r="JT66" t="s">
        <v>1878</v>
      </c>
      <c r="JV66" t="s">
        <v>1878</v>
      </c>
      <c r="JZ66" t="s">
        <v>1904</v>
      </c>
      <c r="KN66" t="s">
        <v>1878</v>
      </c>
      <c r="LG66" t="s">
        <v>1878</v>
      </c>
      <c r="LH66" t="s">
        <v>1904</v>
      </c>
      <c r="LI66" t="s">
        <v>1904</v>
      </c>
      <c r="LK66" t="s">
        <v>1904</v>
      </c>
      <c r="LL66" t="s">
        <v>1904</v>
      </c>
      <c r="LO66" t="s">
        <v>1878</v>
      </c>
      <c r="LP66" t="s">
        <v>1878</v>
      </c>
      <c r="LQ66" t="s">
        <v>1878</v>
      </c>
      <c r="LR66" t="s">
        <v>1878</v>
      </c>
      <c r="LW66" t="s">
        <v>1904</v>
      </c>
      <c r="MD66" t="s">
        <v>1878</v>
      </c>
      <c r="MG66" t="s">
        <v>1904</v>
      </c>
      <c r="MH66" t="s">
        <v>1904</v>
      </c>
      <c r="MI66" t="s">
        <v>1878</v>
      </c>
      <c r="MX66" t="s">
        <v>1878</v>
      </c>
      <c r="MZ66" t="s">
        <v>1878</v>
      </c>
      <c r="NN66" t="s">
        <v>1878</v>
      </c>
      <c r="NR66" t="s">
        <v>1522</v>
      </c>
      <c r="NS66" t="s">
        <v>2128</v>
      </c>
      <c r="NX66" t="s">
        <v>2130</v>
      </c>
      <c r="NY66" t="s">
        <v>1909</v>
      </c>
    </row>
    <row r="67" spans="4:389" ht="15" customHeight="1" x14ac:dyDescent="0.25">
      <c r="D67" t="s">
        <v>1523</v>
      </c>
      <c r="G67" t="s">
        <v>1896</v>
      </c>
      <c r="K67" t="s">
        <v>1896</v>
      </c>
      <c r="L67" t="s">
        <v>1896</v>
      </c>
      <c r="M67" t="s">
        <v>1896</v>
      </c>
      <c r="N67" t="s">
        <v>1896</v>
      </c>
      <c r="P67" t="s">
        <v>1896</v>
      </c>
      <c r="R67" t="s">
        <v>1896</v>
      </c>
      <c r="S67" t="s">
        <v>1896</v>
      </c>
      <c r="AH67" t="s">
        <v>1896</v>
      </c>
      <c r="AM67" t="s">
        <v>1904</v>
      </c>
      <c r="AO67" t="s">
        <v>1904</v>
      </c>
      <c r="AP67" t="s">
        <v>1904</v>
      </c>
      <c r="AQ67" t="s">
        <v>1896</v>
      </c>
      <c r="AR67" t="s">
        <v>1904</v>
      </c>
      <c r="BZ67" t="s">
        <v>1896</v>
      </c>
      <c r="CA67" t="s">
        <v>1904</v>
      </c>
      <c r="CE67" t="s">
        <v>1896</v>
      </c>
      <c r="CK67" t="s">
        <v>1896</v>
      </c>
      <c r="CL67" t="s">
        <v>1896</v>
      </c>
      <c r="CM67" t="s">
        <v>1896</v>
      </c>
      <c r="CN67" t="s">
        <v>1896</v>
      </c>
      <c r="CO67" t="s">
        <v>1896</v>
      </c>
      <c r="CP67" t="s">
        <v>1904</v>
      </c>
      <c r="CQ67" t="s">
        <v>1896</v>
      </c>
      <c r="CR67" t="s">
        <v>1896</v>
      </c>
      <c r="CU67" t="s">
        <v>1904</v>
      </c>
      <c r="CZ67" t="s">
        <v>1896</v>
      </c>
      <c r="DA67" t="s">
        <v>1896</v>
      </c>
      <c r="DB67" t="s">
        <v>1896</v>
      </c>
      <c r="DC67" t="s">
        <v>1896</v>
      </c>
      <c r="DJ67" t="s">
        <v>1896</v>
      </c>
      <c r="DK67" t="s">
        <v>1896</v>
      </c>
      <c r="DO67" t="s">
        <v>1904</v>
      </c>
      <c r="DP67" t="s">
        <v>1896</v>
      </c>
      <c r="DQ67" t="s">
        <v>1904</v>
      </c>
      <c r="DR67" t="s">
        <v>1896</v>
      </c>
      <c r="DT67" t="s">
        <v>1904</v>
      </c>
      <c r="DU67" t="s">
        <v>1904</v>
      </c>
      <c r="DV67" t="s">
        <v>1904</v>
      </c>
      <c r="EA67" t="s">
        <v>1904</v>
      </c>
      <c r="EB67" t="s">
        <v>1896</v>
      </c>
      <c r="EC67" t="s">
        <v>1896</v>
      </c>
      <c r="EG67" t="s">
        <v>1904</v>
      </c>
      <c r="EH67" t="s">
        <v>1904</v>
      </c>
      <c r="EI67" t="s">
        <v>1904</v>
      </c>
      <c r="EJ67" t="s">
        <v>1896</v>
      </c>
      <c r="EK67" t="s">
        <v>1896</v>
      </c>
      <c r="EL67" t="s">
        <v>1896</v>
      </c>
      <c r="EY67" t="s">
        <v>1896</v>
      </c>
      <c r="FA67" t="s">
        <v>1904</v>
      </c>
      <c r="FB67" t="s">
        <v>1896</v>
      </c>
      <c r="FC67" t="s">
        <v>1896</v>
      </c>
      <c r="FF67" t="s">
        <v>1896</v>
      </c>
      <c r="FG67" t="s">
        <v>1896</v>
      </c>
      <c r="FH67" t="s">
        <v>1896</v>
      </c>
      <c r="FI67" t="s">
        <v>1896</v>
      </c>
      <c r="FY67" t="s">
        <v>1904</v>
      </c>
      <c r="FZ67" t="s">
        <v>1904</v>
      </c>
      <c r="GA67" t="s">
        <v>1896</v>
      </c>
      <c r="HD67" t="s">
        <v>1904</v>
      </c>
      <c r="HF67" t="s">
        <v>1904</v>
      </c>
      <c r="HO67" t="s">
        <v>1904</v>
      </c>
      <c r="HQ67" t="s">
        <v>1904</v>
      </c>
      <c r="HR67" t="s">
        <v>1904</v>
      </c>
      <c r="HS67" t="s">
        <v>1904</v>
      </c>
      <c r="IF67" t="s">
        <v>1904</v>
      </c>
      <c r="IG67" t="s">
        <v>1904</v>
      </c>
      <c r="IH67" t="s">
        <v>1904</v>
      </c>
      <c r="II67" t="s">
        <v>1904</v>
      </c>
      <c r="IJ67" t="s">
        <v>1904</v>
      </c>
      <c r="IO67" t="s">
        <v>1904</v>
      </c>
      <c r="JB67" t="s">
        <v>1904</v>
      </c>
      <c r="JL67" t="s">
        <v>1896</v>
      </c>
      <c r="JT67" t="s">
        <v>1904</v>
      </c>
      <c r="JV67" t="s">
        <v>1904</v>
      </c>
      <c r="JZ67" t="s">
        <v>1896</v>
      </c>
      <c r="KN67" t="s">
        <v>1904</v>
      </c>
      <c r="LG67" t="s">
        <v>1904</v>
      </c>
      <c r="LH67" t="s">
        <v>1896</v>
      </c>
      <c r="LI67" t="s">
        <v>1896</v>
      </c>
      <c r="LK67" t="s">
        <v>1896</v>
      </c>
      <c r="LL67" t="s">
        <v>1896</v>
      </c>
      <c r="LO67" t="s">
        <v>1904</v>
      </c>
      <c r="LP67" t="s">
        <v>1904</v>
      </c>
      <c r="LQ67" t="s">
        <v>1904</v>
      </c>
      <c r="LR67" t="s">
        <v>1904</v>
      </c>
      <c r="LW67" t="s">
        <v>1896</v>
      </c>
      <c r="MD67" t="s">
        <v>1904</v>
      </c>
      <c r="MG67" t="s">
        <v>1896</v>
      </c>
      <c r="MH67" t="s">
        <v>1896</v>
      </c>
      <c r="MI67" t="s">
        <v>1904</v>
      </c>
      <c r="MX67" t="s">
        <v>1904</v>
      </c>
      <c r="MZ67" t="s">
        <v>1904</v>
      </c>
      <c r="NN67" t="s">
        <v>1904</v>
      </c>
      <c r="NR67" t="s">
        <v>1523</v>
      </c>
      <c r="NS67" t="s">
        <v>2131</v>
      </c>
      <c r="NX67" t="s">
        <v>2132</v>
      </c>
      <c r="NY67" t="s">
        <v>1916</v>
      </c>
    </row>
    <row r="68" spans="4:389" ht="15" customHeight="1" x14ac:dyDescent="0.25">
      <c r="D68" t="s">
        <v>1524</v>
      </c>
      <c r="G68" t="s">
        <v>1918</v>
      </c>
      <c r="K68" t="s">
        <v>1918</v>
      </c>
      <c r="L68" t="s">
        <v>1918</v>
      </c>
      <c r="M68" t="s">
        <v>1918</v>
      </c>
      <c r="N68" t="s">
        <v>1918</v>
      </c>
      <c r="P68" t="s">
        <v>1918</v>
      </c>
      <c r="R68" t="s">
        <v>1918</v>
      </c>
      <c r="S68" t="s">
        <v>1918</v>
      </c>
      <c r="AH68" t="s">
        <v>1918</v>
      </c>
      <c r="AM68" t="s">
        <v>1896</v>
      </c>
      <c r="AO68" t="s">
        <v>1896</v>
      </c>
      <c r="AP68" t="s">
        <v>1896</v>
      </c>
      <c r="AQ68" t="s">
        <v>1918</v>
      </c>
      <c r="AR68" t="s">
        <v>1896</v>
      </c>
      <c r="BZ68" t="s">
        <v>1918</v>
      </c>
      <c r="CA68" t="s">
        <v>1896</v>
      </c>
      <c r="CE68" t="s">
        <v>1918</v>
      </c>
      <c r="CK68" t="s">
        <v>1918</v>
      </c>
      <c r="CL68" t="s">
        <v>1918</v>
      </c>
      <c r="CM68" t="s">
        <v>1918</v>
      </c>
      <c r="CN68" t="s">
        <v>1918</v>
      </c>
      <c r="CO68" t="s">
        <v>1918</v>
      </c>
      <c r="CP68" t="s">
        <v>1896</v>
      </c>
      <c r="CQ68" t="s">
        <v>1918</v>
      </c>
      <c r="CR68" t="s">
        <v>1918</v>
      </c>
      <c r="CU68" t="s">
        <v>1896</v>
      </c>
      <c r="CZ68" t="s">
        <v>1918</v>
      </c>
      <c r="DA68" t="s">
        <v>1918</v>
      </c>
      <c r="DB68" t="s">
        <v>1918</v>
      </c>
      <c r="DC68" t="s">
        <v>1918</v>
      </c>
      <c r="DJ68" t="s">
        <v>1918</v>
      </c>
      <c r="DK68" t="s">
        <v>1918</v>
      </c>
      <c r="DO68" t="s">
        <v>1896</v>
      </c>
      <c r="DP68" t="s">
        <v>1918</v>
      </c>
      <c r="DQ68" t="s">
        <v>1896</v>
      </c>
      <c r="DR68" t="s">
        <v>1918</v>
      </c>
      <c r="DT68" t="s">
        <v>1896</v>
      </c>
      <c r="DU68" t="s">
        <v>1896</v>
      </c>
      <c r="DV68" t="s">
        <v>1896</v>
      </c>
      <c r="EA68" t="s">
        <v>1896</v>
      </c>
      <c r="EB68" t="s">
        <v>1918</v>
      </c>
      <c r="EC68" t="s">
        <v>1918</v>
      </c>
      <c r="EG68" t="s">
        <v>1896</v>
      </c>
      <c r="EH68" t="s">
        <v>1896</v>
      </c>
      <c r="EI68" t="s">
        <v>1896</v>
      </c>
      <c r="EJ68" t="s">
        <v>1918</v>
      </c>
      <c r="EK68" t="s">
        <v>1918</v>
      </c>
      <c r="EL68" t="s">
        <v>1918</v>
      </c>
      <c r="EY68" t="s">
        <v>1918</v>
      </c>
      <c r="FA68" t="s">
        <v>1896</v>
      </c>
      <c r="FB68" t="s">
        <v>1918</v>
      </c>
      <c r="FC68" t="s">
        <v>1918</v>
      </c>
      <c r="FF68" t="s">
        <v>1918</v>
      </c>
      <c r="FG68" t="s">
        <v>1918</v>
      </c>
      <c r="FH68" t="s">
        <v>1918</v>
      </c>
      <c r="FI68" t="s">
        <v>1918</v>
      </c>
      <c r="FY68" t="s">
        <v>1896</v>
      </c>
      <c r="FZ68" t="s">
        <v>1896</v>
      </c>
      <c r="GA68" t="s">
        <v>1918</v>
      </c>
      <c r="HD68" t="s">
        <v>1896</v>
      </c>
      <c r="HF68" t="s">
        <v>1896</v>
      </c>
      <c r="HO68" t="s">
        <v>1896</v>
      </c>
      <c r="HQ68" t="s">
        <v>1896</v>
      </c>
      <c r="HR68" t="s">
        <v>1896</v>
      </c>
      <c r="HS68" t="s">
        <v>1896</v>
      </c>
      <c r="IF68" t="s">
        <v>1896</v>
      </c>
      <c r="IG68" t="s">
        <v>1896</v>
      </c>
      <c r="IH68" t="s">
        <v>1896</v>
      </c>
      <c r="II68" t="s">
        <v>1896</v>
      </c>
      <c r="IJ68" t="s">
        <v>1896</v>
      </c>
      <c r="IO68" t="s">
        <v>1896</v>
      </c>
      <c r="JB68" t="s">
        <v>1896</v>
      </c>
      <c r="JL68" t="s">
        <v>1918</v>
      </c>
      <c r="JT68" t="s">
        <v>1896</v>
      </c>
      <c r="JV68" t="s">
        <v>1896</v>
      </c>
      <c r="JZ68" t="s">
        <v>1918</v>
      </c>
      <c r="KN68" t="s">
        <v>1896</v>
      </c>
      <c r="LG68" t="s">
        <v>1896</v>
      </c>
      <c r="LH68" t="s">
        <v>1918</v>
      </c>
      <c r="LI68" t="s">
        <v>1918</v>
      </c>
      <c r="LK68" t="s">
        <v>1918</v>
      </c>
      <c r="LL68" t="s">
        <v>1918</v>
      </c>
      <c r="LO68" t="s">
        <v>1896</v>
      </c>
      <c r="LP68" t="s">
        <v>1896</v>
      </c>
      <c r="LQ68" t="s">
        <v>1896</v>
      </c>
      <c r="LR68" t="s">
        <v>1896</v>
      </c>
      <c r="LW68" t="s">
        <v>1918</v>
      </c>
      <c r="MD68" t="s">
        <v>1896</v>
      </c>
      <c r="MG68" t="s">
        <v>1918</v>
      </c>
      <c r="MH68" t="s">
        <v>1918</v>
      </c>
      <c r="MI68" t="s">
        <v>1896</v>
      </c>
      <c r="MX68" t="s">
        <v>1896</v>
      </c>
      <c r="MZ68" t="s">
        <v>1896</v>
      </c>
      <c r="NN68" t="s">
        <v>1896</v>
      </c>
      <c r="NR68" t="s">
        <v>1524</v>
      </c>
      <c r="NS68" t="s">
        <v>2133</v>
      </c>
      <c r="NX68" t="s">
        <v>2134</v>
      </c>
      <c r="NY68" t="s">
        <v>1916</v>
      </c>
    </row>
    <row r="69" spans="4:389" ht="15" customHeight="1" x14ac:dyDescent="0.25">
      <c r="D69" t="s">
        <v>1525</v>
      </c>
      <c r="G69" t="s">
        <v>1926</v>
      </c>
      <c r="K69" t="s">
        <v>1926</v>
      </c>
      <c r="L69" t="s">
        <v>1926</v>
      </c>
      <c r="M69" t="s">
        <v>1926</v>
      </c>
      <c r="N69" t="s">
        <v>1926</v>
      </c>
      <c r="P69" t="s">
        <v>1926</v>
      </c>
      <c r="R69" t="s">
        <v>1926</v>
      </c>
      <c r="S69" t="s">
        <v>1926</v>
      </c>
      <c r="AH69" t="s">
        <v>1926</v>
      </c>
      <c r="AM69" t="s">
        <v>1918</v>
      </c>
      <c r="AO69" t="s">
        <v>1918</v>
      </c>
      <c r="AP69" t="s">
        <v>1918</v>
      </c>
      <c r="AQ69" t="s">
        <v>1926</v>
      </c>
      <c r="AR69" t="s">
        <v>1918</v>
      </c>
      <c r="BZ69" t="s">
        <v>1926</v>
      </c>
      <c r="CA69" t="s">
        <v>1918</v>
      </c>
      <c r="CE69" t="s">
        <v>1926</v>
      </c>
      <c r="CK69" t="s">
        <v>1926</v>
      </c>
      <c r="CL69" t="s">
        <v>1926</v>
      </c>
      <c r="CM69" t="s">
        <v>1926</v>
      </c>
      <c r="CN69" t="s">
        <v>1926</v>
      </c>
      <c r="CO69" t="s">
        <v>1926</v>
      </c>
      <c r="CP69" t="s">
        <v>1918</v>
      </c>
      <c r="CQ69" t="s">
        <v>1926</v>
      </c>
      <c r="CR69" t="s">
        <v>1926</v>
      </c>
      <c r="CU69" t="s">
        <v>1918</v>
      </c>
      <c r="CZ69" t="s">
        <v>1926</v>
      </c>
      <c r="DA69" t="s">
        <v>1926</v>
      </c>
      <c r="DB69" t="s">
        <v>1926</v>
      </c>
      <c r="DC69" t="s">
        <v>1926</v>
      </c>
      <c r="DJ69" t="s">
        <v>1926</v>
      </c>
      <c r="DK69" t="s">
        <v>1926</v>
      </c>
      <c r="DO69" t="s">
        <v>1918</v>
      </c>
      <c r="DP69" t="s">
        <v>1926</v>
      </c>
      <c r="DQ69" t="s">
        <v>1918</v>
      </c>
      <c r="DR69" t="s">
        <v>1926</v>
      </c>
      <c r="DT69" t="s">
        <v>1918</v>
      </c>
      <c r="DU69" t="s">
        <v>1918</v>
      </c>
      <c r="DV69" t="s">
        <v>1918</v>
      </c>
      <c r="EA69" t="s">
        <v>1918</v>
      </c>
      <c r="EB69" t="s">
        <v>1926</v>
      </c>
      <c r="EC69" t="s">
        <v>1926</v>
      </c>
      <c r="EG69" t="s">
        <v>1918</v>
      </c>
      <c r="EH69" t="s">
        <v>1918</v>
      </c>
      <c r="EI69" t="s">
        <v>1918</v>
      </c>
      <c r="EJ69" t="s">
        <v>1926</v>
      </c>
      <c r="EK69" t="s">
        <v>1926</v>
      </c>
      <c r="EL69" t="s">
        <v>1926</v>
      </c>
      <c r="EY69" t="s">
        <v>1926</v>
      </c>
      <c r="FA69" t="s">
        <v>1918</v>
      </c>
      <c r="FB69" t="s">
        <v>1926</v>
      </c>
      <c r="FC69" t="s">
        <v>1926</v>
      </c>
      <c r="FF69" t="s">
        <v>1926</v>
      </c>
      <c r="FG69" t="s">
        <v>1926</v>
      </c>
      <c r="FH69" t="s">
        <v>1926</v>
      </c>
      <c r="FI69" t="s">
        <v>1926</v>
      </c>
      <c r="FY69" t="s">
        <v>1918</v>
      </c>
      <c r="FZ69" t="s">
        <v>1918</v>
      </c>
      <c r="GA69" t="s">
        <v>1926</v>
      </c>
      <c r="HD69" t="s">
        <v>1918</v>
      </c>
      <c r="HF69" t="s">
        <v>1918</v>
      </c>
      <c r="HO69" t="s">
        <v>1918</v>
      </c>
      <c r="HQ69" t="s">
        <v>1918</v>
      </c>
      <c r="HR69" t="s">
        <v>1918</v>
      </c>
      <c r="HS69" t="s">
        <v>1918</v>
      </c>
      <c r="IF69" t="s">
        <v>1918</v>
      </c>
      <c r="IG69" t="s">
        <v>1918</v>
      </c>
      <c r="IH69" t="s">
        <v>1918</v>
      </c>
      <c r="II69" t="s">
        <v>1918</v>
      </c>
      <c r="IJ69" t="s">
        <v>1918</v>
      </c>
      <c r="IO69" t="s">
        <v>1918</v>
      </c>
      <c r="JB69" t="s">
        <v>1918</v>
      </c>
      <c r="JL69" t="s">
        <v>1926</v>
      </c>
      <c r="JT69" t="s">
        <v>1918</v>
      </c>
      <c r="JV69" t="s">
        <v>1918</v>
      </c>
      <c r="JZ69" t="s">
        <v>1926</v>
      </c>
      <c r="KN69" t="s">
        <v>1918</v>
      </c>
      <c r="LG69" t="s">
        <v>1918</v>
      </c>
      <c r="LH69" t="s">
        <v>1926</v>
      </c>
      <c r="LI69" t="s">
        <v>1926</v>
      </c>
      <c r="LK69" t="s">
        <v>1926</v>
      </c>
      <c r="LL69" t="s">
        <v>1926</v>
      </c>
      <c r="LO69" t="s">
        <v>1918</v>
      </c>
      <c r="LP69" t="s">
        <v>1918</v>
      </c>
      <c r="LQ69" t="s">
        <v>1918</v>
      </c>
      <c r="LR69" t="s">
        <v>1918</v>
      </c>
      <c r="LW69" t="s">
        <v>1926</v>
      </c>
      <c r="MD69" t="s">
        <v>1918</v>
      </c>
      <c r="MG69" t="s">
        <v>1926</v>
      </c>
      <c r="MH69" t="s">
        <v>1926</v>
      </c>
      <c r="MI69" t="s">
        <v>1918</v>
      </c>
      <c r="MX69" t="s">
        <v>1918</v>
      </c>
      <c r="MZ69" t="s">
        <v>1918</v>
      </c>
      <c r="NN69" t="s">
        <v>1918</v>
      </c>
      <c r="NR69" t="s">
        <v>1525</v>
      </c>
      <c r="NS69" t="s">
        <v>2135</v>
      </c>
      <c r="NX69" t="s">
        <v>2136</v>
      </c>
      <c r="NY69" t="s">
        <v>1916</v>
      </c>
    </row>
    <row r="70" spans="4:389" ht="15" customHeight="1" x14ac:dyDescent="0.25">
      <c r="D70" t="s">
        <v>1526</v>
      </c>
      <c r="G70" t="s">
        <v>1885</v>
      </c>
      <c r="K70" t="s">
        <v>1885</v>
      </c>
      <c r="L70" t="s">
        <v>1885</v>
      </c>
      <c r="M70" t="s">
        <v>1885</v>
      </c>
      <c r="N70" t="s">
        <v>1885</v>
      </c>
      <c r="P70" t="s">
        <v>1885</v>
      </c>
      <c r="R70" t="s">
        <v>1885</v>
      </c>
      <c r="S70" t="s">
        <v>1885</v>
      </c>
      <c r="AH70" t="s">
        <v>1885</v>
      </c>
      <c r="AM70" t="s">
        <v>1926</v>
      </c>
      <c r="AO70" t="s">
        <v>1926</v>
      </c>
      <c r="AP70" t="s">
        <v>1926</v>
      </c>
      <c r="AQ70" t="s">
        <v>1885</v>
      </c>
      <c r="AR70" t="s">
        <v>1926</v>
      </c>
      <c r="BZ70" t="s">
        <v>1885</v>
      </c>
      <c r="CA70" t="s">
        <v>1926</v>
      </c>
      <c r="CE70" t="s">
        <v>1885</v>
      </c>
      <c r="CK70" t="s">
        <v>1885</v>
      </c>
      <c r="CL70" t="s">
        <v>1885</v>
      </c>
      <c r="CM70" t="s">
        <v>1885</v>
      </c>
      <c r="CN70" t="s">
        <v>1885</v>
      </c>
      <c r="CO70" t="s">
        <v>1885</v>
      </c>
      <c r="CP70" t="s">
        <v>1926</v>
      </c>
      <c r="CQ70" t="s">
        <v>1885</v>
      </c>
      <c r="CR70" t="s">
        <v>1885</v>
      </c>
      <c r="CU70" t="s">
        <v>1926</v>
      </c>
      <c r="CZ70" t="s">
        <v>1885</v>
      </c>
      <c r="DA70" t="s">
        <v>1885</v>
      </c>
      <c r="DB70" t="s">
        <v>1885</v>
      </c>
      <c r="DC70" t="s">
        <v>1885</v>
      </c>
      <c r="DJ70" t="s">
        <v>1885</v>
      </c>
      <c r="DK70" t="s">
        <v>1885</v>
      </c>
      <c r="DO70" t="s">
        <v>1926</v>
      </c>
      <c r="DP70" t="s">
        <v>1885</v>
      </c>
      <c r="DQ70" t="s">
        <v>1926</v>
      </c>
      <c r="DR70" t="s">
        <v>1885</v>
      </c>
      <c r="DT70" t="s">
        <v>1926</v>
      </c>
      <c r="DU70" t="s">
        <v>1926</v>
      </c>
      <c r="DV70" t="s">
        <v>1926</v>
      </c>
      <c r="EA70" t="s">
        <v>1926</v>
      </c>
      <c r="EB70" t="s">
        <v>1885</v>
      </c>
      <c r="EC70" t="s">
        <v>1885</v>
      </c>
      <c r="EG70" t="s">
        <v>1926</v>
      </c>
      <c r="EH70" t="s">
        <v>1926</v>
      </c>
      <c r="EI70" t="s">
        <v>1926</v>
      </c>
      <c r="EJ70" t="s">
        <v>1885</v>
      </c>
      <c r="EK70" t="s">
        <v>1885</v>
      </c>
      <c r="EL70" t="s">
        <v>1885</v>
      </c>
      <c r="EY70" t="s">
        <v>1885</v>
      </c>
      <c r="FA70" t="s">
        <v>1926</v>
      </c>
      <c r="FB70" t="s">
        <v>1885</v>
      </c>
      <c r="FC70" t="s">
        <v>1885</v>
      </c>
      <c r="FF70" t="s">
        <v>1885</v>
      </c>
      <c r="FG70" t="s">
        <v>1885</v>
      </c>
      <c r="FH70" t="s">
        <v>1885</v>
      </c>
      <c r="FI70" t="s">
        <v>1885</v>
      </c>
      <c r="FY70" t="s">
        <v>1926</v>
      </c>
      <c r="FZ70" t="s">
        <v>1926</v>
      </c>
      <c r="GA70" t="s">
        <v>1885</v>
      </c>
      <c r="HD70" t="s">
        <v>1926</v>
      </c>
      <c r="HF70" t="s">
        <v>1926</v>
      </c>
      <c r="HO70" t="s">
        <v>1926</v>
      </c>
      <c r="HQ70" t="s">
        <v>1926</v>
      </c>
      <c r="HR70" t="s">
        <v>1926</v>
      </c>
      <c r="HS70" t="s">
        <v>1926</v>
      </c>
      <c r="IF70" t="s">
        <v>1926</v>
      </c>
      <c r="IG70" t="s">
        <v>1926</v>
      </c>
      <c r="IH70" t="s">
        <v>1926</v>
      </c>
      <c r="II70" t="s">
        <v>1926</v>
      </c>
      <c r="IJ70" t="s">
        <v>1926</v>
      </c>
      <c r="IO70" t="s">
        <v>1926</v>
      </c>
      <c r="JB70" t="s">
        <v>1926</v>
      </c>
      <c r="JL70" t="s">
        <v>1885</v>
      </c>
      <c r="JT70" t="s">
        <v>1926</v>
      </c>
      <c r="JV70" t="s">
        <v>1926</v>
      </c>
      <c r="JZ70" t="s">
        <v>1885</v>
      </c>
      <c r="KN70" t="s">
        <v>1926</v>
      </c>
      <c r="LG70" t="s">
        <v>1926</v>
      </c>
      <c r="LH70" t="s">
        <v>1885</v>
      </c>
      <c r="LI70" t="s">
        <v>1885</v>
      </c>
      <c r="LK70" t="s">
        <v>1885</v>
      </c>
      <c r="LL70" t="s">
        <v>1885</v>
      </c>
      <c r="LO70" t="s">
        <v>1926</v>
      </c>
      <c r="LP70" t="s">
        <v>1926</v>
      </c>
      <c r="LQ70" t="s">
        <v>1926</v>
      </c>
      <c r="LR70" t="s">
        <v>1926</v>
      </c>
      <c r="LW70" t="s">
        <v>1885</v>
      </c>
      <c r="MD70" t="s">
        <v>1926</v>
      </c>
      <c r="MG70" t="s">
        <v>1885</v>
      </c>
      <c r="MH70" t="s">
        <v>1885</v>
      </c>
      <c r="MI70" t="s">
        <v>1926</v>
      </c>
      <c r="MX70" t="s">
        <v>1926</v>
      </c>
      <c r="MZ70" t="s">
        <v>1926</v>
      </c>
      <c r="NN70" t="s">
        <v>1926</v>
      </c>
      <c r="NR70" t="s">
        <v>1526</v>
      </c>
      <c r="NS70" t="s">
        <v>2137</v>
      </c>
      <c r="NX70" t="s">
        <v>2138</v>
      </c>
      <c r="NY70" t="s">
        <v>1916</v>
      </c>
    </row>
    <row r="71" spans="4:389" ht="15" customHeight="1" x14ac:dyDescent="0.25">
      <c r="D71" t="s">
        <v>1527</v>
      </c>
      <c r="G71" t="s">
        <v>1893</v>
      </c>
      <c r="K71" t="s">
        <v>1893</v>
      </c>
      <c r="L71" t="s">
        <v>1893</v>
      </c>
      <c r="M71" t="s">
        <v>1893</v>
      </c>
      <c r="N71" t="s">
        <v>1893</v>
      </c>
      <c r="P71" t="s">
        <v>1893</v>
      </c>
      <c r="R71" t="s">
        <v>1893</v>
      </c>
      <c r="S71" t="s">
        <v>1893</v>
      </c>
      <c r="AH71" t="s">
        <v>1893</v>
      </c>
      <c r="AM71" t="s">
        <v>1885</v>
      </c>
      <c r="AO71" t="s">
        <v>1885</v>
      </c>
      <c r="AP71" t="s">
        <v>1885</v>
      </c>
      <c r="AQ71" t="s">
        <v>1893</v>
      </c>
      <c r="AR71" t="s">
        <v>1885</v>
      </c>
      <c r="BZ71" t="s">
        <v>1893</v>
      </c>
      <c r="CA71" t="s">
        <v>1885</v>
      </c>
      <c r="CE71" t="s">
        <v>1893</v>
      </c>
      <c r="CK71" t="s">
        <v>1893</v>
      </c>
      <c r="CL71" t="s">
        <v>1893</v>
      </c>
      <c r="CM71" t="s">
        <v>1893</v>
      </c>
      <c r="CN71" t="s">
        <v>1893</v>
      </c>
      <c r="CO71" t="s">
        <v>1893</v>
      </c>
      <c r="CP71" t="s">
        <v>1885</v>
      </c>
      <c r="CQ71" t="s">
        <v>1893</v>
      </c>
      <c r="CR71" t="s">
        <v>1893</v>
      </c>
      <c r="CU71" t="s">
        <v>1885</v>
      </c>
      <c r="CZ71" t="s">
        <v>1893</v>
      </c>
      <c r="DA71" t="s">
        <v>1893</v>
      </c>
      <c r="DB71" t="s">
        <v>1893</v>
      </c>
      <c r="DC71" t="s">
        <v>1893</v>
      </c>
      <c r="DJ71" t="s">
        <v>1893</v>
      </c>
      <c r="DK71" t="s">
        <v>1893</v>
      </c>
      <c r="DO71" t="s">
        <v>1885</v>
      </c>
      <c r="DP71" t="s">
        <v>1893</v>
      </c>
      <c r="DQ71" t="s">
        <v>1885</v>
      </c>
      <c r="DR71" t="s">
        <v>1893</v>
      </c>
      <c r="DT71" t="s">
        <v>1885</v>
      </c>
      <c r="DU71" t="s">
        <v>1885</v>
      </c>
      <c r="DV71" t="s">
        <v>1885</v>
      </c>
      <c r="EA71" t="s">
        <v>1885</v>
      </c>
      <c r="EB71" t="s">
        <v>1893</v>
      </c>
      <c r="EC71" t="s">
        <v>1893</v>
      </c>
      <c r="EG71" t="s">
        <v>1885</v>
      </c>
      <c r="EH71" t="s">
        <v>1885</v>
      </c>
      <c r="EI71" t="s">
        <v>1885</v>
      </c>
      <c r="EJ71" t="s">
        <v>1893</v>
      </c>
      <c r="EK71" t="s">
        <v>1893</v>
      </c>
      <c r="EL71" t="s">
        <v>1893</v>
      </c>
      <c r="EY71" t="s">
        <v>1893</v>
      </c>
      <c r="FA71" t="s">
        <v>1885</v>
      </c>
      <c r="FB71" t="s">
        <v>1893</v>
      </c>
      <c r="FC71" t="s">
        <v>1893</v>
      </c>
      <c r="FF71" t="s">
        <v>1893</v>
      </c>
      <c r="FG71" t="s">
        <v>1893</v>
      </c>
      <c r="FH71" t="s">
        <v>1893</v>
      </c>
      <c r="FI71" t="s">
        <v>1893</v>
      </c>
      <c r="FY71" t="s">
        <v>1885</v>
      </c>
      <c r="FZ71" t="s">
        <v>1885</v>
      </c>
      <c r="GA71" t="s">
        <v>1893</v>
      </c>
      <c r="HD71" t="s">
        <v>1885</v>
      </c>
      <c r="HF71" t="s">
        <v>1885</v>
      </c>
      <c r="HO71" t="s">
        <v>1885</v>
      </c>
      <c r="HQ71" t="s">
        <v>1885</v>
      </c>
      <c r="HR71" t="s">
        <v>1885</v>
      </c>
      <c r="HS71" t="s">
        <v>1885</v>
      </c>
      <c r="IF71" t="s">
        <v>1885</v>
      </c>
      <c r="IG71" t="s">
        <v>1885</v>
      </c>
      <c r="IH71" t="s">
        <v>1885</v>
      </c>
      <c r="II71" t="s">
        <v>1885</v>
      </c>
      <c r="IJ71" t="s">
        <v>1885</v>
      </c>
      <c r="IO71" t="s">
        <v>1885</v>
      </c>
      <c r="JB71" t="s">
        <v>1885</v>
      </c>
      <c r="JL71" t="s">
        <v>1893</v>
      </c>
      <c r="JT71" t="s">
        <v>1885</v>
      </c>
      <c r="JV71" t="s">
        <v>1885</v>
      </c>
      <c r="JZ71" t="s">
        <v>1893</v>
      </c>
      <c r="KN71" t="s">
        <v>1885</v>
      </c>
      <c r="LG71" t="s">
        <v>1885</v>
      </c>
      <c r="LH71" t="s">
        <v>1893</v>
      </c>
      <c r="LI71" t="s">
        <v>1893</v>
      </c>
      <c r="LK71" t="s">
        <v>1893</v>
      </c>
      <c r="LL71" t="s">
        <v>1893</v>
      </c>
      <c r="LO71" t="s">
        <v>1885</v>
      </c>
      <c r="LP71" t="s">
        <v>1885</v>
      </c>
      <c r="LQ71" t="s">
        <v>1885</v>
      </c>
      <c r="LR71" t="s">
        <v>1885</v>
      </c>
      <c r="LW71" t="s">
        <v>1893</v>
      </c>
      <c r="MD71" t="s">
        <v>1885</v>
      </c>
      <c r="MG71" t="s">
        <v>1893</v>
      </c>
      <c r="MH71" t="s">
        <v>1893</v>
      </c>
      <c r="MI71" t="s">
        <v>1885</v>
      </c>
      <c r="MX71" t="s">
        <v>1885</v>
      </c>
      <c r="MZ71" t="s">
        <v>1885</v>
      </c>
      <c r="NN71" t="s">
        <v>1885</v>
      </c>
      <c r="NR71" t="s">
        <v>1527</v>
      </c>
      <c r="NS71" t="s">
        <v>2139</v>
      </c>
      <c r="NX71" t="s">
        <v>2140</v>
      </c>
      <c r="NY71" t="s">
        <v>1916</v>
      </c>
    </row>
    <row r="72" spans="4:389" ht="15" customHeight="1" x14ac:dyDescent="0.25">
      <c r="D72" t="s">
        <v>1528</v>
      </c>
      <c r="G72" t="s">
        <v>1939</v>
      </c>
      <c r="K72" t="s">
        <v>1939</v>
      </c>
      <c r="L72" t="s">
        <v>1939</v>
      </c>
      <c r="M72" t="s">
        <v>1939</v>
      </c>
      <c r="N72" t="s">
        <v>1939</v>
      </c>
      <c r="P72" t="s">
        <v>1939</v>
      </c>
      <c r="R72" t="s">
        <v>1939</v>
      </c>
      <c r="S72" t="s">
        <v>1939</v>
      </c>
      <c r="AH72" t="s">
        <v>1939</v>
      </c>
      <c r="AM72" t="s">
        <v>1893</v>
      </c>
      <c r="AO72" t="s">
        <v>1893</v>
      </c>
      <c r="AP72" t="s">
        <v>1893</v>
      </c>
      <c r="AQ72" t="s">
        <v>1939</v>
      </c>
      <c r="AR72" t="s">
        <v>1893</v>
      </c>
      <c r="BZ72" t="s">
        <v>1939</v>
      </c>
      <c r="CA72" t="s">
        <v>1893</v>
      </c>
      <c r="CE72" t="s">
        <v>1939</v>
      </c>
      <c r="CK72" t="s">
        <v>1939</v>
      </c>
      <c r="CL72" t="s">
        <v>1939</v>
      </c>
      <c r="CM72" t="s">
        <v>1939</v>
      </c>
      <c r="CN72" t="s">
        <v>1939</v>
      </c>
      <c r="CO72" t="s">
        <v>1939</v>
      </c>
      <c r="CP72" t="s">
        <v>1893</v>
      </c>
      <c r="CQ72" t="s">
        <v>1939</v>
      </c>
      <c r="CR72" t="s">
        <v>1939</v>
      </c>
      <c r="CU72" t="s">
        <v>1893</v>
      </c>
      <c r="CZ72" t="s">
        <v>1939</v>
      </c>
      <c r="DA72" t="s">
        <v>1939</v>
      </c>
      <c r="DB72" t="s">
        <v>1939</v>
      </c>
      <c r="DC72" t="s">
        <v>1939</v>
      </c>
      <c r="DJ72" t="s">
        <v>1939</v>
      </c>
      <c r="DK72" t="s">
        <v>1939</v>
      </c>
      <c r="DO72" t="s">
        <v>1893</v>
      </c>
      <c r="DP72" t="s">
        <v>1939</v>
      </c>
      <c r="DQ72" t="s">
        <v>1893</v>
      </c>
      <c r="DR72" t="s">
        <v>1939</v>
      </c>
      <c r="DT72" t="s">
        <v>1893</v>
      </c>
      <c r="DU72" t="s">
        <v>1893</v>
      </c>
      <c r="DV72" t="s">
        <v>1893</v>
      </c>
      <c r="EA72" t="s">
        <v>1893</v>
      </c>
      <c r="EB72" t="s">
        <v>1939</v>
      </c>
      <c r="EC72" t="s">
        <v>1939</v>
      </c>
      <c r="EG72" t="s">
        <v>1893</v>
      </c>
      <c r="EH72" t="s">
        <v>1893</v>
      </c>
      <c r="EI72" t="s">
        <v>1893</v>
      </c>
      <c r="EJ72" t="s">
        <v>1939</v>
      </c>
      <c r="EK72" t="s">
        <v>1939</v>
      </c>
      <c r="EL72" t="s">
        <v>1939</v>
      </c>
      <c r="EY72" t="s">
        <v>1939</v>
      </c>
      <c r="FA72" t="s">
        <v>1893</v>
      </c>
      <c r="FB72" t="s">
        <v>1939</v>
      </c>
      <c r="FC72" t="s">
        <v>1939</v>
      </c>
      <c r="FF72" t="s">
        <v>1939</v>
      </c>
      <c r="FG72" t="s">
        <v>1939</v>
      </c>
      <c r="FH72" t="s">
        <v>1939</v>
      </c>
      <c r="FI72" t="s">
        <v>1939</v>
      </c>
      <c r="FY72" t="s">
        <v>1893</v>
      </c>
      <c r="FZ72" t="s">
        <v>1893</v>
      </c>
      <c r="GA72" t="s">
        <v>1939</v>
      </c>
      <c r="HD72" t="s">
        <v>1893</v>
      </c>
      <c r="HF72" t="s">
        <v>1893</v>
      </c>
      <c r="HO72" t="s">
        <v>1893</v>
      </c>
      <c r="HQ72" t="s">
        <v>1893</v>
      </c>
      <c r="HR72" t="s">
        <v>1893</v>
      </c>
      <c r="HS72" t="s">
        <v>1893</v>
      </c>
      <c r="IF72" t="s">
        <v>1893</v>
      </c>
      <c r="IG72" t="s">
        <v>1893</v>
      </c>
      <c r="IH72" t="s">
        <v>1893</v>
      </c>
      <c r="II72" t="s">
        <v>1893</v>
      </c>
      <c r="IJ72" t="s">
        <v>1893</v>
      </c>
      <c r="IO72" t="s">
        <v>1893</v>
      </c>
      <c r="JB72" t="s">
        <v>1893</v>
      </c>
      <c r="JL72" t="s">
        <v>1939</v>
      </c>
      <c r="JT72" t="s">
        <v>1893</v>
      </c>
      <c r="JV72" t="s">
        <v>1893</v>
      </c>
      <c r="JZ72" t="s">
        <v>1939</v>
      </c>
      <c r="KN72" t="s">
        <v>1893</v>
      </c>
      <c r="LG72" t="s">
        <v>1893</v>
      </c>
      <c r="LH72" t="s">
        <v>1939</v>
      </c>
      <c r="LI72" t="s">
        <v>1939</v>
      </c>
      <c r="LK72" t="s">
        <v>1939</v>
      </c>
      <c r="LL72" t="s">
        <v>1939</v>
      </c>
      <c r="LO72" t="s">
        <v>1893</v>
      </c>
      <c r="LP72" t="s">
        <v>1893</v>
      </c>
      <c r="LQ72" t="s">
        <v>1893</v>
      </c>
      <c r="LR72" t="s">
        <v>1893</v>
      </c>
      <c r="LW72" t="s">
        <v>1939</v>
      </c>
      <c r="MD72" t="s">
        <v>1893</v>
      </c>
      <c r="MG72" t="s">
        <v>1939</v>
      </c>
      <c r="MH72" t="s">
        <v>1939</v>
      </c>
      <c r="MI72" t="s">
        <v>1893</v>
      </c>
      <c r="MX72" t="s">
        <v>1893</v>
      </c>
      <c r="MZ72" t="s">
        <v>1893</v>
      </c>
      <c r="NN72" t="s">
        <v>1893</v>
      </c>
      <c r="NR72" t="s">
        <v>1528</v>
      </c>
      <c r="NS72" t="s">
        <v>2141</v>
      </c>
      <c r="NX72" t="s">
        <v>2142</v>
      </c>
      <c r="NY72" t="s">
        <v>1916</v>
      </c>
    </row>
    <row r="73" spans="4:389" ht="15" customHeight="1" x14ac:dyDescent="0.25">
      <c r="D73" t="s">
        <v>1529</v>
      </c>
      <c r="G73" t="s">
        <v>1901</v>
      </c>
      <c r="K73" t="s">
        <v>1901</v>
      </c>
      <c r="L73" t="s">
        <v>1901</v>
      </c>
      <c r="M73" t="s">
        <v>1901</v>
      </c>
      <c r="N73" t="s">
        <v>1901</v>
      </c>
      <c r="P73" t="s">
        <v>1901</v>
      </c>
      <c r="R73" t="s">
        <v>1901</v>
      </c>
      <c r="S73" t="s">
        <v>1901</v>
      </c>
      <c r="AH73" t="s">
        <v>1901</v>
      </c>
      <c r="AM73" t="s">
        <v>1939</v>
      </c>
      <c r="AO73" t="s">
        <v>1939</v>
      </c>
      <c r="AP73" t="s">
        <v>1939</v>
      </c>
      <c r="AQ73" t="s">
        <v>1901</v>
      </c>
      <c r="AR73" t="s">
        <v>1939</v>
      </c>
      <c r="BZ73" t="s">
        <v>1901</v>
      </c>
      <c r="CA73" t="s">
        <v>1939</v>
      </c>
      <c r="CE73" t="s">
        <v>1901</v>
      </c>
      <c r="CK73" t="s">
        <v>1901</v>
      </c>
      <c r="CL73" t="s">
        <v>1901</v>
      </c>
      <c r="CM73" t="s">
        <v>1901</v>
      </c>
      <c r="CN73" t="s">
        <v>1901</v>
      </c>
      <c r="CO73" t="s">
        <v>1901</v>
      </c>
      <c r="CP73" t="s">
        <v>1939</v>
      </c>
      <c r="CQ73" t="s">
        <v>1901</v>
      </c>
      <c r="CR73" t="s">
        <v>1901</v>
      </c>
      <c r="CU73" t="s">
        <v>1939</v>
      </c>
      <c r="CZ73" t="s">
        <v>1901</v>
      </c>
      <c r="DA73" t="s">
        <v>1901</v>
      </c>
      <c r="DB73" t="s">
        <v>1901</v>
      </c>
      <c r="DC73" t="s">
        <v>1901</v>
      </c>
      <c r="DJ73" t="s">
        <v>1901</v>
      </c>
      <c r="DK73" t="s">
        <v>1901</v>
      </c>
      <c r="DO73" t="s">
        <v>1939</v>
      </c>
      <c r="DP73" t="s">
        <v>1901</v>
      </c>
      <c r="DQ73" t="s">
        <v>1939</v>
      </c>
      <c r="DR73" t="s">
        <v>1901</v>
      </c>
      <c r="DT73" t="s">
        <v>1939</v>
      </c>
      <c r="DU73" t="s">
        <v>1939</v>
      </c>
      <c r="DV73" t="s">
        <v>1939</v>
      </c>
      <c r="EA73" t="s">
        <v>1939</v>
      </c>
      <c r="EB73" t="s">
        <v>1901</v>
      </c>
      <c r="EC73" t="s">
        <v>1901</v>
      </c>
      <c r="EG73" t="s">
        <v>1939</v>
      </c>
      <c r="EH73" t="s">
        <v>1939</v>
      </c>
      <c r="EI73" t="s">
        <v>1939</v>
      </c>
      <c r="EJ73" t="s">
        <v>1901</v>
      </c>
      <c r="EK73" t="s">
        <v>1901</v>
      </c>
      <c r="EL73" t="s">
        <v>1901</v>
      </c>
      <c r="EY73" t="s">
        <v>1901</v>
      </c>
      <c r="FA73" t="s">
        <v>1939</v>
      </c>
      <c r="FB73" t="s">
        <v>1901</v>
      </c>
      <c r="FC73" t="s">
        <v>1901</v>
      </c>
      <c r="FF73" t="s">
        <v>1901</v>
      </c>
      <c r="FG73" t="s">
        <v>1901</v>
      </c>
      <c r="FH73" t="s">
        <v>1901</v>
      </c>
      <c r="FI73" t="s">
        <v>1901</v>
      </c>
      <c r="FY73" t="s">
        <v>1939</v>
      </c>
      <c r="FZ73" t="s">
        <v>1939</v>
      </c>
      <c r="GA73" t="s">
        <v>1901</v>
      </c>
      <c r="HD73" t="s">
        <v>1939</v>
      </c>
      <c r="HF73" t="s">
        <v>1939</v>
      </c>
      <c r="HO73" t="s">
        <v>1939</v>
      </c>
      <c r="HQ73" t="s">
        <v>1939</v>
      </c>
      <c r="HR73" t="s">
        <v>1939</v>
      </c>
      <c r="HS73" t="s">
        <v>1939</v>
      </c>
      <c r="IF73" t="s">
        <v>1939</v>
      </c>
      <c r="IG73" t="s">
        <v>1939</v>
      </c>
      <c r="IH73" t="s">
        <v>1939</v>
      </c>
      <c r="II73" t="s">
        <v>1939</v>
      </c>
      <c r="IJ73" t="s">
        <v>1939</v>
      </c>
      <c r="IO73" t="s">
        <v>1939</v>
      </c>
      <c r="JB73" t="s">
        <v>1939</v>
      </c>
      <c r="JL73" t="s">
        <v>1901</v>
      </c>
      <c r="JT73" t="s">
        <v>1939</v>
      </c>
      <c r="JV73" t="s">
        <v>1939</v>
      </c>
      <c r="JZ73" t="s">
        <v>1901</v>
      </c>
      <c r="KN73" t="s">
        <v>1939</v>
      </c>
      <c r="LG73" t="s">
        <v>1939</v>
      </c>
      <c r="LH73" t="s">
        <v>1901</v>
      </c>
      <c r="LI73" t="s">
        <v>1901</v>
      </c>
      <c r="LK73" t="s">
        <v>1901</v>
      </c>
      <c r="LL73" t="s">
        <v>1901</v>
      </c>
      <c r="LO73" t="s">
        <v>1939</v>
      </c>
      <c r="LP73" t="s">
        <v>1939</v>
      </c>
      <c r="LQ73" t="s">
        <v>1939</v>
      </c>
      <c r="LR73" t="s">
        <v>1939</v>
      </c>
      <c r="LW73" t="s">
        <v>1901</v>
      </c>
      <c r="MD73" t="s">
        <v>1939</v>
      </c>
      <c r="MG73" t="s">
        <v>1901</v>
      </c>
      <c r="MH73" t="s">
        <v>1901</v>
      </c>
      <c r="MI73" t="s">
        <v>1939</v>
      </c>
      <c r="MX73" t="s">
        <v>1939</v>
      </c>
      <c r="MZ73" t="s">
        <v>1939</v>
      </c>
      <c r="NN73" t="s">
        <v>1939</v>
      </c>
      <c r="NR73" t="s">
        <v>1529</v>
      </c>
      <c r="NS73" t="s">
        <v>2143</v>
      </c>
      <c r="NX73" t="s">
        <v>2144</v>
      </c>
      <c r="NY73" t="s">
        <v>1916</v>
      </c>
    </row>
    <row r="74" spans="4:389" ht="15" customHeight="1" x14ac:dyDescent="0.25">
      <c r="D74" t="s">
        <v>1530</v>
      </c>
      <c r="G74" t="s">
        <v>1909</v>
      </c>
      <c r="K74" t="s">
        <v>1909</v>
      </c>
      <c r="L74" t="s">
        <v>1909</v>
      </c>
      <c r="M74" t="s">
        <v>1909</v>
      </c>
      <c r="N74" t="s">
        <v>1909</v>
      </c>
      <c r="P74" t="s">
        <v>1909</v>
      </c>
      <c r="R74" t="s">
        <v>1909</v>
      </c>
      <c r="S74" t="s">
        <v>1909</v>
      </c>
      <c r="AH74" t="s">
        <v>1909</v>
      </c>
      <c r="AM74" t="s">
        <v>1901</v>
      </c>
      <c r="AO74" t="s">
        <v>1901</v>
      </c>
      <c r="AP74" t="s">
        <v>1901</v>
      </c>
      <c r="AQ74" t="s">
        <v>1909</v>
      </c>
      <c r="AR74" t="s">
        <v>1901</v>
      </c>
      <c r="BZ74" t="s">
        <v>1909</v>
      </c>
      <c r="CA74" t="s">
        <v>1901</v>
      </c>
      <c r="CE74" t="s">
        <v>1909</v>
      </c>
      <c r="CK74" t="s">
        <v>1909</v>
      </c>
      <c r="CL74" t="s">
        <v>1909</v>
      </c>
      <c r="CM74" t="s">
        <v>1909</v>
      </c>
      <c r="CN74" t="s">
        <v>1909</v>
      </c>
      <c r="CO74" t="s">
        <v>1909</v>
      </c>
      <c r="CP74" t="s">
        <v>1901</v>
      </c>
      <c r="CQ74" t="s">
        <v>1909</v>
      </c>
      <c r="CR74" t="s">
        <v>1909</v>
      </c>
      <c r="CU74" t="s">
        <v>1901</v>
      </c>
      <c r="CZ74" t="s">
        <v>1909</v>
      </c>
      <c r="DA74" t="s">
        <v>1909</v>
      </c>
      <c r="DB74" t="s">
        <v>1909</v>
      </c>
      <c r="DC74" t="s">
        <v>1909</v>
      </c>
      <c r="DJ74" t="s">
        <v>1909</v>
      </c>
      <c r="DK74" t="s">
        <v>1909</v>
      </c>
      <c r="DO74" t="s">
        <v>1901</v>
      </c>
      <c r="DP74" t="s">
        <v>1909</v>
      </c>
      <c r="DQ74" t="s">
        <v>1901</v>
      </c>
      <c r="DR74" t="s">
        <v>1909</v>
      </c>
      <c r="DT74" t="s">
        <v>1901</v>
      </c>
      <c r="DU74" t="s">
        <v>1901</v>
      </c>
      <c r="DV74" t="s">
        <v>1901</v>
      </c>
      <c r="EA74" t="s">
        <v>1901</v>
      </c>
      <c r="EB74" t="s">
        <v>1909</v>
      </c>
      <c r="EC74" t="s">
        <v>1909</v>
      </c>
      <c r="EG74" t="s">
        <v>1901</v>
      </c>
      <c r="EH74" t="s">
        <v>1901</v>
      </c>
      <c r="EI74" t="s">
        <v>1901</v>
      </c>
      <c r="EJ74" t="s">
        <v>1909</v>
      </c>
      <c r="EK74" t="s">
        <v>1909</v>
      </c>
      <c r="EL74" t="s">
        <v>1909</v>
      </c>
      <c r="EY74" t="s">
        <v>1909</v>
      </c>
      <c r="FA74" t="s">
        <v>1901</v>
      </c>
      <c r="FB74" t="s">
        <v>1909</v>
      </c>
      <c r="FC74" t="s">
        <v>1909</v>
      </c>
      <c r="FF74" t="s">
        <v>1909</v>
      </c>
      <c r="FG74" t="s">
        <v>1909</v>
      </c>
      <c r="FH74" t="s">
        <v>1909</v>
      </c>
      <c r="FI74" t="s">
        <v>1909</v>
      </c>
      <c r="FY74" t="s">
        <v>1901</v>
      </c>
      <c r="FZ74" t="s">
        <v>1901</v>
      </c>
      <c r="GA74" t="s">
        <v>1909</v>
      </c>
      <c r="HD74" t="s">
        <v>1901</v>
      </c>
      <c r="HF74" t="s">
        <v>1901</v>
      </c>
      <c r="HO74" t="s">
        <v>1901</v>
      </c>
      <c r="HQ74" t="s">
        <v>1901</v>
      </c>
      <c r="HR74" t="s">
        <v>1901</v>
      </c>
      <c r="HS74" t="s">
        <v>1901</v>
      </c>
      <c r="IF74" t="s">
        <v>1901</v>
      </c>
      <c r="IG74" t="s">
        <v>1901</v>
      </c>
      <c r="IH74" t="s">
        <v>1901</v>
      </c>
      <c r="II74" t="s">
        <v>1901</v>
      </c>
      <c r="IJ74" t="s">
        <v>1901</v>
      </c>
      <c r="IO74" t="s">
        <v>1901</v>
      </c>
      <c r="JB74" t="s">
        <v>1901</v>
      </c>
      <c r="JL74" t="s">
        <v>1909</v>
      </c>
      <c r="JT74" t="s">
        <v>1901</v>
      </c>
      <c r="JV74" t="s">
        <v>1901</v>
      </c>
      <c r="JZ74" t="s">
        <v>1909</v>
      </c>
      <c r="KN74" t="s">
        <v>1901</v>
      </c>
      <c r="LG74" t="s">
        <v>1901</v>
      </c>
      <c r="LH74" t="s">
        <v>1909</v>
      </c>
      <c r="LI74" t="s">
        <v>1909</v>
      </c>
      <c r="LK74" t="s">
        <v>1909</v>
      </c>
      <c r="LL74" t="s">
        <v>1909</v>
      </c>
      <c r="LO74" t="s">
        <v>1901</v>
      </c>
      <c r="LP74" t="s">
        <v>1901</v>
      </c>
      <c r="LQ74" t="s">
        <v>1901</v>
      </c>
      <c r="LR74" t="s">
        <v>1901</v>
      </c>
      <c r="LW74" t="s">
        <v>1909</v>
      </c>
      <c r="MD74" t="s">
        <v>1901</v>
      </c>
      <c r="MG74" t="s">
        <v>1909</v>
      </c>
      <c r="MH74" t="s">
        <v>1909</v>
      </c>
      <c r="MI74" t="s">
        <v>1901</v>
      </c>
      <c r="MX74" t="s">
        <v>1901</v>
      </c>
      <c r="MZ74" t="s">
        <v>1901</v>
      </c>
      <c r="NN74" t="s">
        <v>1901</v>
      </c>
      <c r="NR74" t="s">
        <v>1530</v>
      </c>
      <c r="NS74" t="s">
        <v>2145</v>
      </c>
      <c r="NX74" t="s">
        <v>2146</v>
      </c>
      <c r="NY74" t="s">
        <v>1916</v>
      </c>
    </row>
    <row r="75" spans="4:389" ht="15" customHeight="1" x14ac:dyDescent="0.25">
      <c r="D75" t="s">
        <v>1531</v>
      </c>
      <c r="G75" t="s">
        <v>1916</v>
      </c>
      <c r="K75" t="s">
        <v>1916</v>
      </c>
      <c r="L75" t="s">
        <v>1916</v>
      </c>
      <c r="M75" t="s">
        <v>1916</v>
      </c>
      <c r="N75" t="s">
        <v>1916</v>
      </c>
      <c r="P75" t="s">
        <v>1916</v>
      </c>
      <c r="R75" t="s">
        <v>1916</v>
      </c>
      <c r="S75" t="s">
        <v>1916</v>
      </c>
      <c r="AH75" t="s">
        <v>1916</v>
      </c>
      <c r="AM75" t="s">
        <v>1909</v>
      </c>
      <c r="AO75" t="s">
        <v>1909</v>
      </c>
      <c r="AP75" t="s">
        <v>1909</v>
      </c>
      <c r="AQ75" t="s">
        <v>1916</v>
      </c>
      <c r="AR75" t="s">
        <v>1909</v>
      </c>
      <c r="BZ75" t="s">
        <v>1916</v>
      </c>
      <c r="CA75" t="s">
        <v>1909</v>
      </c>
      <c r="CE75" t="s">
        <v>1916</v>
      </c>
      <c r="CK75" t="s">
        <v>1916</v>
      </c>
      <c r="CL75" t="s">
        <v>1916</v>
      </c>
      <c r="CM75" t="s">
        <v>1916</v>
      </c>
      <c r="CN75" t="s">
        <v>1916</v>
      </c>
      <c r="CO75" t="s">
        <v>1916</v>
      </c>
      <c r="CP75" t="s">
        <v>1909</v>
      </c>
      <c r="CQ75" t="s">
        <v>1916</v>
      </c>
      <c r="CR75" t="s">
        <v>1916</v>
      </c>
      <c r="CU75" t="s">
        <v>1909</v>
      </c>
      <c r="CZ75" t="s">
        <v>1916</v>
      </c>
      <c r="DA75" t="s">
        <v>1916</v>
      </c>
      <c r="DB75" t="s">
        <v>1916</v>
      </c>
      <c r="DC75" t="s">
        <v>1916</v>
      </c>
      <c r="DJ75" t="s">
        <v>1916</v>
      </c>
      <c r="DK75" t="s">
        <v>1916</v>
      </c>
      <c r="DO75" t="s">
        <v>1909</v>
      </c>
      <c r="DP75" t="s">
        <v>1916</v>
      </c>
      <c r="DQ75" t="s">
        <v>1909</v>
      </c>
      <c r="DR75" t="s">
        <v>1916</v>
      </c>
      <c r="DT75" t="s">
        <v>1909</v>
      </c>
      <c r="DU75" t="s">
        <v>1909</v>
      </c>
      <c r="DV75" t="s">
        <v>1909</v>
      </c>
      <c r="EA75" t="s">
        <v>1909</v>
      </c>
      <c r="EB75" t="s">
        <v>1916</v>
      </c>
      <c r="EC75" t="s">
        <v>1916</v>
      </c>
      <c r="EG75" t="s">
        <v>1909</v>
      </c>
      <c r="EH75" t="s">
        <v>1909</v>
      </c>
      <c r="EI75" t="s">
        <v>1909</v>
      </c>
      <c r="EJ75" t="s">
        <v>1916</v>
      </c>
      <c r="EK75" t="s">
        <v>1916</v>
      </c>
      <c r="EL75" t="s">
        <v>1916</v>
      </c>
      <c r="EY75" t="s">
        <v>1916</v>
      </c>
      <c r="FA75" t="s">
        <v>1909</v>
      </c>
      <c r="FB75" t="s">
        <v>1916</v>
      </c>
      <c r="FC75" t="s">
        <v>1916</v>
      </c>
      <c r="FF75" t="s">
        <v>1916</v>
      </c>
      <c r="FG75" t="s">
        <v>1916</v>
      </c>
      <c r="FH75" t="s">
        <v>1916</v>
      </c>
      <c r="FI75" t="s">
        <v>1916</v>
      </c>
      <c r="FY75" t="s">
        <v>1909</v>
      </c>
      <c r="FZ75" t="s">
        <v>1909</v>
      </c>
      <c r="GA75" t="s">
        <v>1916</v>
      </c>
      <c r="HD75" t="s">
        <v>1909</v>
      </c>
      <c r="HF75" t="s">
        <v>1909</v>
      </c>
      <c r="HO75" t="s">
        <v>1909</v>
      </c>
      <c r="HQ75" t="s">
        <v>1909</v>
      </c>
      <c r="HR75" t="s">
        <v>1909</v>
      </c>
      <c r="HS75" t="s">
        <v>1909</v>
      </c>
      <c r="IF75" t="s">
        <v>1909</v>
      </c>
      <c r="IG75" t="s">
        <v>1909</v>
      </c>
      <c r="IH75" t="s">
        <v>1909</v>
      </c>
      <c r="II75" t="s">
        <v>1909</v>
      </c>
      <c r="IJ75" t="s">
        <v>1909</v>
      </c>
      <c r="IO75" t="s">
        <v>1909</v>
      </c>
      <c r="JB75" t="s">
        <v>1909</v>
      </c>
      <c r="JL75" t="s">
        <v>1916</v>
      </c>
      <c r="JT75" t="s">
        <v>1909</v>
      </c>
      <c r="JV75" t="s">
        <v>1909</v>
      </c>
      <c r="JZ75" t="s">
        <v>1916</v>
      </c>
      <c r="KN75" t="s">
        <v>1909</v>
      </c>
      <c r="LG75" t="s">
        <v>1909</v>
      </c>
      <c r="LH75" t="s">
        <v>1916</v>
      </c>
      <c r="LI75" t="s">
        <v>1916</v>
      </c>
      <c r="LK75" t="s">
        <v>1916</v>
      </c>
      <c r="LL75" t="s">
        <v>1916</v>
      </c>
      <c r="LO75" t="s">
        <v>1909</v>
      </c>
      <c r="LP75" t="s">
        <v>1909</v>
      </c>
      <c r="LQ75" t="s">
        <v>1909</v>
      </c>
      <c r="LR75" t="s">
        <v>1909</v>
      </c>
      <c r="LW75" t="s">
        <v>1916</v>
      </c>
      <c r="MD75" t="s">
        <v>1909</v>
      </c>
      <c r="MG75" t="s">
        <v>1916</v>
      </c>
      <c r="MH75" t="s">
        <v>1916</v>
      </c>
      <c r="MI75" t="s">
        <v>1909</v>
      </c>
      <c r="MX75" t="s">
        <v>1909</v>
      </c>
      <c r="MZ75" t="s">
        <v>1909</v>
      </c>
      <c r="NN75" t="s">
        <v>1909</v>
      </c>
      <c r="NR75" t="s">
        <v>1531</v>
      </c>
      <c r="NS75" t="s">
        <v>2147</v>
      </c>
      <c r="NX75" t="s">
        <v>2148</v>
      </c>
      <c r="NY75" t="s">
        <v>1916</v>
      </c>
    </row>
    <row r="76" spans="4:389" ht="15" customHeight="1" x14ac:dyDescent="0.25">
      <c r="D76" t="s">
        <v>1532</v>
      </c>
      <c r="G76" t="s">
        <v>1973</v>
      </c>
      <c r="K76" t="s">
        <v>1973</v>
      </c>
      <c r="L76" t="s">
        <v>1973</v>
      </c>
      <c r="M76" t="s">
        <v>1973</v>
      </c>
      <c r="N76" t="s">
        <v>1973</v>
      </c>
      <c r="P76" t="s">
        <v>1973</v>
      </c>
      <c r="R76" t="s">
        <v>1973</v>
      </c>
      <c r="S76" t="s">
        <v>1973</v>
      </c>
      <c r="AH76" t="s">
        <v>1973</v>
      </c>
      <c r="AM76" t="s">
        <v>1916</v>
      </c>
      <c r="AO76" t="s">
        <v>1916</v>
      </c>
      <c r="AP76" t="s">
        <v>1916</v>
      </c>
      <c r="AQ76" t="s">
        <v>1973</v>
      </c>
      <c r="AR76" t="s">
        <v>1916</v>
      </c>
      <c r="BZ76" t="s">
        <v>1973</v>
      </c>
      <c r="CA76" t="s">
        <v>1916</v>
      </c>
      <c r="CE76" t="s">
        <v>1973</v>
      </c>
      <c r="CK76" t="s">
        <v>1973</v>
      </c>
      <c r="CL76" t="s">
        <v>1973</v>
      </c>
      <c r="CM76" t="s">
        <v>1973</v>
      </c>
      <c r="CN76" t="s">
        <v>1973</v>
      </c>
      <c r="CO76" t="s">
        <v>1973</v>
      </c>
      <c r="CP76" t="s">
        <v>1916</v>
      </c>
      <c r="CQ76" t="s">
        <v>1973</v>
      </c>
      <c r="CR76" t="s">
        <v>1973</v>
      </c>
      <c r="CU76" t="s">
        <v>1916</v>
      </c>
      <c r="CZ76" t="s">
        <v>1973</v>
      </c>
      <c r="DA76" t="s">
        <v>1973</v>
      </c>
      <c r="DB76" t="s">
        <v>1973</v>
      </c>
      <c r="DC76" t="s">
        <v>1973</v>
      </c>
      <c r="DJ76" t="s">
        <v>1973</v>
      </c>
      <c r="DK76" t="s">
        <v>1973</v>
      </c>
      <c r="DO76" t="s">
        <v>1916</v>
      </c>
      <c r="DP76" t="s">
        <v>1973</v>
      </c>
      <c r="DQ76" t="s">
        <v>1916</v>
      </c>
      <c r="DR76" t="s">
        <v>1973</v>
      </c>
      <c r="DT76" t="s">
        <v>1916</v>
      </c>
      <c r="DU76" t="s">
        <v>1916</v>
      </c>
      <c r="DV76" t="s">
        <v>1916</v>
      </c>
      <c r="EA76" t="s">
        <v>1916</v>
      </c>
      <c r="EB76" t="s">
        <v>1973</v>
      </c>
      <c r="EC76" t="s">
        <v>1973</v>
      </c>
      <c r="EG76" t="s">
        <v>1916</v>
      </c>
      <c r="EH76" t="s">
        <v>1916</v>
      </c>
      <c r="EI76" t="s">
        <v>1916</v>
      </c>
      <c r="EJ76" t="s">
        <v>1973</v>
      </c>
      <c r="EK76" t="s">
        <v>1973</v>
      </c>
      <c r="EL76" t="s">
        <v>1973</v>
      </c>
      <c r="EY76" t="s">
        <v>1973</v>
      </c>
      <c r="FA76" t="s">
        <v>1916</v>
      </c>
      <c r="FB76" t="s">
        <v>1973</v>
      </c>
      <c r="FC76" t="s">
        <v>1973</v>
      </c>
      <c r="FF76" t="s">
        <v>1973</v>
      </c>
      <c r="FG76" t="s">
        <v>1973</v>
      </c>
      <c r="FH76" t="s">
        <v>1973</v>
      </c>
      <c r="FI76" t="s">
        <v>1973</v>
      </c>
      <c r="FY76" t="s">
        <v>1916</v>
      </c>
      <c r="FZ76" t="s">
        <v>1916</v>
      </c>
      <c r="GA76" t="s">
        <v>1973</v>
      </c>
      <c r="HD76" t="s">
        <v>1916</v>
      </c>
      <c r="HF76" t="s">
        <v>1916</v>
      </c>
      <c r="HO76" t="s">
        <v>1916</v>
      </c>
      <c r="HQ76" t="s">
        <v>1916</v>
      </c>
      <c r="HR76" t="s">
        <v>1916</v>
      </c>
      <c r="HS76" t="s">
        <v>1916</v>
      </c>
      <c r="IF76" t="s">
        <v>1916</v>
      </c>
      <c r="IG76" t="s">
        <v>1916</v>
      </c>
      <c r="IH76" t="s">
        <v>1916</v>
      </c>
      <c r="II76" t="s">
        <v>1916</v>
      </c>
      <c r="IJ76" t="s">
        <v>1916</v>
      </c>
      <c r="IO76" t="s">
        <v>1916</v>
      </c>
      <c r="JB76" t="s">
        <v>1916</v>
      </c>
      <c r="JL76" t="s">
        <v>1973</v>
      </c>
      <c r="JT76" t="s">
        <v>1916</v>
      </c>
      <c r="JV76" t="s">
        <v>1916</v>
      </c>
      <c r="JZ76" t="s">
        <v>1973</v>
      </c>
      <c r="KN76" t="s">
        <v>1916</v>
      </c>
      <c r="LG76" t="s">
        <v>1916</v>
      </c>
      <c r="LH76" t="s">
        <v>1973</v>
      </c>
      <c r="LI76" t="s">
        <v>1973</v>
      </c>
      <c r="LK76" t="s">
        <v>1973</v>
      </c>
      <c r="LL76" t="s">
        <v>1973</v>
      </c>
      <c r="LO76" t="s">
        <v>1916</v>
      </c>
      <c r="LP76" t="s">
        <v>1916</v>
      </c>
      <c r="LQ76" t="s">
        <v>1916</v>
      </c>
      <c r="LR76" t="s">
        <v>1916</v>
      </c>
      <c r="LW76" t="s">
        <v>1973</v>
      </c>
      <c r="MD76" t="s">
        <v>1916</v>
      </c>
      <c r="MG76" t="s">
        <v>1973</v>
      </c>
      <c r="MH76" t="s">
        <v>1973</v>
      </c>
      <c r="MI76" t="s">
        <v>1916</v>
      </c>
      <c r="MX76" t="s">
        <v>1916</v>
      </c>
      <c r="MZ76" t="s">
        <v>1916</v>
      </c>
      <c r="NN76" t="s">
        <v>1916</v>
      </c>
      <c r="NR76" t="s">
        <v>1532</v>
      </c>
      <c r="NS76" t="s">
        <v>2149</v>
      </c>
      <c r="NX76" t="s">
        <v>2150</v>
      </c>
      <c r="NY76" t="s">
        <v>1916</v>
      </c>
    </row>
    <row r="77" spans="4:389" ht="15" customHeight="1" x14ac:dyDescent="0.25">
      <c r="D77" t="s">
        <v>1533</v>
      </c>
      <c r="G77" t="s">
        <v>1964</v>
      </c>
      <c r="K77" t="s">
        <v>1964</v>
      </c>
      <c r="L77" t="s">
        <v>1964</v>
      </c>
      <c r="M77" t="s">
        <v>1964</v>
      </c>
      <c r="N77" t="s">
        <v>1964</v>
      </c>
      <c r="P77" t="s">
        <v>1964</v>
      </c>
      <c r="R77" t="s">
        <v>1964</v>
      </c>
      <c r="S77" t="s">
        <v>1964</v>
      </c>
      <c r="AH77" t="s">
        <v>1964</v>
      </c>
      <c r="AM77" t="s">
        <v>1923</v>
      </c>
      <c r="AO77" t="s">
        <v>1923</v>
      </c>
      <c r="AP77" t="s">
        <v>1923</v>
      </c>
      <c r="AQ77" t="s">
        <v>1964</v>
      </c>
      <c r="AR77" t="s">
        <v>1923</v>
      </c>
      <c r="BZ77" t="s">
        <v>1964</v>
      </c>
      <c r="CA77" t="s">
        <v>1923</v>
      </c>
      <c r="CE77" t="s">
        <v>1964</v>
      </c>
      <c r="CK77" t="s">
        <v>1964</v>
      </c>
      <c r="CL77" t="s">
        <v>1964</v>
      </c>
      <c r="CM77" t="s">
        <v>1964</v>
      </c>
      <c r="CN77" t="s">
        <v>1964</v>
      </c>
      <c r="CO77" t="s">
        <v>1964</v>
      </c>
      <c r="CP77" t="s">
        <v>1923</v>
      </c>
      <c r="CQ77" t="s">
        <v>1964</v>
      </c>
      <c r="CR77" t="s">
        <v>1964</v>
      </c>
      <c r="CU77" t="s">
        <v>1923</v>
      </c>
      <c r="CZ77" t="s">
        <v>1964</v>
      </c>
      <c r="DA77" t="s">
        <v>1964</v>
      </c>
      <c r="DB77" t="s">
        <v>1964</v>
      </c>
      <c r="DC77" t="s">
        <v>1964</v>
      </c>
      <c r="DJ77" t="s">
        <v>1964</v>
      </c>
      <c r="DK77" t="s">
        <v>1964</v>
      </c>
      <c r="DO77" t="s">
        <v>1923</v>
      </c>
      <c r="DP77" t="s">
        <v>1964</v>
      </c>
      <c r="DQ77" t="s">
        <v>1923</v>
      </c>
      <c r="DR77" t="s">
        <v>1964</v>
      </c>
      <c r="DT77" t="s">
        <v>1923</v>
      </c>
      <c r="DU77" t="s">
        <v>1923</v>
      </c>
      <c r="DV77" t="s">
        <v>1923</v>
      </c>
      <c r="EA77" t="s">
        <v>1923</v>
      </c>
      <c r="EB77" t="s">
        <v>1964</v>
      </c>
      <c r="EC77" t="s">
        <v>1964</v>
      </c>
      <c r="EG77" t="s">
        <v>1923</v>
      </c>
      <c r="EH77" t="s">
        <v>1923</v>
      </c>
      <c r="EI77" t="s">
        <v>1923</v>
      </c>
      <c r="EJ77" t="s">
        <v>1964</v>
      </c>
      <c r="EK77" t="s">
        <v>1964</v>
      </c>
      <c r="EL77" t="s">
        <v>1964</v>
      </c>
      <c r="EY77" t="s">
        <v>1964</v>
      </c>
      <c r="FA77" t="s">
        <v>1923</v>
      </c>
      <c r="FB77" t="s">
        <v>1964</v>
      </c>
      <c r="FC77" t="s">
        <v>1964</v>
      </c>
      <c r="FF77" t="s">
        <v>1964</v>
      </c>
      <c r="FG77" t="s">
        <v>1964</v>
      </c>
      <c r="FH77" t="s">
        <v>1964</v>
      </c>
      <c r="FI77" t="s">
        <v>1964</v>
      </c>
      <c r="FY77" t="s">
        <v>1923</v>
      </c>
      <c r="FZ77" t="s">
        <v>1923</v>
      </c>
      <c r="GA77" t="s">
        <v>1964</v>
      </c>
      <c r="HD77" t="s">
        <v>1923</v>
      </c>
      <c r="HF77" t="s">
        <v>1923</v>
      </c>
      <c r="HO77" t="s">
        <v>1923</v>
      </c>
      <c r="HQ77" t="s">
        <v>1923</v>
      </c>
      <c r="HR77" t="s">
        <v>1923</v>
      </c>
      <c r="HS77" t="s">
        <v>1923</v>
      </c>
      <c r="IF77" t="s">
        <v>1923</v>
      </c>
      <c r="IG77" t="s">
        <v>1923</v>
      </c>
      <c r="IH77" t="s">
        <v>1923</v>
      </c>
      <c r="II77" t="s">
        <v>1923</v>
      </c>
      <c r="IJ77" t="s">
        <v>1923</v>
      </c>
      <c r="IO77" t="s">
        <v>1923</v>
      </c>
      <c r="JB77" t="s">
        <v>1923</v>
      </c>
      <c r="JL77" t="s">
        <v>1964</v>
      </c>
      <c r="JT77" t="s">
        <v>1923</v>
      </c>
      <c r="JV77" t="s">
        <v>1923</v>
      </c>
      <c r="JZ77" t="s">
        <v>1964</v>
      </c>
      <c r="KN77" t="s">
        <v>1923</v>
      </c>
      <c r="LG77" t="s">
        <v>1923</v>
      </c>
      <c r="LH77" t="s">
        <v>1964</v>
      </c>
      <c r="LI77" t="s">
        <v>1964</v>
      </c>
      <c r="LK77" t="s">
        <v>1964</v>
      </c>
      <c r="LL77" t="s">
        <v>1964</v>
      </c>
      <c r="LO77" t="s">
        <v>1923</v>
      </c>
      <c r="LP77" t="s">
        <v>1923</v>
      </c>
      <c r="LQ77" t="s">
        <v>1923</v>
      </c>
      <c r="LR77" t="s">
        <v>1923</v>
      </c>
      <c r="LW77" t="s">
        <v>1964</v>
      </c>
      <c r="MD77" t="s">
        <v>1923</v>
      </c>
      <c r="MG77" t="s">
        <v>1964</v>
      </c>
      <c r="MH77" t="s">
        <v>1964</v>
      </c>
      <c r="MI77" t="s">
        <v>1923</v>
      </c>
      <c r="MX77" t="s">
        <v>1923</v>
      </c>
      <c r="MZ77" t="s">
        <v>1923</v>
      </c>
      <c r="NN77" t="s">
        <v>1923</v>
      </c>
      <c r="NR77" t="s">
        <v>1533</v>
      </c>
      <c r="NS77" t="s">
        <v>2151</v>
      </c>
      <c r="NX77" t="s">
        <v>2152</v>
      </c>
      <c r="NY77" t="s">
        <v>1916</v>
      </c>
    </row>
    <row r="78" spans="4:389" ht="15" customHeight="1" x14ac:dyDescent="0.25">
      <c r="D78" t="s">
        <v>1534</v>
      </c>
      <c r="G78" t="s">
        <v>1982</v>
      </c>
      <c r="K78" t="s">
        <v>1982</v>
      </c>
      <c r="L78" t="s">
        <v>1982</v>
      </c>
      <c r="M78" t="s">
        <v>1982</v>
      </c>
      <c r="N78" t="s">
        <v>1982</v>
      </c>
      <c r="P78" t="s">
        <v>1982</v>
      </c>
      <c r="R78" t="s">
        <v>1982</v>
      </c>
      <c r="S78" t="s">
        <v>1982</v>
      </c>
      <c r="AH78" t="s">
        <v>1982</v>
      </c>
      <c r="AM78" t="s">
        <v>1973</v>
      </c>
      <c r="AO78" t="s">
        <v>1973</v>
      </c>
      <c r="AP78" t="s">
        <v>1973</v>
      </c>
      <c r="AQ78" t="s">
        <v>1982</v>
      </c>
      <c r="AR78" t="s">
        <v>1973</v>
      </c>
      <c r="BZ78" t="s">
        <v>1982</v>
      </c>
      <c r="CA78" t="s">
        <v>1973</v>
      </c>
      <c r="CE78" t="s">
        <v>1982</v>
      </c>
      <c r="CK78" t="s">
        <v>1982</v>
      </c>
      <c r="CL78" t="s">
        <v>1982</v>
      </c>
      <c r="CM78" t="s">
        <v>1982</v>
      </c>
      <c r="CN78" t="s">
        <v>1982</v>
      </c>
      <c r="CO78" t="s">
        <v>1982</v>
      </c>
      <c r="CP78" t="s">
        <v>1973</v>
      </c>
      <c r="CQ78" t="s">
        <v>1982</v>
      </c>
      <c r="CR78" t="s">
        <v>1982</v>
      </c>
      <c r="CU78" t="s">
        <v>1973</v>
      </c>
      <c r="CZ78" t="s">
        <v>1982</v>
      </c>
      <c r="DA78" t="s">
        <v>1982</v>
      </c>
      <c r="DB78" t="s">
        <v>1982</v>
      </c>
      <c r="DC78" t="s">
        <v>1982</v>
      </c>
      <c r="DJ78" t="s">
        <v>1982</v>
      </c>
      <c r="DK78" t="s">
        <v>1982</v>
      </c>
      <c r="DO78" t="s">
        <v>1973</v>
      </c>
      <c r="DP78" t="s">
        <v>1982</v>
      </c>
      <c r="DQ78" t="s">
        <v>1973</v>
      </c>
      <c r="DR78" t="s">
        <v>1982</v>
      </c>
      <c r="DT78" t="s">
        <v>1973</v>
      </c>
      <c r="DU78" t="s">
        <v>1973</v>
      </c>
      <c r="DV78" t="s">
        <v>1973</v>
      </c>
      <c r="EA78" t="s">
        <v>1973</v>
      </c>
      <c r="EB78" t="s">
        <v>1982</v>
      </c>
      <c r="EC78" t="s">
        <v>1982</v>
      </c>
      <c r="EG78" t="s">
        <v>1973</v>
      </c>
      <c r="EH78" t="s">
        <v>1973</v>
      </c>
      <c r="EI78" t="s">
        <v>1973</v>
      </c>
      <c r="EJ78" t="s">
        <v>1982</v>
      </c>
      <c r="EK78" t="s">
        <v>1982</v>
      </c>
      <c r="EL78" t="s">
        <v>1982</v>
      </c>
      <c r="EY78" t="s">
        <v>1982</v>
      </c>
      <c r="FA78" t="s">
        <v>1973</v>
      </c>
      <c r="FB78" t="s">
        <v>1982</v>
      </c>
      <c r="FC78" t="s">
        <v>1982</v>
      </c>
      <c r="FF78" t="s">
        <v>1982</v>
      </c>
      <c r="FG78" t="s">
        <v>1982</v>
      </c>
      <c r="FH78" t="s">
        <v>1982</v>
      </c>
      <c r="FI78" t="s">
        <v>1982</v>
      </c>
      <c r="FY78" t="s">
        <v>1973</v>
      </c>
      <c r="FZ78" t="s">
        <v>1973</v>
      </c>
      <c r="GA78" t="s">
        <v>1982</v>
      </c>
      <c r="HD78" t="s">
        <v>1973</v>
      </c>
      <c r="HF78" t="s">
        <v>1973</v>
      </c>
      <c r="HO78" t="s">
        <v>1973</v>
      </c>
      <c r="HQ78" t="s">
        <v>1973</v>
      </c>
      <c r="HR78" t="s">
        <v>1973</v>
      </c>
      <c r="HS78" t="s">
        <v>1973</v>
      </c>
      <c r="IF78" t="s">
        <v>1973</v>
      </c>
      <c r="IG78" t="s">
        <v>1973</v>
      </c>
      <c r="IH78" t="s">
        <v>1973</v>
      </c>
      <c r="II78" t="s">
        <v>1973</v>
      </c>
      <c r="IJ78" t="s">
        <v>1973</v>
      </c>
      <c r="IO78" t="s">
        <v>1973</v>
      </c>
      <c r="JB78" t="s">
        <v>1973</v>
      </c>
      <c r="JL78" t="s">
        <v>1982</v>
      </c>
      <c r="JT78" t="s">
        <v>1973</v>
      </c>
      <c r="JV78" t="s">
        <v>1973</v>
      </c>
      <c r="JZ78" t="s">
        <v>1982</v>
      </c>
      <c r="KN78" t="s">
        <v>1973</v>
      </c>
      <c r="LG78" t="s">
        <v>1973</v>
      </c>
      <c r="LH78" t="s">
        <v>1982</v>
      </c>
      <c r="LI78" t="s">
        <v>1982</v>
      </c>
      <c r="LK78" t="s">
        <v>1982</v>
      </c>
      <c r="LL78" t="s">
        <v>1982</v>
      </c>
      <c r="LO78" t="s">
        <v>1973</v>
      </c>
      <c r="LP78" t="s">
        <v>1973</v>
      </c>
      <c r="LQ78" t="s">
        <v>1973</v>
      </c>
      <c r="LR78" t="s">
        <v>1973</v>
      </c>
      <c r="LW78" t="s">
        <v>1982</v>
      </c>
      <c r="MD78" t="s">
        <v>1973</v>
      </c>
      <c r="MG78" t="s">
        <v>1982</v>
      </c>
      <c r="MH78" t="s">
        <v>1982</v>
      </c>
      <c r="MI78" t="s">
        <v>1973</v>
      </c>
      <c r="MX78" t="s">
        <v>1973</v>
      </c>
      <c r="MZ78" t="s">
        <v>1973</v>
      </c>
      <c r="NN78" t="s">
        <v>1973</v>
      </c>
      <c r="NR78" t="s">
        <v>1534</v>
      </c>
      <c r="NS78" t="s">
        <v>2153</v>
      </c>
      <c r="NX78" t="s">
        <v>2154</v>
      </c>
      <c r="NY78" t="s">
        <v>1916</v>
      </c>
    </row>
    <row r="79" spans="4:389" ht="15" customHeight="1" x14ac:dyDescent="0.25">
      <c r="D79" t="s">
        <v>1535</v>
      </c>
      <c r="G79" t="s">
        <v>1911</v>
      </c>
      <c r="K79" t="s">
        <v>1911</v>
      </c>
      <c r="L79" t="s">
        <v>1911</v>
      </c>
      <c r="M79" t="s">
        <v>1911</v>
      </c>
      <c r="N79" t="s">
        <v>1911</v>
      </c>
      <c r="P79" t="s">
        <v>1911</v>
      </c>
      <c r="R79" t="s">
        <v>1911</v>
      </c>
      <c r="S79" t="s">
        <v>1911</v>
      </c>
      <c r="AH79" t="s">
        <v>1911</v>
      </c>
      <c r="AM79" t="s">
        <v>1964</v>
      </c>
      <c r="AO79" t="s">
        <v>1964</v>
      </c>
      <c r="AP79" t="s">
        <v>1964</v>
      </c>
      <c r="AQ79" t="s">
        <v>1911</v>
      </c>
      <c r="AR79" t="s">
        <v>1964</v>
      </c>
      <c r="BZ79" t="s">
        <v>1911</v>
      </c>
      <c r="CA79" t="s">
        <v>1964</v>
      </c>
      <c r="CE79" t="s">
        <v>1911</v>
      </c>
      <c r="CK79" t="s">
        <v>1911</v>
      </c>
      <c r="CL79" t="s">
        <v>1911</v>
      </c>
      <c r="CM79" t="s">
        <v>1911</v>
      </c>
      <c r="CN79" t="s">
        <v>1911</v>
      </c>
      <c r="CO79" t="s">
        <v>1911</v>
      </c>
      <c r="CP79" t="s">
        <v>1964</v>
      </c>
      <c r="CQ79" t="s">
        <v>1911</v>
      </c>
      <c r="CR79" t="s">
        <v>1911</v>
      </c>
      <c r="CU79" t="s">
        <v>1964</v>
      </c>
      <c r="CZ79" t="s">
        <v>1911</v>
      </c>
      <c r="DA79" t="s">
        <v>1911</v>
      </c>
      <c r="DB79" t="s">
        <v>1911</v>
      </c>
      <c r="DC79" t="s">
        <v>1911</v>
      </c>
      <c r="DJ79" t="s">
        <v>1911</v>
      </c>
      <c r="DK79" t="s">
        <v>1911</v>
      </c>
      <c r="DO79" t="s">
        <v>1964</v>
      </c>
      <c r="DP79" t="s">
        <v>1911</v>
      </c>
      <c r="DQ79" t="s">
        <v>1964</v>
      </c>
      <c r="DR79" t="s">
        <v>1911</v>
      </c>
      <c r="DT79" t="s">
        <v>1964</v>
      </c>
      <c r="DU79" t="s">
        <v>1964</v>
      </c>
      <c r="DV79" t="s">
        <v>1964</v>
      </c>
      <c r="EA79" t="s">
        <v>1964</v>
      </c>
      <c r="EB79" t="s">
        <v>1911</v>
      </c>
      <c r="EC79" t="s">
        <v>1911</v>
      </c>
      <c r="EG79" t="s">
        <v>1964</v>
      </c>
      <c r="EH79" t="s">
        <v>1964</v>
      </c>
      <c r="EI79" t="s">
        <v>1964</v>
      </c>
      <c r="EJ79" t="s">
        <v>1911</v>
      </c>
      <c r="EK79" t="s">
        <v>1911</v>
      </c>
      <c r="EL79" t="s">
        <v>1911</v>
      </c>
      <c r="EY79" t="s">
        <v>1911</v>
      </c>
      <c r="FA79" t="s">
        <v>1964</v>
      </c>
      <c r="FB79" t="s">
        <v>1911</v>
      </c>
      <c r="FC79" t="s">
        <v>1911</v>
      </c>
      <c r="FF79" t="s">
        <v>1911</v>
      </c>
      <c r="FG79" t="s">
        <v>1911</v>
      </c>
      <c r="FH79" t="s">
        <v>1911</v>
      </c>
      <c r="FI79" t="s">
        <v>1911</v>
      </c>
      <c r="FY79" t="s">
        <v>1964</v>
      </c>
      <c r="FZ79" t="s">
        <v>1964</v>
      </c>
      <c r="GA79" t="s">
        <v>1911</v>
      </c>
      <c r="HD79" t="s">
        <v>1964</v>
      </c>
      <c r="HF79" t="s">
        <v>1964</v>
      </c>
      <c r="HO79" t="s">
        <v>1964</v>
      </c>
      <c r="HQ79" t="s">
        <v>1964</v>
      </c>
      <c r="HR79" t="s">
        <v>1964</v>
      </c>
      <c r="HS79" t="s">
        <v>1964</v>
      </c>
      <c r="IF79" t="s">
        <v>1964</v>
      </c>
      <c r="IG79" t="s">
        <v>1964</v>
      </c>
      <c r="IH79" t="s">
        <v>1964</v>
      </c>
      <c r="II79" t="s">
        <v>1964</v>
      </c>
      <c r="IJ79" t="s">
        <v>1964</v>
      </c>
      <c r="IO79" t="s">
        <v>1964</v>
      </c>
      <c r="JB79" t="s">
        <v>1964</v>
      </c>
      <c r="JL79" t="s">
        <v>1911</v>
      </c>
      <c r="JT79" t="s">
        <v>1964</v>
      </c>
      <c r="JV79" t="s">
        <v>1964</v>
      </c>
      <c r="JZ79" t="s">
        <v>1911</v>
      </c>
      <c r="KN79" t="s">
        <v>1964</v>
      </c>
      <c r="LG79" t="s">
        <v>1964</v>
      </c>
      <c r="LH79" t="s">
        <v>1911</v>
      </c>
      <c r="LI79" t="s">
        <v>1911</v>
      </c>
      <c r="LK79" t="s">
        <v>1911</v>
      </c>
      <c r="LL79" t="s">
        <v>1911</v>
      </c>
      <c r="LO79" t="s">
        <v>1964</v>
      </c>
      <c r="LP79" t="s">
        <v>1964</v>
      </c>
      <c r="LQ79" t="s">
        <v>1964</v>
      </c>
      <c r="LR79" t="s">
        <v>1964</v>
      </c>
      <c r="LW79" t="s">
        <v>1911</v>
      </c>
      <c r="MD79" t="s">
        <v>1964</v>
      </c>
      <c r="MG79" t="s">
        <v>1911</v>
      </c>
      <c r="MH79" t="s">
        <v>1911</v>
      </c>
      <c r="MI79" t="s">
        <v>1964</v>
      </c>
      <c r="MX79" t="s">
        <v>1964</v>
      </c>
      <c r="MZ79" t="s">
        <v>1964</v>
      </c>
      <c r="NN79" t="s">
        <v>1964</v>
      </c>
      <c r="NR79" t="s">
        <v>1535</v>
      </c>
      <c r="NS79" t="s">
        <v>2155</v>
      </c>
      <c r="NX79" t="s">
        <v>2156</v>
      </c>
      <c r="NY79" t="s">
        <v>1916</v>
      </c>
    </row>
    <row r="80" spans="4:389" ht="15" customHeight="1" x14ac:dyDescent="0.25">
      <c r="D80" t="s">
        <v>1536</v>
      </c>
      <c r="G80" t="s">
        <v>1990</v>
      </c>
      <c r="K80" t="s">
        <v>1990</v>
      </c>
      <c r="L80" t="s">
        <v>1990</v>
      </c>
      <c r="M80" t="s">
        <v>1990</v>
      </c>
      <c r="N80" t="s">
        <v>1990</v>
      </c>
      <c r="P80" t="s">
        <v>1990</v>
      </c>
      <c r="R80" t="s">
        <v>1990</v>
      </c>
      <c r="S80" t="s">
        <v>1990</v>
      </c>
      <c r="AH80" t="s">
        <v>1990</v>
      </c>
      <c r="AM80" t="s">
        <v>1982</v>
      </c>
      <c r="AO80" t="s">
        <v>1982</v>
      </c>
      <c r="AP80" t="s">
        <v>1982</v>
      </c>
      <c r="AQ80" t="s">
        <v>1990</v>
      </c>
      <c r="AR80" t="s">
        <v>1982</v>
      </c>
      <c r="BZ80" t="s">
        <v>1990</v>
      </c>
      <c r="CA80" t="s">
        <v>1982</v>
      </c>
      <c r="CE80" t="s">
        <v>1990</v>
      </c>
      <c r="CK80" t="s">
        <v>1990</v>
      </c>
      <c r="CL80" t="s">
        <v>1990</v>
      </c>
      <c r="CM80" t="s">
        <v>1990</v>
      </c>
      <c r="CN80" t="s">
        <v>1990</v>
      </c>
      <c r="CO80" t="s">
        <v>1990</v>
      </c>
      <c r="CP80" t="s">
        <v>1982</v>
      </c>
      <c r="CQ80" t="s">
        <v>1990</v>
      </c>
      <c r="CR80" t="s">
        <v>1990</v>
      </c>
      <c r="CU80" t="s">
        <v>1982</v>
      </c>
      <c r="CZ80" t="s">
        <v>1990</v>
      </c>
      <c r="DA80" t="s">
        <v>1990</v>
      </c>
      <c r="DB80" t="s">
        <v>1990</v>
      </c>
      <c r="DC80" t="s">
        <v>1990</v>
      </c>
      <c r="DJ80" t="s">
        <v>1990</v>
      </c>
      <c r="DK80" t="s">
        <v>1990</v>
      </c>
      <c r="DO80" t="s">
        <v>1982</v>
      </c>
      <c r="DP80" t="s">
        <v>1990</v>
      </c>
      <c r="DQ80" t="s">
        <v>1982</v>
      </c>
      <c r="DR80" t="s">
        <v>1990</v>
      </c>
      <c r="DT80" t="s">
        <v>1982</v>
      </c>
      <c r="DU80" t="s">
        <v>1982</v>
      </c>
      <c r="DV80" t="s">
        <v>1982</v>
      </c>
      <c r="EA80" t="s">
        <v>1982</v>
      </c>
      <c r="EB80" t="s">
        <v>1990</v>
      </c>
      <c r="EC80" t="s">
        <v>1990</v>
      </c>
      <c r="EG80" t="s">
        <v>1982</v>
      </c>
      <c r="EH80" t="s">
        <v>1982</v>
      </c>
      <c r="EI80" t="s">
        <v>1982</v>
      </c>
      <c r="EJ80" t="s">
        <v>1990</v>
      </c>
      <c r="EK80" t="s">
        <v>1990</v>
      </c>
      <c r="EL80" t="s">
        <v>1990</v>
      </c>
      <c r="EY80" t="s">
        <v>1990</v>
      </c>
      <c r="FA80" t="s">
        <v>1982</v>
      </c>
      <c r="FB80" t="s">
        <v>1990</v>
      </c>
      <c r="FC80" t="s">
        <v>1990</v>
      </c>
      <c r="FF80" t="s">
        <v>1990</v>
      </c>
      <c r="FG80" t="s">
        <v>1990</v>
      </c>
      <c r="FH80" t="s">
        <v>1990</v>
      </c>
      <c r="FI80" t="s">
        <v>1990</v>
      </c>
      <c r="FY80" t="s">
        <v>1982</v>
      </c>
      <c r="FZ80" t="s">
        <v>1982</v>
      </c>
      <c r="GA80" t="s">
        <v>1990</v>
      </c>
      <c r="HD80" t="s">
        <v>1982</v>
      </c>
      <c r="HF80" t="s">
        <v>1982</v>
      </c>
      <c r="HO80" t="s">
        <v>1982</v>
      </c>
      <c r="HQ80" t="s">
        <v>1982</v>
      </c>
      <c r="HR80" t="s">
        <v>1982</v>
      </c>
      <c r="HS80" t="s">
        <v>1982</v>
      </c>
      <c r="IF80" t="s">
        <v>1982</v>
      </c>
      <c r="IG80" t="s">
        <v>1982</v>
      </c>
      <c r="IH80" t="s">
        <v>1982</v>
      </c>
      <c r="II80" t="s">
        <v>1982</v>
      </c>
      <c r="IJ80" t="s">
        <v>1982</v>
      </c>
      <c r="IO80" t="s">
        <v>1982</v>
      </c>
      <c r="JB80" t="s">
        <v>1982</v>
      </c>
      <c r="JL80" t="s">
        <v>1990</v>
      </c>
      <c r="JT80" t="s">
        <v>1982</v>
      </c>
      <c r="JV80" t="s">
        <v>1982</v>
      </c>
      <c r="JZ80" t="s">
        <v>1990</v>
      </c>
      <c r="KN80" t="s">
        <v>1982</v>
      </c>
      <c r="LG80" t="s">
        <v>1982</v>
      </c>
      <c r="LH80" t="s">
        <v>1990</v>
      </c>
      <c r="LI80" t="s">
        <v>1990</v>
      </c>
      <c r="LK80" t="s">
        <v>1990</v>
      </c>
      <c r="LL80" t="s">
        <v>1990</v>
      </c>
      <c r="LO80" t="s">
        <v>1982</v>
      </c>
      <c r="LP80" t="s">
        <v>1982</v>
      </c>
      <c r="LQ80" t="s">
        <v>1982</v>
      </c>
      <c r="LR80" t="s">
        <v>1982</v>
      </c>
      <c r="LW80" t="s">
        <v>1990</v>
      </c>
      <c r="MD80" t="s">
        <v>1982</v>
      </c>
      <c r="MG80" t="s">
        <v>1990</v>
      </c>
      <c r="MH80" t="s">
        <v>1990</v>
      </c>
      <c r="MI80" t="s">
        <v>1982</v>
      </c>
      <c r="MX80" t="s">
        <v>1982</v>
      </c>
      <c r="MZ80" t="s">
        <v>1982</v>
      </c>
      <c r="NN80" t="s">
        <v>1982</v>
      </c>
      <c r="NR80" t="s">
        <v>1536</v>
      </c>
      <c r="NS80" t="s">
        <v>2157</v>
      </c>
      <c r="NX80" t="s">
        <v>2158</v>
      </c>
      <c r="NY80" t="s">
        <v>1916</v>
      </c>
    </row>
    <row r="81" spans="4:389" ht="15" customHeight="1" x14ac:dyDescent="0.25">
      <c r="D81" t="s">
        <v>1537</v>
      </c>
      <c r="G81" t="s">
        <v>1888</v>
      </c>
      <c r="K81" t="s">
        <v>1888</v>
      </c>
      <c r="L81" t="s">
        <v>1888</v>
      </c>
      <c r="M81" t="s">
        <v>1888</v>
      </c>
      <c r="N81" t="s">
        <v>1888</v>
      </c>
      <c r="P81" t="s">
        <v>1888</v>
      </c>
      <c r="R81" t="s">
        <v>1888</v>
      </c>
      <c r="S81" t="s">
        <v>1888</v>
      </c>
      <c r="AH81" t="s">
        <v>1888</v>
      </c>
      <c r="AM81" t="s">
        <v>1911</v>
      </c>
      <c r="AO81" t="s">
        <v>1911</v>
      </c>
      <c r="AP81" t="s">
        <v>1911</v>
      </c>
      <c r="AQ81" t="s">
        <v>1888</v>
      </c>
      <c r="AR81" t="s">
        <v>1911</v>
      </c>
      <c r="BZ81" t="s">
        <v>1888</v>
      </c>
      <c r="CA81" t="s">
        <v>1911</v>
      </c>
      <c r="CE81" t="s">
        <v>1888</v>
      </c>
      <c r="CK81" t="s">
        <v>1888</v>
      </c>
      <c r="CL81" t="s">
        <v>1888</v>
      </c>
      <c r="CM81" t="s">
        <v>1888</v>
      </c>
      <c r="CN81" t="s">
        <v>1888</v>
      </c>
      <c r="CO81" t="s">
        <v>1888</v>
      </c>
      <c r="CP81" t="s">
        <v>1911</v>
      </c>
      <c r="CQ81" t="s">
        <v>1888</v>
      </c>
      <c r="CR81" t="s">
        <v>1888</v>
      </c>
      <c r="CU81" t="s">
        <v>1911</v>
      </c>
      <c r="CZ81" t="s">
        <v>1888</v>
      </c>
      <c r="DA81" t="s">
        <v>1888</v>
      </c>
      <c r="DB81" t="s">
        <v>1888</v>
      </c>
      <c r="DC81" t="s">
        <v>1888</v>
      </c>
      <c r="DJ81" t="s">
        <v>1888</v>
      </c>
      <c r="DK81" t="s">
        <v>1888</v>
      </c>
      <c r="DO81" t="s">
        <v>1911</v>
      </c>
      <c r="DP81" t="s">
        <v>1888</v>
      </c>
      <c r="DQ81" t="s">
        <v>1911</v>
      </c>
      <c r="DR81" t="s">
        <v>1888</v>
      </c>
      <c r="DT81" t="s">
        <v>1911</v>
      </c>
      <c r="DU81" t="s">
        <v>1911</v>
      </c>
      <c r="DV81" t="s">
        <v>1911</v>
      </c>
      <c r="EA81" t="s">
        <v>1911</v>
      </c>
      <c r="EB81" t="s">
        <v>1888</v>
      </c>
      <c r="EC81" t="s">
        <v>1888</v>
      </c>
      <c r="EG81" t="s">
        <v>1911</v>
      </c>
      <c r="EH81" t="s">
        <v>1911</v>
      </c>
      <c r="EI81" t="s">
        <v>1911</v>
      </c>
      <c r="EJ81" t="s">
        <v>1888</v>
      </c>
      <c r="EK81" t="s">
        <v>1888</v>
      </c>
      <c r="EL81" t="s">
        <v>1888</v>
      </c>
      <c r="EY81" t="s">
        <v>1888</v>
      </c>
      <c r="FA81" t="s">
        <v>1911</v>
      </c>
      <c r="FB81" t="s">
        <v>1888</v>
      </c>
      <c r="FC81" t="s">
        <v>1888</v>
      </c>
      <c r="FF81" t="s">
        <v>1888</v>
      </c>
      <c r="FG81" t="s">
        <v>1888</v>
      </c>
      <c r="FH81" t="s">
        <v>1888</v>
      </c>
      <c r="FI81" t="s">
        <v>1888</v>
      </c>
      <c r="FY81" t="s">
        <v>1911</v>
      </c>
      <c r="FZ81" t="s">
        <v>1911</v>
      </c>
      <c r="GA81" t="s">
        <v>1888</v>
      </c>
      <c r="HD81" t="s">
        <v>1911</v>
      </c>
      <c r="HF81" t="s">
        <v>1911</v>
      </c>
      <c r="HO81" t="s">
        <v>1911</v>
      </c>
      <c r="HQ81" t="s">
        <v>1911</v>
      </c>
      <c r="HR81" t="s">
        <v>1911</v>
      </c>
      <c r="HS81" t="s">
        <v>1911</v>
      </c>
      <c r="IF81" t="s">
        <v>1911</v>
      </c>
      <c r="IG81" t="s">
        <v>1911</v>
      </c>
      <c r="IH81" t="s">
        <v>1911</v>
      </c>
      <c r="II81" t="s">
        <v>1911</v>
      </c>
      <c r="IJ81" t="s">
        <v>1911</v>
      </c>
      <c r="IO81" t="s">
        <v>1911</v>
      </c>
      <c r="JB81" t="s">
        <v>1911</v>
      </c>
      <c r="JL81" t="s">
        <v>1888</v>
      </c>
      <c r="JT81" t="s">
        <v>1911</v>
      </c>
      <c r="JV81" t="s">
        <v>1911</v>
      </c>
      <c r="JZ81" t="s">
        <v>1888</v>
      </c>
      <c r="KN81" t="s">
        <v>1911</v>
      </c>
      <c r="LG81" t="s">
        <v>1911</v>
      </c>
      <c r="LH81" t="s">
        <v>1888</v>
      </c>
      <c r="LI81" t="s">
        <v>1888</v>
      </c>
      <c r="LK81" t="s">
        <v>1888</v>
      </c>
      <c r="LL81" t="s">
        <v>1888</v>
      </c>
      <c r="LO81" t="s">
        <v>1911</v>
      </c>
      <c r="LP81" t="s">
        <v>1911</v>
      </c>
      <c r="LQ81" t="s">
        <v>1911</v>
      </c>
      <c r="LR81" t="s">
        <v>1911</v>
      </c>
      <c r="LW81" t="s">
        <v>1888</v>
      </c>
      <c r="MD81" t="s">
        <v>1911</v>
      </c>
      <c r="MG81" t="s">
        <v>1888</v>
      </c>
      <c r="MH81" t="s">
        <v>1888</v>
      </c>
      <c r="MI81" t="s">
        <v>1911</v>
      </c>
      <c r="MX81" t="s">
        <v>1911</v>
      </c>
      <c r="MZ81" t="s">
        <v>1911</v>
      </c>
      <c r="NN81" t="s">
        <v>1911</v>
      </c>
      <c r="NR81" t="s">
        <v>1537</v>
      </c>
      <c r="NS81" t="s">
        <v>2159</v>
      </c>
      <c r="NX81" t="s">
        <v>2160</v>
      </c>
      <c r="NY81" t="s">
        <v>1923</v>
      </c>
    </row>
    <row r="82" spans="4:389" ht="15" customHeight="1" x14ac:dyDescent="0.25">
      <c r="D82" t="s">
        <v>1538</v>
      </c>
      <c r="G82" t="s">
        <v>1851</v>
      </c>
      <c r="K82" t="s">
        <v>1851</v>
      </c>
      <c r="L82" t="s">
        <v>1851</v>
      </c>
      <c r="M82" t="s">
        <v>1851</v>
      </c>
      <c r="N82" t="s">
        <v>1851</v>
      </c>
      <c r="P82" t="s">
        <v>1851</v>
      </c>
      <c r="R82" t="s">
        <v>1851</v>
      </c>
      <c r="S82" t="s">
        <v>1851</v>
      </c>
      <c r="AH82" t="s">
        <v>1851</v>
      </c>
      <c r="AM82" t="s">
        <v>1990</v>
      </c>
      <c r="AO82" t="s">
        <v>1990</v>
      </c>
      <c r="AP82" t="s">
        <v>1990</v>
      </c>
      <c r="AQ82" t="s">
        <v>1851</v>
      </c>
      <c r="AR82" t="s">
        <v>1990</v>
      </c>
      <c r="BZ82" t="s">
        <v>1851</v>
      </c>
      <c r="CA82" t="s">
        <v>1990</v>
      </c>
      <c r="CE82" t="s">
        <v>1851</v>
      </c>
      <c r="CK82" t="s">
        <v>1851</v>
      </c>
      <c r="CL82" t="s">
        <v>1851</v>
      </c>
      <c r="CM82" t="s">
        <v>1851</v>
      </c>
      <c r="CN82" t="s">
        <v>1851</v>
      </c>
      <c r="CO82" t="s">
        <v>1851</v>
      </c>
      <c r="CP82" t="s">
        <v>1990</v>
      </c>
      <c r="CQ82" t="s">
        <v>1851</v>
      </c>
      <c r="CR82" t="s">
        <v>1851</v>
      </c>
      <c r="CU82" t="s">
        <v>1990</v>
      </c>
      <c r="CZ82" t="s">
        <v>1851</v>
      </c>
      <c r="DA82" t="s">
        <v>1851</v>
      </c>
      <c r="DB82" t="s">
        <v>1851</v>
      </c>
      <c r="DC82" t="s">
        <v>1851</v>
      </c>
      <c r="DJ82" t="s">
        <v>1851</v>
      </c>
      <c r="DK82" t="s">
        <v>1851</v>
      </c>
      <c r="DO82" t="s">
        <v>1990</v>
      </c>
      <c r="DP82" t="s">
        <v>1851</v>
      </c>
      <c r="DQ82" t="s">
        <v>1990</v>
      </c>
      <c r="DR82" t="s">
        <v>1851</v>
      </c>
      <c r="DT82" t="s">
        <v>1990</v>
      </c>
      <c r="DU82" t="s">
        <v>1990</v>
      </c>
      <c r="DV82" t="s">
        <v>1990</v>
      </c>
      <c r="EA82" t="s">
        <v>1990</v>
      </c>
      <c r="EB82" t="s">
        <v>1851</v>
      </c>
      <c r="EC82" t="s">
        <v>1851</v>
      </c>
      <c r="EG82" t="s">
        <v>1990</v>
      </c>
      <c r="EH82" t="s">
        <v>1990</v>
      </c>
      <c r="EI82" t="s">
        <v>1990</v>
      </c>
      <c r="EJ82" t="s">
        <v>1851</v>
      </c>
      <c r="EK82" t="s">
        <v>1851</v>
      </c>
      <c r="EL82" t="s">
        <v>1851</v>
      </c>
      <c r="EY82" t="s">
        <v>1851</v>
      </c>
      <c r="FA82" t="s">
        <v>1990</v>
      </c>
      <c r="FB82" t="s">
        <v>1851</v>
      </c>
      <c r="FC82" t="s">
        <v>1851</v>
      </c>
      <c r="FF82" t="s">
        <v>1851</v>
      </c>
      <c r="FG82" t="s">
        <v>1851</v>
      </c>
      <c r="FH82" t="s">
        <v>1851</v>
      </c>
      <c r="FI82" t="s">
        <v>1851</v>
      </c>
      <c r="FY82" t="s">
        <v>1990</v>
      </c>
      <c r="FZ82" t="s">
        <v>1990</v>
      </c>
      <c r="GA82" t="s">
        <v>1851</v>
      </c>
      <c r="HD82" t="s">
        <v>1990</v>
      </c>
      <c r="HF82" t="s">
        <v>1990</v>
      </c>
      <c r="HO82" t="s">
        <v>1990</v>
      </c>
      <c r="HQ82" t="s">
        <v>1990</v>
      </c>
      <c r="HR82" t="s">
        <v>1990</v>
      </c>
      <c r="HS82" t="s">
        <v>1990</v>
      </c>
      <c r="IF82" t="s">
        <v>1990</v>
      </c>
      <c r="IG82" t="s">
        <v>1990</v>
      </c>
      <c r="IH82" t="s">
        <v>1990</v>
      </c>
      <c r="II82" t="s">
        <v>1990</v>
      </c>
      <c r="IJ82" t="s">
        <v>1990</v>
      </c>
      <c r="IO82" t="s">
        <v>1990</v>
      </c>
      <c r="JB82" t="s">
        <v>1990</v>
      </c>
      <c r="JL82" t="s">
        <v>1851</v>
      </c>
      <c r="JT82" t="s">
        <v>1990</v>
      </c>
      <c r="JV82" t="s">
        <v>1990</v>
      </c>
      <c r="JZ82" t="s">
        <v>1851</v>
      </c>
      <c r="KN82" t="s">
        <v>1990</v>
      </c>
      <c r="LG82" t="s">
        <v>1990</v>
      </c>
      <c r="LH82" t="s">
        <v>1851</v>
      </c>
      <c r="LI82" t="s">
        <v>1851</v>
      </c>
      <c r="LK82" t="s">
        <v>1851</v>
      </c>
      <c r="LL82" t="s">
        <v>1851</v>
      </c>
      <c r="LO82" t="s">
        <v>1990</v>
      </c>
      <c r="LP82" t="s">
        <v>1990</v>
      </c>
      <c r="LQ82" t="s">
        <v>1990</v>
      </c>
      <c r="LR82" t="s">
        <v>1990</v>
      </c>
      <c r="LW82" t="s">
        <v>1851</v>
      </c>
      <c r="MD82" t="s">
        <v>1990</v>
      </c>
      <c r="MG82" t="s">
        <v>1851</v>
      </c>
      <c r="MH82" t="s">
        <v>1851</v>
      </c>
      <c r="MI82" t="s">
        <v>1990</v>
      </c>
      <c r="MX82" t="s">
        <v>1990</v>
      </c>
      <c r="MZ82" t="s">
        <v>1990</v>
      </c>
      <c r="NN82" t="s">
        <v>1990</v>
      </c>
      <c r="NR82" t="s">
        <v>1538</v>
      </c>
      <c r="NS82" t="s">
        <v>2161</v>
      </c>
      <c r="NX82" t="s">
        <v>2162</v>
      </c>
      <c r="NY82" t="s">
        <v>1923</v>
      </c>
    </row>
    <row r="83" spans="4:389" ht="15" customHeight="1" x14ac:dyDescent="0.25">
      <c r="D83" t="s">
        <v>1539</v>
      </c>
      <c r="G83" t="s">
        <v>2010</v>
      </c>
      <c r="K83" t="s">
        <v>2010</v>
      </c>
      <c r="L83" t="s">
        <v>2010</v>
      </c>
      <c r="M83" t="s">
        <v>2010</v>
      </c>
      <c r="N83" t="s">
        <v>2010</v>
      </c>
      <c r="P83" t="s">
        <v>2010</v>
      </c>
      <c r="R83" t="s">
        <v>2010</v>
      </c>
      <c r="S83" t="s">
        <v>2010</v>
      </c>
      <c r="AH83" t="s">
        <v>2010</v>
      </c>
      <c r="AM83" t="s">
        <v>1888</v>
      </c>
      <c r="AO83" t="s">
        <v>1888</v>
      </c>
      <c r="AP83" t="s">
        <v>1888</v>
      </c>
      <c r="AQ83" t="s">
        <v>2010</v>
      </c>
      <c r="AR83" t="s">
        <v>1888</v>
      </c>
      <c r="BZ83" t="s">
        <v>2010</v>
      </c>
      <c r="CA83" t="s">
        <v>1888</v>
      </c>
      <c r="CE83" t="s">
        <v>2010</v>
      </c>
      <c r="CK83" t="s">
        <v>2010</v>
      </c>
      <c r="CL83" t="s">
        <v>2010</v>
      </c>
      <c r="CM83" t="s">
        <v>2010</v>
      </c>
      <c r="CN83" t="s">
        <v>2010</v>
      </c>
      <c r="CO83" t="s">
        <v>2010</v>
      </c>
      <c r="CP83" t="s">
        <v>1888</v>
      </c>
      <c r="CQ83" t="s">
        <v>2010</v>
      </c>
      <c r="CR83" t="s">
        <v>2010</v>
      </c>
      <c r="CU83" t="s">
        <v>1888</v>
      </c>
      <c r="CZ83" t="s">
        <v>2010</v>
      </c>
      <c r="DA83" t="s">
        <v>2010</v>
      </c>
      <c r="DB83" t="s">
        <v>2010</v>
      </c>
      <c r="DC83" t="s">
        <v>2010</v>
      </c>
      <c r="DJ83" t="s">
        <v>2010</v>
      </c>
      <c r="DK83" t="s">
        <v>2010</v>
      </c>
      <c r="DO83" t="s">
        <v>1888</v>
      </c>
      <c r="DP83" t="s">
        <v>2010</v>
      </c>
      <c r="DQ83" t="s">
        <v>1888</v>
      </c>
      <c r="DR83" t="s">
        <v>2010</v>
      </c>
      <c r="DT83" t="s">
        <v>1888</v>
      </c>
      <c r="DU83" t="s">
        <v>1888</v>
      </c>
      <c r="DV83" t="s">
        <v>1888</v>
      </c>
      <c r="EA83" t="s">
        <v>1888</v>
      </c>
      <c r="EB83" t="s">
        <v>2010</v>
      </c>
      <c r="EC83" t="s">
        <v>2010</v>
      </c>
      <c r="EG83" t="s">
        <v>1888</v>
      </c>
      <c r="EH83" t="s">
        <v>1888</v>
      </c>
      <c r="EI83" t="s">
        <v>1888</v>
      </c>
      <c r="EJ83" t="s">
        <v>2010</v>
      </c>
      <c r="EK83" t="s">
        <v>2010</v>
      </c>
      <c r="EL83" t="s">
        <v>2010</v>
      </c>
      <c r="EY83" t="s">
        <v>2010</v>
      </c>
      <c r="FA83" t="s">
        <v>1888</v>
      </c>
      <c r="FB83" t="s">
        <v>2010</v>
      </c>
      <c r="FC83" t="s">
        <v>2010</v>
      </c>
      <c r="FF83" t="s">
        <v>2010</v>
      </c>
      <c r="FG83" t="s">
        <v>2010</v>
      </c>
      <c r="FH83" t="s">
        <v>2010</v>
      </c>
      <c r="FI83" t="s">
        <v>2010</v>
      </c>
      <c r="FY83" t="s">
        <v>1888</v>
      </c>
      <c r="FZ83" t="s">
        <v>1888</v>
      </c>
      <c r="GA83" t="s">
        <v>2010</v>
      </c>
      <c r="HD83" t="s">
        <v>1888</v>
      </c>
      <c r="HF83" t="s">
        <v>1888</v>
      </c>
      <c r="HO83" t="s">
        <v>1888</v>
      </c>
      <c r="HQ83" t="s">
        <v>1888</v>
      </c>
      <c r="HR83" t="s">
        <v>1888</v>
      </c>
      <c r="HS83" t="s">
        <v>1888</v>
      </c>
      <c r="IF83" t="s">
        <v>1888</v>
      </c>
      <c r="IG83" t="s">
        <v>1888</v>
      </c>
      <c r="IH83" t="s">
        <v>1888</v>
      </c>
      <c r="II83" t="s">
        <v>1888</v>
      </c>
      <c r="IJ83" t="s">
        <v>1888</v>
      </c>
      <c r="IO83" t="s">
        <v>1888</v>
      </c>
      <c r="JB83" t="s">
        <v>1888</v>
      </c>
      <c r="JL83" t="s">
        <v>2010</v>
      </c>
      <c r="JT83" t="s">
        <v>1888</v>
      </c>
      <c r="JV83" t="s">
        <v>1888</v>
      </c>
      <c r="JZ83" t="s">
        <v>2010</v>
      </c>
      <c r="KN83" t="s">
        <v>1888</v>
      </c>
      <c r="LG83" t="s">
        <v>1888</v>
      </c>
      <c r="LH83" t="s">
        <v>2010</v>
      </c>
      <c r="LI83" t="s">
        <v>2010</v>
      </c>
      <c r="LK83" t="s">
        <v>2010</v>
      </c>
      <c r="LL83" t="s">
        <v>2010</v>
      </c>
      <c r="LO83" t="s">
        <v>1888</v>
      </c>
      <c r="LP83" t="s">
        <v>1888</v>
      </c>
      <c r="LQ83" t="s">
        <v>1888</v>
      </c>
      <c r="LR83" t="s">
        <v>1888</v>
      </c>
      <c r="LW83" t="s">
        <v>2010</v>
      </c>
      <c r="MD83" t="s">
        <v>1888</v>
      </c>
      <c r="MG83" t="s">
        <v>2010</v>
      </c>
      <c r="MH83" t="s">
        <v>2010</v>
      </c>
      <c r="MI83" t="s">
        <v>1888</v>
      </c>
      <c r="MX83" t="s">
        <v>1888</v>
      </c>
      <c r="MZ83" t="s">
        <v>1888</v>
      </c>
      <c r="NN83" t="s">
        <v>1888</v>
      </c>
      <c r="NR83" t="s">
        <v>1539</v>
      </c>
      <c r="NS83" t="s">
        <v>2163</v>
      </c>
      <c r="NX83" t="s">
        <v>2164</v>
      </c>
      <c r="NY83" t="s">
        <v>1923</v>
      </c>
    </row>
    <row r="84" spans="4:389" ht="15" customHeight="1" x14ac:dyDescent="0.25">
      <c r="D84" t="s">
        <v>1540</v>
      </c>
      <c r="G84" t="s">
        <v>1998</v>
      </c>
      <c r="K84" t="s">
        <v>1998</v>
      </c>
      <c r="L84" t="s">
        <v>1998</v>
      </c>
      <c r="M84" t="s">
        <v>1998</v>
      </c>
      <c r="N84" t="s">
        <v>1998</v>
      </c>
      <c r="P84" t="s">
        <v>1998</v>
      </c>
      <c r="R84" t="s">
        <v>1998</v>
      </c>
      <c r="S84" t="s">
        <v>1998</v>
      </c>
      <c r="AH84" t="s">
        <v>1998</v>
      </c>
      <c r="AM84" t="s">
        <v>1851</v>
      </c>
      <c r="AO84" t="s">
        <v>1851</v>
      </c>
      <c r="AP84" t="s">
        <v>1851</v>
      </c>
      <c r="AQ84" t="s">
        <v>1998</v>
      </c>
      <c r="AR84" t="s">
        <v>1851</v>
      </c>
      <c r="BZ84" t="s">
        <v>1998</v>
      </c>
      <c r="CA84" t="s">
        <v>1851</v>
      </c>
      <c r="CE84" t="s">
        <v>1998</v>
      </c>
      <c r="CK84" t="s">
        <v>1998</v>
      </c>
      <c r="CL84" t="s">
        <v>1998</v>
      </c>
      <c r="CM84" t="s">
        <v>1998</v>
      </c>
      <c r="CN84" t="s">
        <v>1998</v>
      </c>
      <c r="CO84" t="s">
        <v>1998</v>
      </c>
      <c r="CP84" t="s">
        <v>1851</v>
      </c>
      <c r="CQ84" t="s">
        <v>1998</v>
      </c>
      <c r="CR84" t="s">
        <v>1998</v>
      </c>
      <c r="CU84" t="s">
        <v>1851</v>
      </c>
      <c r="CZ84" t="s">
        <v>1998</v>
      </c>
      <c r="DA84" t="s">
        <v>1998</v>
      </c>
      <c r="DB84" t="s">
        <v>1998</v>
      </c>
      <c r="DC84" t="s">
        <v>1998</v>
      </c>
      <c r="DJ84" t="s">
        <v>1998</v>
      </c>
      <c r="DK84" t="s">
        <v>1998</v>
      </c>
      <c r="DO84" t="s">
        <v>1851</v>
      </c>
      <c r="DP84" t="s">
        <v>1998</v>
      </c>
      <c r="DQ84" t="s">
        <v>1851</v>
      </c>
      <c r="DR84" t="s">
        <v>1998</v>
      </c>
      <c r="DT84" t="s">
        <v>1851</v>
      </c>
      <c r="DU84" t="s">
        <v>1851</v>
      </c>
      <c r="DV84" t="s">
        <v>1851</v>
      </c>
      <c r="EA84" t="s">
        <v>1851</v>
      </c>
      <c r="EB84" t="s">
        <v>1998</v>
      </c>
      <c r="EC84" t="s">
        <v>1998</v>
      </c>
      <c r="EG84" t="s">
        <v>1851</v>
      </c>
      <c r="EH84" t="s">
        <v>1851</v>
      </c>
      <c r="EI84" t="s">
        <v>1851</v>
      </c>
      <c r="EJ84" t="s">
        <v>1998</v>
      </c>
      <c r="EK84" t="s">
        <v>1998</v>
      </c>
      <c r="EL84" t="s">
        <v>1998</v>
      </c>
      <c r="EY84" t="s">
        <v>1998</v>
      </c>
      <c r="FA84" t="s">
        <v>1851</v>
      </c>
      <c r="FB84" t="s">
        <v>1998</v>
      </c>
      <c r="FC84" t="s">
        <v>1998</v>
      </c>
      <c r="FF84" t="s">
        <v>1998</v>
      </c>
      <c r="FG84" t="s">
        <v>1998</v>
      </c>
      <c r="FH84" t="s">
        <v>1998</v>
      </c>
      <c r="FI84" t="s">
        <v>1998</v>
      </c>
      <c r="FY84" t="s">
        <v>1851</v>
      </c>
      <c r="FZ84" t="s">
        <v>1851</v>
      </c>
      <c r="GA84" t="s">
        <v>1998</v>
      </c>
      <c r="HD84" t="s">
        <v>1851</v>
      </c>
      <c r="HF84" t="s">
        <v>1851</v>
      </c>
      <c r="HO84" t="s">
        <v>1851</v>
      </c>
      <c r="HQ84" t="s">
        <v>1851</v>
      </c>
      <c r="HR84" t="s">
        <v>1851</v>
      </c>
      <c r="HS84" t="s">
        <v>1851</v>
      </c>
      <c r="IF84" t="s">
        <v>1851</v>
      </c>
      <c r="IG84" t="s">
        <v>1851</v>
      </c>
      <c r="IH84" t="s">
        <v>1851</v>
      </c>
      <c r="II84" t="s">
        <v>1851</v>
      </c>
      <c r="IJ84" t="s">
        <v>1851</v>
      </c>
      <c r="IO84" t="s">
        <v>1851</v>
      </c>
      <c r="JB84" t="s">
        <v>1851</v>
      </c>
      <c r="JL84" t="s">
        <v>1998</v>
      </c>
      <c r="JT84" t="s">
        <v>1851</v>
      </c>
      <c r="JV84" t="s">
        <v>1851</v>
      </c>
      <c r="JZ84" t="s">
        <v>1998</v>
      </c>
      <c r="KN84" t="s">
        <v>1851</v>
      </c>
      <c r="LG84" t="s">
        <v>1851</v>
      </c>
      <c r="LH84" t="s">
        <v>1998</v>
      </c>
      <c r="LI84" t="s">
        <v>1998</v>
      </c>
      <c r="LK84" t="s">
        <v>1998</v>
      </c>
      <c r="LL84" t="s">
        <v>1998</v>
      </c>
      <c r="LO84" t="s">
        <v>1851</v>
      </c>
      <c r="LP84" t="s">
        <v>1851</v>
      </c>
      <c r="LQ84" t="s">
        <v>1851</v>
      </c>
      <c r="LR84" t="s">
        <v>1851</v>
      </c>
      <c r="LW84" t="s">
        <v>1998</v>
      </c>
      <c r="MD84" t="s">
        <v>1851</v>
      </c>
      <c r="MG84" t="s">
        <v>1998</v>
      </c>
      <c r="MH84" t="s">
        <v>1998</v>
      </c>
      <c r="MI84" t="s">
        <v>1851</v>
      </c>
      <c r="MX84" t="s">
        <v>1851</v>
      </c>
      <c r="MZ84" t="s">
        <v>1851</v>
      </c>
      <c r="NN84" t="s">
        <v>1851</v>
      </c>
      <c r="NR84" t="s">
        <v>1540</v>
      </c>
      <c r="NS84" t="s">
        <v>2165</v>
      </c>
      <c r="NX84" t="s">
        <v>2166</v>
      </c>
      <c r="NY84" t="s">
        <v>1923</v>
      </c>
    </row>
    <row r="85" spans="4:389" ht="15" customHeight="1" x14ac:dyDescent="0.25">
      <c r="D85" t="s">
        <v>1541</v>
      </c>
      <c r="G85" t="s">
        <v>1937</v>
      </c>
      <c r="K85" t="s">
        <v>1937</v>
      </c>
      <c r="L85" t="s">
        <v>1937</v>
      </c>
      <c r="M85" t="s">
        <v>1937</v>
      </c>
      <c r="N85" t="s">
        <v>1937</v>
      </c>
      <c r="P85" t="s">
        <v>1937</v>
      </c>
      <c r="R85" t="s">
        <v>1937</v>
      </c>
      <c r="S85" t="s">
        <v>1937</v>
      </c>
      <c r="AH85" t="s">
        <v>1937</v>
      </c>
      <c r="AM85" t="s">
        <v>2010</v>
      </c>
      <c r="AO85" t="s">
        <v>2010</v>
      </c>
      <c r="AP85" t="s">
        <v>2010</v>
      </c>
      <c r="AQ85" t="s">
        <v>1937</v>
      </c>
      <c r="AR85" t="s">
        <v>2010</v>
      </c>
      <c r="BZ85" t="s">
        <v>1937</v>
      </c>
      <c r="CA85" t="s">
        <v>2010</v>
      </c>
      <c r="CE85" t="s">
        <v>1937</v>
      </c>
      <c r="CK85" t="s">
        <v>1937</v>
      </c>
      <c r="CL85" t="s">
        <v>1937</v>
      </c>
      <c r="CM85" t="s">
        <v>1937</v>
      </c>
      <c r="CN85" t="s">
        <v>1937</v>
      </c>
      <c r="CO85" t="s">
        <v>1937</v>
      </c>
      <c r="CP85" t="s">
        <v>2010</v>
      </c>
      <c r="CQ85" t="s">
        <v>1937</v>
      </c>
      <c r="CR85" t="s">
        <v>1937</v>
      </c>
      <c r="CU85" t="s">
        <v>2010</v>
      </c>
      <c r="CZ85" t="s">
        <v>1937</v>
      </c>
      <c r="DA85" t="s">
        <v>1937</v>
      </c>
      <c r="DB85" t="s">
        <v>1937</v>
      </c>
      <c r="DC85" t="s">
        <v>1937</v>
      </c>
      <c r="DJ85" t="s">
        <v>1937</v>
      </c>
      <c r="DK85" t="s">
        <v>1937</v>
      </c>
      <c r="DO85" t="s">
        <v>2010</v>
      </c>
      <c r="DP85" t="s">
        <v>1937</v>
      </c>
      <c r="DQ85" t="s">
        <v>2010</v>
      </c>
      <c r="DR85" t="s">
        <v>1937</v>
      </c>
      <c r="DT85" t="s">
        <v>2010</v>
      </c>
      <c r="DU85" t="s">
        <v>2010</v>
      </c>
      <c r="DV85" t="s">
        <v>2010</v>
      </c>
      <c r="EA85" t="s">
        <v>2010</v>
      </c>
      <c r="EB85" t="s">
        <v>1937</v>
      </c>
      <c r="EC85" t="s">
        <v>1937</v>
      </c>
      <c r="EG85" t="s">
        <v>2010</v>
      </c>
      <c r="EH85" t="s">
        <v>2010</v>
      </c>
      <c r="EI85" t="s">
        <v>2010</v>
      </c>
      <c r="EJ85" t="s">
        <v>1937</v>
      </c>
      <c r="EK85" t="s">
        <v>1937</v>
      </c>
      <c r="EL85" t="s">
        <v>1937</v>
      </c>
      <c r="EY85" t="s">
        <v>1937</v>
      </c>
      <c r="FA85" t="s">
        <v>2010</v>
      </c>
      <c r="FB85" t="s">
        <v>1937</v>
      </c>
      <c r="FC85" t="s">
        <v>1937</v>
      </c>
      <c r="FF85" t="s">
        <v>1937</v>
      </c>
      <c r="FG85" t="s">
        <v>1937</v>
      </c>
      <c r="FH85" t="s">
        <v>1937</v>
      </c>
      <c r="FI85" t="s">
        <v>1937</v>
      </c>
      <c r="FY85" t="s">
        <v>2010</v>
      </c>
      <c r="FZ85" t="s">
        <v>2010</v>
      </c>
      <c r="GA85" t="s">
        <v>1937</v>
      </c>
      <c r="HD85" t="s">
        <v>2010</v>
      </c>
      <c r="HF85" t="s">
        <v>2010</v>
      </c>
      <c r="HO85" t="s">
        <v>2010</v>
      </c>
      <c r="HQ85" t="s">
        <v>2010</v>
      </c>
      <c r="HR85" t="s">
        <v>2010</v>
      </c>
      <c r="HS85" t="s">
        <v>2010</v>
      </c>
      <c r="IF85" t="s">
        <v>2010</v>
      </c>
      <c r="IG85" t="s">
        <v>2010</v>
      </c>
      <c r="IH85" t="s">
        <v>2010</v>
      </c>
      <c r="II85" t="s">
        <v>2010</v>
      </c>
      <c r="IJ85" t="s">
        <v>2010</v>
      </c>
      <c r="IO85" t="s">
        <v>2010</v>
      </c>
      <c r="JB85" t="s">
        <v>2010</v>
      </c>
      <c r="JL85" t="s">
        <v>1937</v>
      </c>
      <c r="JT85" t="s">
        <v>2010</v>
      </c>
      <c r="JV85" t="s">
        <v>2010</v>
      </c>
      <c r="JZ85" t="s">
        <v>1937</v>
      </c>
      <c r="KN85" t="s">
        <v>2010</v>
      </c>
      <c r="LG85" t="s">
        <v>2010</v>
      </c>
      <c r="LH85" t="s">
        <v>1937</v>
      </c>
      <c r="LI85" t="s">
        <v>1937</v>
      </c>
      <c r="LK85" t="s">
        <v>1937</v>
      </c>
      <c r="LL85" t="s">
        <v>1937</v>
      </c>
      <c r="LO85" t="s">
        <v>2010</v>
      </c>
      <c r="LP85" t="s">
        <v>2010</v>
      </c>
      <c r="LQ85" t="s">
        <v>2010</v>
      </c>
      <c r="LR85" t="s">
        <v>2010</v>
      </c>
      <c r="LW85" t="s">
        <v>1937</v>
      </c>
      <c r="MD85" t="s">
        <v>2010</v>
      </c>
      <c r="MG85" t="s">
        <v>1937</v>
      </c>
      <c r="MH85" t="s">
        <v>1937</v>
      </c>
      <c r="MI85" t="s">
        <v>2010</v>
      </c>
      <c r="MX85" t="s">
        <v>2010</v>
      </c>
      <c r="MZ85" t="s">
        <v>2010</v>
      </c>
      <c r="NN85" t="s">
        <v>2010</v>
      </c>
      <c r="NR85" t="s">
        <v>1541</v>
      </c>
      <c r="NS85" t="s">
        <v>2167</v>
      </c>
      <c r="NX85" t="s">
        <v>2168</v>
      </c>
      <c r="NY85" t="s">
        <v>1923</v>
      </c>
    </row>
    <row r="86" spans="4:389" ht="15" customHeight="1" x14ac:dyDescent="0.25">
      <c r="D86" t="s">
        <v>1542</v>
      </c>
      <c r="G86" t="s">
        <v>2024</v>
      </c>
      <c r="K86" t="s">
        <v>2024</v>
      </c>
      <c r="L86" t="s">
        <v>2024</v>
      </c>
      <c r="M86" t="s">
        <v>2024</v>
      </c>
      <c r="N86" t="s">
        <v>2024</v>
      </c>
      <c r="P86" t="s">
        <v>2024</v>
      </c>
      <c r="R86" t="s">
        <v>2024</v>
      </c>
      <c r="S86" t="s">
        <v>2024</v>
      </c>
      <c r="AH86" t="s">
        <v>2024</v>
      </c>
      <c r="AM86" t="s">
        <v>1998</v>
      </c>
      <c r="AO86" t="s">
        <v>1998</v>
      </c>
      <c r="AP86" t="s">
        <v>1998</v>
      </c>
      <c r="AQ86" t="s">
        <v>2024</v>
      </c>
      <c r="AR86" t="s">
        <v>1998</v>
      </c>
      <c r="BZ86" t="s">
        <v>2024</v>
      </c>
      <c r="CA86" t="s">
        <v>1998</v>
      </c>
      <c r="CE86" t="s">
        <v>2024</v>
      </c>
      <c r="CK86" t="s">
        <v>2024</v>
      </c>
      <c r="CL86" t="s">
        <v>2024</v>
      </c>
      <c r="CM86" t="s">
        <v>2024</v>
      </c>
      <c r="CN86" t="s">
        <v>2024</v>
      </c>
      <c r="CO86" t="s">
        <v>2024</v>
      </c>
      <c r="CP86" t="s">
        <v>1998</v>
      </c>
      <c r="CQ86" t="s">
        <v>2024</v>
      </c>
      <c r="CR86" t="s">
        <v>2024</v>
      </c>
      <c r="CU86" t="s">
        <v>1998</v>
      </c>
      <c r="CZ86" t="s">
        <v>2024</v>
      </c>
      <c r="DA86" t="s">
        <v>2024</v>
      </c>
      <c r="DB86" t="s">
        <v>2024</v>
      </c>
      <c r="DC86" t="s">
        <v>2024</v>
      </c>
      <c r="DJ86" t="s">
        <v>2024</v>
      </c>
      <c r="DK86" t="s">
        <v>2024</v>
      </c>
      <c r="DO86" t="s">
        <v>1998</v>
      </c>
      <c r="DP86" t="s">
        <v>2024</v>
      </c>
      <c r="DQ86" t="s">
        <v>1998</v>
      </c>
      <c r="DR86" t="s">
        <v>2024</v>
      </c>
      <c r="DT86" t="s">
        <v>1998</v>
      </c>
      <c r="DU86" t="s">
        <v>1998</v>
      </c>
      <c r="DV86" t="s">
        <v>1998</v>
      </c>
      <c r="EA86" t="s">
        <v>1998</v>
      </c>
      <c r="EB86" t="s">
        <v>2024</v>
      </c>
      <c r="EC86" t="s">
        <v>2024</v>
      </c>
      <c r="EG86" t="s">
        <v>1998</v>
      </c>
      <c r="EH86" t="s">
        <v>1998</v>
      </c>
      <c r="EI86" t="s">
        <v>1998</v>
      </c>
      <c r="EJ86" t="s">
        <v>2024</v>
      </c>
      <c r="EK86" t="s">
        <v>2024</v>
      </c>
      <c r="EL86" t="s">
        <v>2024</v>
      </c>
      <c r="EY86" t="s">
        <v>2024</v>
      </c>
      <c r="FA86" t="s">
        <v>1998</v>
      </c>
      <c r="FB86" t="s">
        <v>2024</v>
      </c>
      <c r="FC86" t="s">
        <v>2024</v>
      </c>
      <c r="FF86" t="s">
        <v>2024</v>
      </c>
      <c r="FG86" t="s">
        <v>2024</v>
      </c>
      <c r="FH86" t="s">
        <v>2024</v>
      </c>
      <c r="FI86" t="s">
        <v>2024</v>
      </c>
      <c r="FY86" t="s">
        <v>1998</v>
      </c>
      <c r="FZ86" t="s">
        <v>1998</v>
      </c>
      <c r="GA86" t="s">
        <v>2024</v>
      </c>
      <c r="HD86" t="s">
        <v>1998</v>
      </c>
      <c r="HF86" t="s">
        <v>1998</v>
      </c>
      <c r="HO86" t="s">
        <v>1998</v>
      </c>
      <c r="HQ86" t="s">
        <v>1998</v>
      </c>
      <c r="HR86" t="s">
        <v>1998</v>
      </c>
      <c r="HS86" t="s">
        <v>1998</v>
      </c>
      <c r="IF86" t="s">
        <v>1998</v>
      </c>
      <c r="IG86" t="s">
        <v>1998</v>
      </c>
      <c r="IH86" t="s">
        <v>1998</v>
      </c>
      <c r="II86" t="s">
        <v>1998</v>
      </c>
      <c r="IJ86" t="s">
        <v>1998</v>
      </c>
      <c r="IO86" t="s">
        <v>1998</v>
      </c>
      <c r="JB86" t="s">
        <v>1998</v>
      </c>
      <c r="JL86" t="s">
        <v>2024</v>
      </c>
      <c r="JT86" t="s">
        <v>1998</v>
      </c>
      <c r="JV86" t="s">
        <v>1998</v>
      </c>
      <c r="JZ86" t="s">
        <v>2024</v>
      </c>
      <c r="KN86" t="s">
        <v>1998</v>
      </c>
      <c r="LG86" t="s">
        <v>1998</v>
      </c>
      <c r="LH86" t="s">
        <v>2024</v>
      </c>
      <c r="LI86" t="s">
        <v>2024</v>
      </c>
      <c r="LK86" t="s">
        <v>2024</v>
      </c>
      <c r="LL86" t="s">
        <v>2024</v>
      </c>
      <c r="LO86" t="s">
        <v>1998</v>
      </c>
      <c r="LP86" t="s">
        <v>1998</v>
      </c>
      <c r="LQ86" t="s">
        <v>1998</v>
      </c>
      <c r="LR86" t="s">
        <v>1998</v>
      </c>
      <c r="LW86" t="s">
        <v>2024</v>
      </c>
      <c r="MD86" t="s">
        <v>1998</v>
      </c>
      <c r="MG86" t="s">
        <v>2024</v>
      </c>
      <c r="MH86" t="s">
        <v>2024</v>
      </c>
      <c r="MI86" t="s">
        <v>1998</v>
      </c>
      <c r="MX86" t="s">
        <v>1998</v>
      </c>
      <c r="MZ86" t="s">
        <v>1998</v>
      </c>
      <c r="NN86" t="s">
        <v>1998</v>
      </c>
      <c r="NR86" t="s">
        <v>1542</v>
      </c>
      <c r="NS86" t="s">
        <v>2169</v>
      </c>
      <c r="NX86" t="s">
        <v>2170</v>
      </c>
      <c r="NY86" t="s">
        <v>1923</v>
      </c>
    </row>
    <row r="87" spans="4:389" ht="15" customHeight="1" x14ac:dyDescent="0.25">
      <c r="D87" t="s">
        <v>1543</v>
      </c>
      <c r="G87" t="s">
        <v>2029</v>
      </c>
      <c r="K87" t="s">
        <v>2029</v>
      </c>
      <c r="L87" t="s">
        <v>2029</v>
      </c>
      <c r="M87" t="s">
        <v>2029</v>
      </c>
      <c r="N87" t="s">
        <v>2029</v>
      </c>
      <c r="P87" t="s">
        <v>2029</v>
      </c>
      <c r="R87" t="s">
        <v>2029</v>
      </c>
      <c r="S87" t="s">
        <v>2029</v>
      </c>
      <c r="AH87" t="s">
        <v>2029</v>
      </c>
      <c r="AM87" t="s">
        <v>1937</v>
      </c>
      <c r="AO87" t="s">
        <v>1937</v>
      </c>
      <c r="AP87" t="s">
        <v>1937</v>
      </c>
      <c r="AQ87" t="s">
        <v>2029</v>
      </c>
      <c r="AR87" t="s">
        <v>1937</v>
      </c>
      <c r="BZ87" t="s">
        <v>2029</v>
      </c>
      <c r="CA87" t="s">
        <v>1937</v>
      </c>
      <c r="CE87" t="s">
        <v>2029</v>
      </c>
      <c r="CK87" t="s">
        <v>2029</v>
      </c>
      <c r="CL87" t="s">
        <v>2029</v>
      </c>
      <c r="CM87" t="s">
        <v>2029</v>
      </c>
      <c r="CN87" t="s">
        <v>2029</v>
      </c>
      <c r="CO87" t="s">
        <v>2029</v>
      </c>
      <c r="CP87" t="s">
        <v>1937</v>
      </c>
      <c r="CQ87" t="s">
        <v>2029</v>
      </c>
      <c r="CR87" t="s">
        <v>2029</v>
      </c>
      <c r="CU87" t="s">
        <v>1937</v>
      </c>
      <c r="CZ87" t="s">
        <v>2029</v>
      </c>
      <c r="DA87" t="s">
        <v>2029</v>
      </c>
      <c r="DB87" t="s">
        <v>2029</v>
      </c>
      <c r="DC87" t="s">
        <v>2029</v>
      </c>
      <c r="DJ87" t="s">
        <v>2029</v>
      </c>
      <c r="DK87" t="s">
        <v>2029</v>
      </c>
      <c r="DO87" t="s">
        <v>1937</v>
      </c>
      <c r="DP87" t="s">
        <v>2029</v>
      </c>
      <c r="DQ87" t="s">
        <v>1937</v>
      </c>
      <c r="DR87" t="s">
        <v>2029</v>
      </c>
      <c r="DT87" t="s">
        <v>1937</v>
      </c>
      <c r="DU87" t="s">
        <v>1937</v>
      </c>
      <c r="DV87" t="s">
        <v>1937</v>
      </c>
      <c r="EA87" t="s">
        <v>1937</v>
      </c>
      <c r="EB87" t="s">
        <v>2029</v>
      </c>
      <c r="EC87" t="s">
        <v>2029</v>
      </c>
      <c r="EG87" t="s">
        <v>1937</v>
      </c>
      <c r="EH87" t="s">
        <v>1937</v>
      </c>
      <c r="EI87" t="s">
        <v>1937</v>
      </c>
      <c r="EJ87" t="s">
        <v>2029</v>
      </c>
      <c r="EK87" t="s">
        <v>2029</v>
      </c>
      <c r="EL87" t="s">
        <v>2029</v>
      </c>
      <c r="EY87" t="s">
        <v>2029</v>
      </c>
      <c r="FA87" t="s">
        <v>1937</v>
      </c>
      <c r="FB87" t="s">
        <v>2029</v>
      </c>
      <c r="FC87" t="s">
        <v>2029</v>
      </c>
      <c r="FF87" t="s">
        <v>2029</v>
      </c>
      <c r="FG87" t="s">
        <v>2029</v>
      </c>
      <c r="FH87" t="s">
        <v>2029</v>
      </c>
      <c r="FI87" t="s">
        <v>2029</v>
      </c>
      <c r="FY87" t="s">
        <v>1937</v>
      </c>
      <c r="FZ87" t="s">
        <v>1937</v>
      </c>
      <c r="GA87" t="s">
        <v>2029</v>
      </c>
      <c r="HD87" t="s">
        <v>1937</v>
      </c>
      <c r="HF87" t="s">
        <v>1937</v>
      </c>
      <c r="HO87" t="s">
        <v>1937</v>
      </c>
      <c r="HQ87" t="s">
        <v>1937</v>
      </c>
      <c r="HR87" t="s">
        <v>1937</v>
      </c>
      <c r="HS87" t="s">
        <v>1937</v>
      </c>
      <c r="IF87" t="s">
        <v>1937</v>
      </c>
      <c r="IG87" t="s">
        <v>1937</v>
      </c>
      <c r="IH87" t="s">
        <v>1937</v>
      </c>
      <c r="II87" t="s">
        <v>1937</v>
      </c>
      <c r="IJ87" t="s">
        <v>1937</v>
      </c>
      <c r="IO87" t="s">
        <v>1937</v>
      </c>
      <c r="JB87" t="s">
        <v>1937</v>
      </c>
      <c r="JL87" t="s">
        <v>2029</v>
      </c>
      <c r="JT87" t="s">
        <v>1937</v>
      </c>
      <c r="JV87" t="s">
        <v>1937</v>
      </c>
      <c r="JZ87" t="s">
        <v>2029</v>
      </c>
      <c r="KN87" t="s">
        <v>1937</v>
      </c>
      <c r="LG87" t="s">
        <v>1937</v>
      </c>
      <c r="LH87" t="s">
        <v>2029</v>
      </c>
      <c r="LI87" t="s">
        <v>2029</v>
      </c>
      <c r="LK87" t="s">
        <v>2029</v>
      </c>
      <c r="LL87" t="s">
        <v>2029</v>
      </c>
      <c r="LO87" t="s">
        <v>1937</v>
      </c>
      <c r="LP87" t="s">
        <v>1937</v>
      </c>
      <c r="LQ87" t="s">
        <v>1937</v>
      </c>
      <c r="LR87" t="s">
        <v>1937</v>
      </c>
      <c r="LW87" t="s">
        <v>2029</v>
      </c>
      <c r="MD87" t="s">
        <v>1937</v>
      </c>
      <c r="MG87" t="s">
        <v>2029</v>
      </c>
      <c r="MH87" t="s">
        <v>2029</v>
      </c>
      <c r="MI87" t="s">
        <v>1937</v>
      </c>
      <c r="MX87" t="s">
        <v>1937</v>
      </c>
      <c r="MZ87" t="s">
        <v>1937</v>
      </c>
      <c r="NN87" t="s">
        <v>1937</v>
      </c>
      <c r="NR87" t="s">
        <v>1543</v>
      </c>
      <c r="NS87" t="s">
        <v>2171</v>
      </c>
      <c r="NX87" t="s">
        <v>2172</v>
      </c>
      <c r="NY87" t="s">
        <v>1923</v>
      </c>
    </row>
    <row r="88" spans="4:389" ht="15" customHeight="1" x14ac:dyDescent="0.25">
      <c r="D88" t="s">
        <v>1544</v>
      </c>
      <c r="G88" t="s">
        <v>1944</v>
      </c>
      <c r="K88" t="s">
        <v>1944</v>
      </c>
      <c r="L88" t="s">
        <v>1944</v>
      </c>
      <c r="M88" t="s">
        <v>1944</v>
      </c>
      <c r="N88" t="s">
        <v>1944</v>
      </c>
      <c r="P88" t="s">
        <v>1944</v>
      </c>
      <c r="R88" t="s">
        <v>1944</v>
      </c>
      <c r="S88" t="s">
        <v>1944</v>
      </c>
      <c r="AH88" t="s">
        <v>1944</v>
      </c>
      <c r="AM88" t="s">
        <v>2024</v>
      </c>
      <c r="AO88" t="s">
        <v>2024</v>
      </c>
      <c r="AP88" t="s">
        <v>2024</v>
      </c>
      <c r="AQ88" t="s">
        <v>1944</v>
      </c>
      <c r="AR88" t="s">
        <v>2024</v>
      </c>
      <c r="BZ88" t="s">
        <v>1944</v>
      </c>
      <c r="CA88" t="s">
        <v>2024</v>
      </c>
      <c r="CE88" t="s">
        <v>1944</v>
      </c>
      <c r="CK88" t="s">
        <v>1944</v>
      </c>
      <c r="CL88" t="s">
        <v>1944</v>
      </c>
      <c r="CM88" t="s">
        <v>1944</v>
      </c>
      <c r="CN88" t="s">
        <v>1944</v>
      </c>
      <c r="CO88" t="s">
        <v>1944</v>
      </c>
      <c r="CP88" t="s">
        <v>2024</v>
      </c>
      <c r="CQ88" t="s">
        <v>1944</v>
      </c>
      <c r="CR88" t="s">
        <v>1944</v>
      </c>
      <c r="CU88" t="s">
        <v>2024</v>
      </c>
      <c r="CZ88" t="s">
        <v>1944</v>
      </c>
      <c r="DA88" t="s">
        <v>1944</v>
      </c>
      <c r="DB88" t="s">
        <v>1944</v>
      </c>
      <c r="DC88" t="s">
        <v>1944</v>
      </c>
      <c r="DJ88" t="s">
        <v>1944</v>
      </c>
      <c r="DK88" t="s">
        <v>1944</v>
      </c>
      <c r="DO88" t="s">
        <v>2024</v>
      </c>
      <c r="DP88" t="s">
        <v>1944</v>
      </c>
      <c r="DQ88" t="s">
        <v>2024</v>
      </c>
      <c r="DR88" t="s">
        <v>1944</v>
      </c>
      <c r="DT88" t="s">
        <v>2024</v>
      </c>
      <c r="DU88" t="s">
        <v>2024</v>
      </c>
      <c r="DV88" t="s">
        <v>2024</v>
      </c>
      <c r="EA88" t="s">
        <v>2024</v>
      </c>
      <c r="EB88" t="s">
        <v>1944</v>
      </c>
      <c r="EC88" t="s">
        <v>1944</v>
      </c>
      <c r="EG88" t="s">
        <v>2024</v>
      </c>
      <c r="EH88" t="s">
        <v>2024</v>
      </c>
      <c r="EI88" t="s">
        <v>2024</v>
      </c>
      <c r="EJ88" t="s">
        <v>1944</v>
      </c>
      <c r="EK88" t="s">
        <v>1944</v>
      </c>
      <c r="EL88" t="s">
        <v>1944</v>
      </c>
      <c r="EY88" t="s">
        <v>1944</v>
      </c>
      <c r="FA88" t="s">
        <v>2024</v>
      </c>
      <c r="FB88" t="s">
        <v>1944</v>
      </c>
      <c r="FC88" t="s">
        <v>1944</v>
      </c>
      <c r="FF88" t="s">
        <v>1944</v>
      </c>
      <c r="FG88" t="s">
        <v>1944</v>
      </c>
      <c r="FH88" t="s">
        <v>1944</v>
      </c>
      <c r="FI88" t="s">
        <v>1944</v>
      </c>
      <c r="FY88" t="s">
        <v>2024</v>
      </c>
      <c r="FZ88" t="s">
        <v>2024</v>
      </c>
      <c r="GA88" t="s">
        <v>1944</v>
      </c>
      <c r="HD88" t="s">
        <v>2024</v>
      </c>
      <c r="HF88" t="s">
        <v>2024</v>
      </c>
      <c r="HO88" t="s">
        <v>2024</v>
      </c>
      <c r="HQ88" t="s">
        <v>2024</v>
      </c>
      <c r="HR88" t="s">
        <v>2024</v>
      </c>
      <c r="HS88" t="s">
        <v>2024</v>
      </c>
      <c r="IF88" t="s">
        <v>2024</v>
      </c>
      <c r="IG88" t="s">
        <v>2024</v>
      </c>
      <c r="IH88" t="s">
        <v>2024</v>
      </c>
      <c r="II88" t="s">
        <v>2024</v>
      </c>
      <c r="IJ88" t="s">
        <v>2024</v>
      </c>
      <c r="IO88" t="s">
        <v>2024</v>
      </c>
      <c r="JB88" t="s">
        <v>2024</v>
      </c>
      <c r="JL88" t="s">
        <v>1944</v>
      </c>
      <c r="JT88" t="s">
        <v>2024</v>
      </c>
      <c r="JV88" t="s">
        <v>2024</v>
      </c>
      <c r="JZ88" t="s">
        <v>1944</v>
      </c>
      <c r="KN88" t="s">
        <v>2024</v>
      </c>
      <c r="LG88" t="s">
        <v>2024</v>
      </c>
      <c r="LH88" t="s">
        <v>1944</v>
      </c>
      <c r="LI88" t="s">
        <v>1944</v>
      </c>
      <c r="LK88" t="s">
        <v>1944</v>
      </c>
      <c r="LL88" t="s">
        <v>1944</v>
      </c>
      <c r="LO88" t="s">
        <v>2024</v>
      </c>
      <c r="LP88" t="s">
        <v>2024</v>
      </c>
      <c r="LQ88" t="s">
        <v>2024</v>
      </c>
      <c r="LR88" t="s">
        <v>2024</v>
      </c>
      <c r="LW88" t="s">
        <v>1944</v>
      </c>
      <c r="MD88" t="s">
        <v>2024</v>
      </c>
      <c r="MG88" t="s">
        <v>1944</v>
      </c>
      <c r="MH88" t="s">
        <v>1944</v>
      </c>
      <c r="MI88" t="s">
        <v>2024</v>
      </c>
      <c r="MX88" t="s">
        <v>2024</v>
      </c>
      <c r="MZ88" t="s">
        <v>2024</v>
      </c>
      <c r="NN88" t="s">
        <v>2024</v>
      </c>
      <c r="NR88" t="s">
        <v>1544</v>
      </c>
      <c r="NS88" t="s">
        <v>2173</v>
      </c>
      <c r="NX88" t="s">
        <v>2174</v>
      </c>
      <c r="NY88" t="s">
        <v>1923</v>
      </c>
    </row>
    <row r="89" spans="4:389" ht="15" customHeight="1" x14ac:dyDescent="0.25">
      <c r="D89" t="s">
        <v>1545</v>
      </c>
      <c r="G89" t="s">
        <v>2039</v>
      </c>
      <c r="K89" t="s">
        <v>2039</v>
      </c>
      <c r="L89" t="s">
        <v>2039</v>
      </c>
      <c r="M89" t="s">
        <v>2039</v>
      </c>
      <c r="N89" t="s">
        <v>2039</v>
      </c>
      <c r="P89" t="s">
        <v>2039</v>
      </c>
      <c r="R89" t="s">
        <v>2039</v>
      </c>
      <c r="S89" t="s">
        <v>2039</v>
      </c>
      <c r="AH89" t="s">
        <v>2039</v>
      </c>
      <c r="AM89" t="s">
        <v>2029</v>
      </c>
      <c r="AO89" t="s">
        <v>2029</v>
      </c>
      <c r="AP89" t="s">
        <v>2029</v>
      </c>
      <c r="AQ89" t="s">
        <v>2039</v>
      </c>
      <c r="AR89" t="s">
        <v>2029</v>
      </c>
      <c r="BZ89" t="s">
        <v>2039</v>
      </c>
      <c r="CA89" t="s">
        <v>2029</v>
      </c>
      <c r="CE89" t="s">
        <v>2039</v>
      </c>
      <c r="CK89" t="s">
        <v>2039</v>
      </c>
      <c r="CL89" t="s">
        <v>2039</v>
      </c>
      <c r="CM89" t="s">
        <v>2039</v>
      </c>
      <c r="CN89" t="s">
        <v>2039</v>
      </c>
      <c r="CO89" t="s">
        <v>2039</v>
      </c>
      <c r="CP89" t="s">
        <v>2029</v>
      </c>
      <c r="CQ89" t="s">
        <v>2039</v>
      </c>
      <c r="CR89" t="s">
        <v>2039</v>
      </c>
      <c r="CU89" t="s">
        <v>2029</v>
      </c>
      <c r="CZ89" t="s">
        <v>2039</v>
      </c>
      <c r="DA89" t="s">
        <v>2039</v>
      </c>
      <c r="DB89" t="s">
        <v>2039</v>
      </c>
      <c r="DC89" t="s">
        <v>2039</v>
      </c>
      <c r="DJ89" t="s">
        <v>2039</v>
      </c>
      <c r="DK89" t="s">
        <v>2039</v>
      </c>
      <c r="DO89" t="s">
        <v>2029</v>
      </c>
      <c r="DP89" t="s">
        <v>2039</v>
      </c>
      <c r="DQ89" t="s">
        <v>2029</v>
      </c>
      <c r="DR89" t="s">
        <v>2039</v>
      </c>
      <c r="DT89" t="s">
        <v>2029</v>
      </c>
      <c r="DU89" t="s">
        <v>2029</v>
      </c>
      <c r="DV89" t="s">
        <v>2029</v>
      </c>
      <c r="EA89" t="s">
        <v>2029</v>
      </c>
      <c r="EB89" t="s">
        <v>2039</v>
      </c>
      <c r="EC89" t="s">
        <v>2039</v>
      </c>
      <c r="EG89" t="s">
        <v>2029</v>
      </c>
      <c r="EH89" t="s">
        <v>2029</v>
      </c>
      <c r="EI89" t="s">
        <v>2029</v>
      </c>
      <c r="EJ89" t="s">
        <v>2039</v>
      </c>
      <c r="EK89" t="s">
        <v>2039</v>
      </c>
      <c r="EL89" t="s">
        <v>2039</v>
      </c>
      <c r="EY89" t="s">
        <v>2039</v>
      </c>
      <c r="FA89" t="s">
        <v>2029</v>
      </c>
      <c r="FB89" t="s">
        <v>2039</v>
      </c>
      <c r="FC89" t="s">
        <v>2039</v>
      </c>
      <c r="FF89" t="s">
        <v>2039</v>
      </c>
      <c r="FG89" t="s">
        <v>2039</v>
      </c>
      <c r="FH89" t="s">
        <v>2039</v>
      </c>
      <c r="FI89" t="s">
        <v>2039</v>
      </c>
      <c r="FY89" t="s">
        <v>2029</v>
      </c>
      <c r="FZ89" t="s">
        <v>2029</v>
      </c>
      <c r="GA89" t="s">
        <v>2039</v>
      </c>
      <c r="HD89" t="s">
        <v>2029</v>
      </c>
      <c r="HF89" t="s">
        <v>2029</v>
      </c>
      <c r="HO89" t="s">
        <v>2029</v>
      </c>
      <c r="HQ89" t="s">
        <v>2029</v>
      </c>
      <c r="HR89" t="s">
        <v>2029</v>
      </c>
      <c r="HS89" t="s">
        <v>2029</v>
      </c>
      <c r="IF89" t="s">
        <v>2029</v>
      </c>
      <c r="IG89" t="s">
        <v>2029</v>
      </c>
      <c r="IH89" t="s">
        <v>2029</v>
      </c>
      <c r="II89" t="s">
        <v>2029</v>
      </c>
      <c r="IJ89" t="s">
        <v>2029</v>
      </c>
      <c r="IO89" t="s">
        <v>2029</v>
      </c>
      <c r="JB89" t="s">
        <v>2029</v>
      </c>
      <c r="JL89" t="s">
        <v>2039</v>
      </c>
      <c r="JT89" t="s">
        <v>2029</v>
      </c>
      <c r="JV89" t="s">
        <v>2029</v>
      </c>
      <c r="JZ89" t="s">
        <v>2039</v>
      </c>
      <c r="KN89" t="s">
        <v>2029</v>
      </c>
      <c r="LG89" t="s">
        <v>2029</v>
      </c>
      <c r="LH89" t="s">
        <v>2039</v>
      </c>
      <c r="LI89" t="s">
        <v>2039</v>
      </c>
      <c r="LK89" t="s">
        <v>2039</v>
      </c>
      <c r="LL89" t="s">
        <v>2039</v>
      </c>
      <c r="LO89" t="s">
        <v>2029</v>
      </c>
      <c r="LP89" t="s">
        <v>2029</v>
      </c>
      <c r="LQ89" t="s">
        <v>2029</v>
      </c>
      <c r="LR89" t="s">
        <v>2029</v>
      </c>
      <c r="LW89" t="s">
        <v>2039</v>
      </c>
      <c r="MD89" t="s">
        <v>2029</v>
      </c>
      <c r="MG89" t="s">
        <v>2039</v>
      </c>
      <c r="MH89" t="s">
        <v>2039</v>
      </c>
      <c r="MI89" t="s">
        <v>2029</v>
      </c>
      <c r="MX89" t="s">
        <v>2029</v>
      </c>
      <c r="MZ89" t="s">
        <v>2029</v>
      </c>
      <c r="NN89" t="s">
        <v>2029</v>
      </c>
      <c r="NR89" t="s">
        <v>1545</v>
      </c>
      <c r="NS89" t="s">
        <v>2175</v>
      </c>
      <c r="NX89" t="s">
        <v>2176</v>
      </c>
      <c r="NY89" t="s">
        <v>1923</v>
      </c>
    </row>
    <row r="90" spans="4:389" ht="15" customHeight="1" x14ac:dyDescent="0.25">
      <c r="D90" t="s">
        <v>1546</v>
      </c>
      <c r="G90" t="s">
        <v>2043</v>
      </c>
      <c r="K90" t="s">
        <v>2043</v>
      </c>
      <c r="L90" t="s">
        <v>2043</v>
      </c>
      <c r="M90" t="s">
        <v>2043</v>
      </c>
      <c r="N90" t="s">
        <v>2043</v>
      </c>
      <c r="P90" t="s">
        <v>2043</v>
      </c>
      <c r="R90" t="s">
        <v>2043</v>
      </c>
      <c r="S90" t="s">
        <v>2043</v>
      </c>
      <c r="AH90" t="s">
        <v>2043</v>
      </c>
      <c r="AM90" t="s">
        <v>1944</v>
      </c>
      <c r="AO90" t="s">
        <v>1944</v>
      </c>
      <c r="AP90" t="s">
        <v>1944</v>
      </c>
      <c r="AQ90" t="s">
        <v>2043</v>
      </c>
      <c r="AR90" t="s">
        <v>1944</v>
      </c>
      <c r="BZ90" t="s">
        <v>2043</v>
      </c>
      <c r="CA90" t="s">
        <v>1944</v>
      </c>
      <c r="CE90" t="s">
        <v>2043</v>
      </c>
      <c r="CK90" t="s">
        <v>2043</v>
      </c>
      <c r="CL90" t="s">
        <v>2043</v>
      </c>
      <c r="CM90" t="s">
        <v>2043</v>
      </c>
      <c r="CN90" t="s">
        <v>2043</v>
      </c>
      <c r="CO90" t="s">
        <v>2043</v>
      </c>
      <c r="CP90" t="s">
        <v>1944</v>
      </c>
      <c r="CQ90" t="s">
        <v>2043</v>
      </c>
      <c r="CR90" t="s">
        <v>2043</v>
      </c>
      <c r="CU90" t="s">
        <v>1944</v>
      </c>
      <c r="CZ90" t="s">
        <v>2043</v>
      </c>
      <c r="DA90" t="s">
        <v>2043</v>
      </c>
      <c r="DB90" t="s">
        <v>2043</v>
      </c>
      <c r="DC90" t="s">
        <v>2043</v>
      </c>
      <c r="DJ90" t="s">
        <v>2043</v>
      </c>
      <c r="DK90" t="s">
        <v>2043</v>
      </c>
      <c r="DO90" t="s">
        <v>1944</v>
      </c>
      <c r="DP90" t="s">
        <v>2043</v>
      </c>
      <c r="DQ90" t="s">
        <v>1944</v>
      </c>
      <c r="DR90" t="s">
        <v>2043</v>
      </c>
      <c r="DT90" t="s">
        <v>1944</v>
      </c>
      <c r="DU90" t="s">
        <v>1944</v>
      </c>
      <c r="DV90" t="s">
        <v>1944</v>
      </c>
      <c r="EA90" t="s">
        <v>1944</v>
      </c>
      <c r="EB90" t="s">
        <v>2043</v>
      </c>
      <c r="EC90" t="s">
        <v>2043</v>
      </c>
      <c r="EG90" t="s">
        <v>1944</v>
      </c>
      <c r="EH90" t="s">
        <v>1944</v>
      </c>
      <c r="EI90" t="s">
        <v>1944</v>
      </c>
      <c r="EJ90" t="s">
        <v>2043</v>
      </c>
      <c r="EK90" t="s">
        <v>2043</v>
      </c>
      <c r="EL90" t="s">
        <v>2043</v>
      </c>
      <c r="EY90" t="s">
        <v>2043</v>
      </c>
      <c r="FA90" t="s">
        <v>1944</v>
      </c>
      <c r="FB90" t="s">
        <v>2043</v>
      </c>
      <c r="FC90" t="s">
        <v>2043</v>
      </c>
      <c r="FF90" t="s">
        <v>2043</v>
      </c>
      <c r="FG90" t="s">
        <v>2043</v>
      </c>
      <c r="FH90" t="s">
        <v>2043</v>
      </c>
      <c r="FI90" t="s">
        <v>2043</v>
      </c>
      <c r="FY90" t="s">
        <v>1944</v>
      </c>
      <c r="FZ90" t="s">
        <v>1944</v>
      </c>
      <c r="GA90" t="s">
        <v>2043</v>
      </c>
      <c r="HD90" t="s">
        <v>1944</v>
      </c>
      <c r="HF90" t="s">
        <v>1944</v>
      </c>
      <c r="HO90" t="s">
        <v>1944</v>
      </c>
      <c r="HQ90" t="s">
        <v>1944</v>
      </c>
      <c r="HR90" t="s">
        <v>1944</v>
      </c>
      <c r="HS90" t="s">
        <v>1944</v>
      </c>
      <c r="IF90" t="s">
        <v>1944</v>
      </c>
      <c r="IG90" t="s">
        <v>1944</v>
      </c>
      <c r="IH90" t="s">
        <v>1944</v>
      </c>
      <c r="II90" t="s">
        <v>1944</v>
      </c>
      <c r="IJ90" t="s">
        <v>1944</v>
      </c>
      <c r="IO90" t="s">
        <v>1944</v>
      </c>
      <c r="JB90" t="s">
        <v>1944</v>
      </c>
      <c r="JL90" t="s">
        <v>2043</v>
      </c>
      <c r="JT90" t="s">
        <v>1944</v>
      </c>
      <c r="JV90" t="s">
        <v>1944</v>
      </c>
      <c r="JZ90" t="s">
        <v>2043</v>
      </c>
      <c r="KN90" t="s">
        <v>1944</v>
      </c>
      <c r="LG90" t="s">
        <v>1944</v>
      </c>
      <c r="LH90" t="s">
        <v>2043</v>
      </c>
      <c r="LI90" t="s">
        <v>2043</v>
      </c>
      <c r="LK90" t="s">
        <v>2043</v>
      </c>
      <c r="LL90" t="s">
        <v>2043</v>
      </c>
      <c r="LO90" t="s">
        <v>1944</v>
      </c>
      <c r="LP90" t="s">
        <v>1944</v>
      </c>
      <c r="LQ90" t="s">
        <v>1944</v>
      </c>
      <c r="LR90" t="s">
        <v>1944</v>
      </c>
      <c r="LW90" t="s">
        <v>2043</v>
      </c>
      <c r="MD90" t="s">
        <v>1944</v>
      </c>
      <c r="MG90" t="s">
        <v>2043</v>
      </c>
      <c r="MH90" t="s">
        <v>2043</v>
      </c>
      <c r="MI90" t="s">
        <v>1944</v>
      </c>
      <c r="MX90" t="s">
        <v>1944</v>
      </c>
      <c r="MZ90" t="s">
        <v>1944</v>
      </c>
      <c r="NN90" t="s">
        <v>1944</v>
      </c>
      <c r="NR90" t="s">
        <v>1546</v>
      </c>
      <c r="NS90" t="s">
        <v>2177</v>
      </c>
      <c r="NX90" t="s">
        <v>2178</v>
      </c>
      <c r="NY90" t="s">
        <v>1923</v>
      </c>
    </row>
    <row r="91" spans="4:389" ht="15" customHeight="1" x14ac:dyDescent="0.25">
      <c r="D91" t="s">
        <v>1547</v>
      </c>
      <c r="G91" t="s">
        <v>2046</v>
      </c>
      <c r="K91" t="s">
        <v>2046</v>
      </c>
      <c r="L91" t="s">
        <v>2046</v>
      </c>
      <c r="M91" t="s">
        <v>2046</v>
      </c>
      <c r="N91" t="s">
        <v>2046</v>
      </c>
      <c r="P91" t="s">
        <v>2046</v>
      </c>
      <c r="R91" t="s">
        <v>2046</v>
      </c>
      <c r="S91" t="s">
        <v>2046</v>
      </c>
      <c r="AH91" t="s">
        <v>2046</v>
      </c>
      <c r="AM91" t="s">
        <v>2039</v>
      </c>
      <c r="AO91" t="s">
        <v>2039</v>
      </c>
      <c r="AP91" t="s">
        <v>2039</v>
      </c>
      <c r="AQ91" t="s">
        <v>2046</v>
      </c>
      <c r="AR91" t="s">
        <v>2039</v>
      </c>
      <c r="BZ91" t="s">
        <v>2046</v>
      </c>
      <c r="CA91" t="s">
        <v>2039</v>
      </c>
      <c r="CE91" t="s">
        <v>2046</v>
      </c>
      <c r="CK91" t="s">
        <v>2046</v>
      </c>
      <c r="CL91" t="s">
        <v>2046</v>
      </c>
      <c r="CM91" t="s">
        <v>2046</v>
      </c>
      <c r="CN91" t="s">
        <v>2046</v>
      </c>
      <c r="CO91" t="s">
        <v>2046</v>
      </c>
      <c r="CP91" t="s">
        <v>2039</v>
      </c>
      <c r="CQ91" t="s">
        <v>2046</v>
      </c>
      <c r="CR91" t="s">
        <v>2046</v>
      </c>
      <c r="CU91" t="s">
        <v>2039</v>
      </c>
      <c r="CZ91" t="s">
        <v>2046</v>
      </c>
      <c r="DA91" t="s">
        <v>2046</v>
      </c>
      <c r="DB91" t="s">
        <v>2046</v>
      </c>
      <c r="DC91" t="s">
        <v>2046</v>
      </c>
      <c r="DJ91" t="s">
        <v>2046</v>
      </c>
      <c r="DK91" t="s">
        <v>2046</v>
      </c>
      <c r="DO91" t="s">
        <v>2039</v>
      </c>
      <c r="DP91" t="s">
        <v>2046</v>
      </c>
      <c r="DQ91" t="s">
        <v>2039</v>
      </c>
      <c r="DR91" t="s">
        <v>2046</v>
      </c>
      <c r="DT91" t="s">
        <v>2039</v>
      </c>
      <c r="DU91" t="s">
        <v>2039</v>
      </c>
      <c r="DV91" t="s">
        <v>2039</v>
      </c>
      <c r="EA91" t="s">
        <v>2039</v>
      </c>
      <c r="EB91" t="s">
        <v>2046</v>
      </c>
      <c r="EC91" t="s">
        <v>2046</v>
      </c>
      <c r="EG91" t="s">
        <v>2039</v>
      </c>
      <c r="EH91" t="s">
        <v>2039</v>
      </c>
      <c r="EI91" t="s">
        <v>2039</v>
      </c>
      <c r="EJ91" t="s">
        <v>2046</v>
      </c>
      <c r="EK91" t="s">
        <v>2046</v>
      </c>
      <c r="EL91" t="s">
        <v>2046</v>
      </c>
      <c r="EY91" t="s">
        <v>2046</v>
      </c>
      <c r="FA91" t="s">
        <v>2039</v>
      </c>
      <c r="FB91" t="s">
        <v>2046</v>
      </c>
      <c r="FC91" t="s">
        <v>2046</v>
      </c>
      <c r="FF91" t="s">
        <v>2046</v>
      </c>
      <c r="FG91" t="s">
        <v>2046</v>
      </c>
      <c r="FH91" t="s">
        <v>2046</v>
      </c>
      <c r="FI91" t="s">
        <v>2046</v>
      </c>
      <c r="FY91" t="s">
        <v>2039</v>
      </c>
      <c r="FZ91" t="s">
        <v>2039</v>
      </c>
      <c r="GA91" t="s">
        <v>2046</v>
      </c>
      <c r="HD91" t="s">
        <v>2039</v>
      </c>
      <c r="HF91" t="s">
        <v>2039</v>
      </c>
      <c r="HO91" t="s">
        <v>2039</v>
      </c>
      <c r="HQ91" t="s">
        <v>2039</v>
      </c>
      <c r="HR91" t="s">
        <v>2039</v>
      </c>
      <c r="HS91" t="s">
        <v>2039</v>
      </c>
      <c r="IF91" t="s">
        <v>2039</v>
      </c>
      <c r="IG91" t="s">
        <v>2039</v>
      </c>
      <c r="IH91" t="s">
        <v>2039</v>
      </c>
      <c r="II91" t="s">
        <v>2039</v>
      </c>
      <c r="IJ91" t="s">
        <v>2039</v>
      </c>
      <c r="IO91" t="s">
        <v>2039</v>
      </c>
      <c r="JB91" t="s">
        <v>2039</v>
      </c>
      <c r="JL91" t="s">
        <v>2046</v>
      </c>
      <c r="JT91" t="s">
        <v>2039</v>
      </c>
      <c r="JV91" t="s">
        <v>2039</v>
      </c>
      <c r="JZ91" t="s">
        <v>2046</v>
      </c>
      <c r="KN91" t="s">
        <v>2039</v>
      </c>
      <c r="LG91" t="s">
        <v>2039</v>
      </c>
      <c r="LH91" t="s">
        <v>2046</v>
      </c>
      <c r="LI91" t="s">
        <v>2046</v>
      </c>
      <c r="LK91" t="s">
        <v>2046</v>
      </c>
      <c r="LL91" t="s">
        <v>2046</v>
      </c>
      <c r="LO91" t="s">
        <v>2039</v>
      </c>
      <c r="LP91" t="s">
        <v>2039</v>
      </c>
      <c r="LQ91" t="s">
        <v>2039</v>
      </c>
      <c r="LR91" t="s">
        <v>2039</v>
      </c>
      <c r="LW91" t="s">
        <v>2046</v>
      </c>
      <c r="MD91" t="s">
        <v>2039</v>
      </c>
      <c r="MG91" t="s">
        <v>2046</v>
      </c>
      <c r="MH91" t="s">
        <v>2046</v>
      </c>
      <c r="MI91" t="s">
        <v>2039</v>
      </c>
      <c r="MX91" t="s">
        <v>2039</v>
      </c>
      <c r="MZ91" t="s">
        <v>2039</v>
      </c>
      <c r="NN91" t="s">
        <v>2039</v>
      </c>
      <c r="NR91" t="s">
        <v>1547</v>
      </c>
      <c r="NS91" t="s">
        <v>2179</v>
      </c>
      <c r="NX91" t="s">
        <v>2180</v>
      </c>
      <c r="NY91" t="s">
        <v>1923</v>
      </c>
    </row>
    <row r="92" spans="4:389" ht="15" customHeight="1" x14ac:dyDescent="0.25">
      <c r="D92" t="s">
        <v>1548</v>
      </c>
      <c r="G92" t="s">
        <v>2049</v>
      </c>
      <c r="K92" t="s">
        <v>2049</v>
      </c>
      <c r="L92" t="s">
        <v>2049</v>
      </c>
      <c r="M92" t="s">
        <v>2049</v>
      </c>
      <c r="N92" t="s">
        <v>2049</v>
      </c>
      <c r="P92" t="s">
        <v>2049</v>
      </c>
      <c r="R92" t="s">
        <v>2049</v>
      </c>
      <c r="S92" t="s">
        <v>2049</v>
      </c>
      <c r="AH92" t="s">
        <v>2049</v>
      </c>
      <c r="AM92" t="s">
        <v>2043</v>
      </c>
      <c r="AO92" t="s">
        <v>2043</v>
      </c>
      <c r="AP92" t="s">
        <v>2043</v>
      </c>
      <c r="AQ92" t="s">
        <v>2049</v>
      </c>
      <c r="AR92" t="s">
        <v>2043</v>
      </c>
      <c r="BZ92" t="s">
        <v>2049</v>
      </c>
      <c r="CA92" t="s">
        <v>2043</v>
      </c>
      <c r="CE92" t="s">
        <v>2049</v>
      </c>
      <c r="CK92" t="s">
        <v>2049</v>
      </c>
      <c r="CL92" t="s">
        <v>2049</v>
      </c>
      <c r="CM92" t="s">
        <v>2049</v>
      </c>
      <c r="CN92" t="s">
        <v>2049</v>
      </c>
      <c r="CO92" t="s">
        <v>2049</v>
      </c>
      <c r="CP92" t="s">
        <v>2043</v>
      </c>
      <c r="CQ92" t="s">
        <v>2049</v>
      </c>
      <c r="CR92" t="s">
        <v>2049</v>
      </c>
      <c r="CU92" t="s">
        <v>2043</v>
      </c>
      <c r="CZ92" t="s">
        <v>2049</v>
      </c>
      <c r="DA92" t="s">
        <v>2049</v>
      </c>
      <c r="DB92" t="s">
        <v>2049</v>
      </c>
      <c r="DC92" t="s">
        <v>2049</v>
      </c>
      <c r="DJ92" t="s">
        <v>2049</v>
      </c>
      <c r="DK92" t="s">
        <v>2049</v>
      </c>
      <c r="DO92" t="s">
        <v>2043</v>
      </c>
      <c r="DP92" t="s">
        <v>2049</v>
      </c>
      <c r="DQ92" t="s">
        <v>2043</v>
      </c>
      <c r="DR92" t="s">
        <v>2049</v>
      </c>
      <c r="DT92" t="s">
        <v>2043</v>
      </c>
      <c r="DU92" t="s">
        <v>2043</v>
      </c>
      <c r="DV92" t="s">
        <v>2043</v>
      </c>
      <c r="EA92" t="s">
        <v>2043</v>
      </c>
      <c r="EB92" t="s">
        <v>2049</v>
      </c>
      <c r="EC92" t="s">
        <v>2049</v>
      </c>
      <c r="EG92" t="s">
        <v>2043</v>
      </c>
      <c r="EH92" t="s">
        <v>2043</v>
      </c>
      <c r="EI92" t="s">
        <v>2043</v>
      </c>
      <c r="EJ92" t="s">
        <v>2049</v>
      </c>
      <c r="EK92" t="s">
        <v>2049</v>
      </c>
      <c r="EL92" t="s">
        <v>2049</v>
      </c>
      <c r="EY92" t="s">
        <v>2049</v>
      </c>
      <c r="FA92" t="s">
        <v>2043</v>
      </c>
      <c r="FB92" t="s">
        <v>2049</v>
      </c>
      <c r="FC92" t="s">
        <v>2049</v>
      </c>
      <c r="FF92" t="s">
        <v>2049</v>
      </c>
      <c r="FG92" t="s">
        <v>2049</v>
      </c>
      <c r="FH92" t="s">
        <v>2049</v>
      </c>
      <c r="FI92" t="s">
        <v>2049</v>
      </c>
      <c r="FY92" t="s">
        <v>2043</v>
      </c>
      <c r="FZ92" t="s">
        <v>2043</v>
      </c>
      <c r="GA92" t="s">
        <v>2049</v>
      </c>
      <c r="HD92" t="s">
        <v>2043</v>
      </c>
      <c r="HF92" t="s">
        <v>2043</v>
      </c>
      <c r="HO92" t="s">
        <v>2043</v>
      </c>
      <c r="HQ92" t="s">
        <v>2043</v>
      </c>
      <c r="HR92" t="s">
        <v>2043</v>
      </c>
      <c r="HS92" t="s">
        <v>2043</v>
      </c>
      <c r="IF92" t="s">
        <v>2043</v>
      </c>
      <c r="IG92" t="s">
        <v>2043</v>
      </c>
      <c r="IH92" t="s">
        <v>2043</v>
      </c>
      <c r="II92" t="s">
        <v>2043</v>
      </c>
      <c r="IJ92" t="s">
        <v>2043</v>
      </c>
      <c r="IO92" t="s">
        <v>2043</v>
      </c>
      <c r="JB92" t="s">
        <v>2043</v>
      </c>
      <c r="JL92" t="s">
        <v>2049</v>
      </c>
      <c r="JT92" t="s">
        <v>2043</v>
      </c>
      <c r="JV92" t="s">
        <v>2043</v>
      </c>
      <c r="JZ92" t="s">
        <v>2049</v>
      </c>
      <c r="KN92" t="s">
        <v>2043</v>
      </c>
      <c r="LG92" t="s">
        <v>2043</v>
      </c>
      <c r="LH92" t="s">
        <v>2049</v>
      </c>
      <c r="LI92" t="s">
        <v>2049</v>
      </c>
      <c r="LK92" t="s">
        <v>2049</v>
      </c>
      <c r="LL92" t="s">
        <v>2049</v>
      </c>
      <c r="LO92" t="s">
        <v>2043</v>
      </c>
      <c r="LP92" t="s">
        <v>2043</v>
      </c>
      <c r="LQ92" t="s">
        <v>2043</v>
      </c>
      <c r="LR92" t="s">
        <v>2043</v>
      </c>
      <c r="LW92" t="s">
        <v>2049</v>
      </c>
      <c r="MD92" t="s">
        <v>2043</v>
      </c>
      <c r="MG92" t="s">
        <v>2049</v>
      </c>
      <c r="MH92" t="s">
        <v>2049</v>
      </c>
      <c r="MI92" t="s">
        <v>2043</v>
      </c>
      <c r="MX92" t="s">
        <v>2043</v>
      </c>
      <c r="MZ92" t="s">
        <v>2043</v>
      </c>
      <c r="NN92" t="s">
        <v>2043</v>
      </c>
      <c r="NR92" t="s">
        <v>1548</v>
      </c>
      <c r="NS92" t="s">
        <v>2181</v>
      </c>
      <c r="NX92" t="s">
        <v>2182</v>
      </c>
      <c r="NY92" t="s">
        <v>1923</v>
      </c>
    </row>
    <row r="93" spans="4:389" ht="15" customHeight="1" x14ac:dyDescent="0.25">
      <c r="D93" t="s">
        <v>1549</v>
      </c>
      <c r="G93" t="s">
        <v>2033</v>
      </c>
      <c r="K93" t="s">
        <v>2033</v>
      </c>
      <c r="L93" t="s">
        <v>2033</v>
      </c>
      <c r="M93" t="s">
        <v>2033</v>
      </c>
      <c r="N93" t="s">
        <v>2033</v>
      </c>
      <c r="P93" t="s">
        <v>2033</v>
      </c>
      <c r="R93" t="s">
        <v>2033</v>
      </c>
      <c r="S93" t="s">
        <v>2033</v>
      </c>
      <c r="AH93" t="s">
        <v>2033</v>
      </c>
      <c r="AM93" t="s">
        <v>2046</v>
      </c>
      <c r="AO93" t="s">
        <v>2046</v>
      </c>
      <c r="AP93" t="s">
        <v>2046</v>
      </c>
      <c r="AQ93" t="s">
        <v>2033</v>
      </c>
      <c r="AR93" t="s">
        <v>2046</v>
      </c>
      <c r="BZ93" t="s">
        <v>2033</v>
      </c>
      <c r="CA93" t="s">
        <v>2046</v>
      </c>
      <c r="CE93" t="s">
        <v>2033</v>
      </c>
      <c r="CK93" t="s">
        <v>2033</v>
      </c>
      <c r="CL93" t="s">
        <v>2033</v>
      </c>
      <c r="CM93" t="s">
        <v>2033</v>
      </c>
      <c r="CN93" t="s">
        <v>2033</v>
      </c>
      <c r="CO93" t="s">
        <v>2033</v>
      </c>
      <c r="CP93" t="s">
        <v>2046</v>
      </c>
      <c r="CQ93" t="s">
        <v>2033</v>
      </c>
      <c r="CR93" t="s">
        <v>2033</v>
      </c>
      <c r="CU93" t="s">
        <v>2046</v>
      </c>
      <c r="CZ93" t="s">
        <v>2033</v>
      </c>
      <c r="DA93" t="s">
        <v>2033</v>
      </c>
      <c r="DB93" t="s">
        <v>2033</v>
      </c>
      <c r="DC93" t="s">
        <v>2033</v>
      </c>
      <c r="DJ93" t="s">
        <v>2033</v>
      </c>
      <c r="DK93" t="s">
        <v>2033</v>
      </c>
      <c r="DO93" t="s">
        <v>2046</v>
      </c>
      <c r="DP93" t="s">
        <v>2033</v>
      </c>
      <c r="DQ93" t="s">
        <v>2046</v>
      </c>
      <c r="DR93" t="s">
        <v>2033</v>
      </c>
      <c r="DT93" t="s">
        <v>2046</v>
      </c>
      <c r="DU93" t="s">
        <v>2046</v>
      </c>
      <c r="DV93" t="s">
        <v>2046</v>
      </c>
      <c r="EA93" t="s">
        <v>2046</v>
      </c>
      <c r="EB93" t="s">
        <v>2033</v>
      </c>
      <c r="EC93" t="s">
        <v>2033</v>
      </c>
      <c r="EG93" t="s">
        <v>2046</v>
      </c>
      <c r="EH93" t="s">
        <v>2046</v>
      </c>
      <c r="EI93" t="s">
        <v>2046</v>
      </c>
      <c r="EJ93" t="s">
        <v>2033</v>
      </c>
      <c r="EK93" t="s">
        <v>2033</v>
      </c>
      <c r="EL93" t="s">
        <v>2033</v>
      </c>
      <c r="EY93" t="s">
        <v>2033</v>
      </c>
      <c r="FA93" t="s">
        <v>2046</v>
      </c>
      <c r="FB93" t="s">
        <v>2033</v>
      </c>
      <c r="FC93" t="s">
        <v>2033</v>
      </c>
      <c r="FF93" t="s">
        <v>2033</v>
      </c>
      <c r="FG93" t="s">
        <v>2033</v>
      </c>
      <c r="FH93" t="s">
        <v>2033</v>
      </c>
      <c r="FI93" t="s">
        <v>2033</v>
      </c>
      <c r="FY93" t="s">
        <v>2046</v>
      </c>
      <c r="FZ93" t="s">
        <v>2046</v>
      </c>
      <c r="GA93" t="s">
        <v>2033</v>
      </c>
      <c r="HD93" t="s">
        <v>2046</v>
      </c>
      <c r="HF93" t="s">
        <v>2046</v>
      </c>
      <c r="HO93" t="s">
        <v>2046</v>
      </c>
      <c r="HQ93" t="s">
        <v>2046</v>
      </c>
      <c r="HR93" t="s">
        <v>2046</v>
      </c>
      <c r="HS93" t="s">
        <v>2046</v>
      </c>
      <c r="IF93" t="s">
        <v>2046</v>
      </c>
      <c r="IG93" t="s">
        <v>2046</v>
      </c>
      <c r="IH93" t="s">
        <v>2046</v>
      </c>
      <c r="II93" t="s">
        <v>2046</v>
      </c>
      <c r="IJ93" t="s">
        <v>2046</v>
      </c>
      <c r="IO93" t="s">
        <v>2046</v>
      </c>
      <c r="JB93" t="s">
        <v>2046</v>
      </c>
      <c r="JL93" t="s">
        <v>2033</v>
      </c>
      <c r="JT93" t="s">
        <v>2046</v>
      </c>
      <c r="JV93" t="s">
        <v>2046</v>
      </c>
      <c r="JZ93" t="s">
        <v>2033</v>
      </c>
      <c r="KN93" t="s">
        <v>2046</v>
      </c>
      <c r="LG93" t="s">
        <v>2046</v>
      </c>
      <c r="LH93" t="s">
        <v>2033</v>
      </c>
      <c r="LI93" t="s">
        <v>2033</v>
      </c>
      <c r="LK93" t="s">
        <v>2033</v>
      </c>
      <c r="LL93" t="s">
        <v>2033</v>
      </c>
      <c r="LO93" t="s">
        <v>2046</v>
      </c>
      <c r="LP93" t="s">
        <v>2046</v>
      </c>
      <c r="LQ93" t="s">
        <v>2046</v>
      </c>
      <c r="LR93" t="s">
        <v>2046</v>
      </c>
      <c r="LW93" t="s">
        <v>2033</v>
      </c>
      <c r="MD93" t="s">
        <v>2046</v>
      </c>
      <c r="MG93" t="s">
        <v>2033</v>
      </c>
      <c r="MH93" t="s">
        <v>2033</v>
      </c>
      <c r="MI93" t="s">
        <v>2046</v>
      </c>
      <c r="MX93" t="s">
        <v>2046</v>
      </c>
      <c r="MZ93" t="s">
        <v>2046</v>
      </c>
      <c r="NN93" t="s">
        <v>2046</v>
      </c>
      <c r="NR93" t="s">
        <v>1549</v>
      </c>
      <c r="NS93" t="s">
        <v>2183</v>
      </c>
      <c r="NX93" t="s">
        <v>2184</v>
      </c>
      <c r="NY93" t="s">
        <v>1923</v>
      </c>
    </row>
    <row r="94" spans="4:389" ht="15" customHeight="1" x14ac:dyDescent="0.25">
      <c r="D94" t="s">
        <v>1550</v>
      </c>
      <c r="G94" t="s">
        <v>2064</v>
      </c>
      <c r="K94" t="s">
        <v>2064</v>
      </c>
      <c r="L94" t="s">
        <v>2064</v>
      </c>
      <c r="M94" t="s">
        <v>2064</v>
      </c>
      <c r="N94" t="s">
        <v>2064</v>
      </c>
      <c r="P94" t="s">
        <v>2064</v>
      </c>
      <c r="R94" t="s">
        <v>2064</v>
      </c>
      <c r="S94" t="s">
        <v>2064</v>
      </c>
      <c r="AH94" t="s">
        <v>2064</v>
      </c>
      <c r="AM94" t="s">
        <v>2049</v>
      </c>
      <c r="AO94" t="s">
        <v>2049</v>
      </c>
      <c r="AP94" t="s">
        <v>2049</v>
      </c>
      <c r="AQ94" t="s">
        <v>2064</v>
      </c>
      <c r="AR94" t="s">
        <v>2049</v>
      </c>
      <c r="BZ94" t="s">
        <v>2064</v>
      </c>
      <c r="CA94" t="s">
        <v>2049</v>
      </c>
      <c r="CE94" t="s">
        <v>2064</v>
      </c>
      <c r="CK94" t="s">
        <v>2064</v>
      </c>
      <c r="CL94" t="s">
        <v>2064</v>
      </c>
      <c r="CM94" t="s">
        <v>2064</v>
      </c>
      <c r="CN94" t="s">
        <v>2064</v>
      </c>
      <c r="CO94" t="s">
        <v>2064</v>
      </c>
      <c r="CP94" t="s">
        <v>2049</v>
      </c>
      <c r="CQ94" t="s">
        <v>2064</v>
      </c>
      <c r="CR94" t="s">
        <v>2064</v>
      </c>
      <c r="CU94" t="s">
        <v>2049</v>
      </c>
      <c r="CZ94" t="s">
        <v>2064</v>
      </c>
      <c r="DA94" t="s">
        <v>2064</v>
      </c>
      <c r="DB94" t="s">
        <v>2064</v>
      </c>
      <c r="DC94" t="s">
        <v>2064</v>
      </c>
      <c r="DJ94" t="s">
        <v>2064</v>
      </c>
      <c r="DK94" t="s">
        <v>2064</v>
      </c>
      <c r="DO94" t="s">
        <v>2049</v>
      </c>
      <c r="DP94" t="s">
        <v>2064</v>
      </c>
      <c r="DQ94" t="s">
        <v>2049</v>
      </c>
      <c r="DR94" t="s">
        <v>2064</v>
      </c>
      <c r="DT94" t="s">
        <v>2049</v>
      </c>
      <c r="DU94" t="s">
        <v>2049</v>
      </c>
      <c r="DV94" t="s">
        <v>2049</v>
      </c>
      <c r="EA94" t="s">
        <v>2049</v>
      </c>
      <c r="EB94" t="s">
        <v>2064</v>
      </c>
      <c r="EC94" t="s">
        <v>2064</v>
      </c>
      <c r="EG94" t="s">
        <v>2049</v>
      </c>
      <c r="EH94" t="s">
        <v>2049</v>
      </c>
      <c r="EI94" t="s">
        <v>2049</v>
      </c>
      <c r="EJ94" t="s">
        <v>2064</v>
      </c>
      <c r="EK94" t="s">
        <v>2064</v>
      </c>
      <c r="EL94" t="s">
        <v>2064</v>
      </c>
      <c r="EY94" t="s">
        <v>2064</v>
      </c>
      <c r="FA94" t="s">
        <v>2049</v>
      </c>
      <c r="FB94" t="s">
        <v>2064</v>
      </c>
      <c r="FC94" t="s">
        <v>2064</v>
      </c>
      <c r="FF94" t="s">
        <v>2064</v>
      </c>
      <c r="FG94" t="s">
        <v>2064</v>
      </c>
      <c r="FH94" t="s">
        <v>2064</v>
      </c>
      <c r="FI94" t="s">
        <v>2064</v>
      </c>
      <c r="FY94" t="s">
        <v>2049</v>
      </c>
      <c r="FZ94" t="s">
        <v>2049</v>
      </c>
      <c r="GA94" t="s">
        <v>2064</v>
      </c>
      <c r="HD94" t="s">
        <v>2049</v>
      </c>
      <c r="HF94" t="s">
        <v>2049</v>
      </c>
      <c r="HO94" t="s">
        <v>2049</v>
      </c>
      <c r="HQ94" t="s">
        <v>2049</v>
      </c>
      <c r="HR94" t="s">
        <v>2049</v>
      </c>
      <c r="HS94" t="s">
        <v>2049</v>
      </c>
      <c r="IF94" t="s">
        <v>2049</v>
      </c>
      <c r="IG94" t="s">
        <v>2049</v>
      </c>
      <c r="IH94" t="s">
        <v>2049</v>
      </c>
      <c r="II94" t="s">
        <v>2049</v>
      </c>
      <c r="IJ94" t="s">
        <v>2049</v>
      </c>
      <c r="IO94" t="s">
        <v>2049</v>
      </c>
      <c r="JB94" t="s">
        <v>2049</v>
      </c>
      <c r="JL94" t="s">
        <v>2064</v>
      </c>
      <c r="JT94" t="s">
        <v>2049</v>
      </c>
      <c r="JV94" t="s">
        <v>2049</v>
      </c>
      <c r="JZ94" t="s">
        <v>2064</v>
      </c>
      <c r="KN94" t="s">
        <v>2049</v>
      </c>
      <c r="LG94" t="s">
        <v>2049</v>
      </c>
      <c r="LH94" t="s">
        <v>2064</v>
      </c>
      <c r="LI94" t="s">
        <v>2064</v>
      </c>
      <c r="LK94" t="s">
        <v>2064</v>
      </c>
      <c r="LL94" t="s">
        <v>2064</v>
      </c>
      <c r="LO94" t="s">
        <v>2049</v>
      </c>
      <c r="LP94" t="s">
        <v>2049</v>
      </c>
      <c r="LQ94" t="s">
        <v>2049</v>
      </c>
      <c r="LR94" t="s">
        <v>2049</v>
      </c>
      <c r="LW94" t="s">
        <v>2064</v>
      </c>
      <c r="MD94" t="s">
        <v>2049</v>
      </c>
      <c r="MG94" t="s">
        <v>2064</v>
      </c>
      <c r="MH94" t="s">
        <v>2064</v>
      </c>
      <c r="MI94" t="s">
        <v>2049</v>
      </c>
      <c r="MX94" t="s">
        <v>2049</v>
      </c>
      <c r="MZ94" t="s">
        <v>2049</v>
      </c>
      <c r="NN94" t="s">
        <v>2049</v>
      </c>
      <c r="NR94" t="s">
        <v>1550</v>
      </c>
      <c r="NS94" t="s">
        <v>2185</v>
      </c>
      <c r="NX94" t="s">
        <v>2186</v>
      </c>
      <c r="NY94" t="s">
        <v>1923</v>
      </c>
    </row>
    <row r="95" spans="4:389" ht="15" customHeight="1" x14ac:dyDescent="0.25">
      <c r="D95" t="s">
        <v>1551</v>
      </c>
      <c r="G95" t="s">
        <v>2053</v>
      </c>
      <c r="K95" t="s">
        <v>2053</v>
      </c>
      <c r="L95" t="s">
        <v>2053</v>
      </c>
      <c r="M95" t="s">
        <v>2053</v>
      </c>
      <c r="N95" t="s">
        <v>2053</v>
      </c>
      <c r="P95" t="s">
        <v>2053</v>
      </c>
      <c r="R95" t="s">
        <v>2053</v>
      </c>
      <c r="S95" t="s">
        <v>2053</v>
      </c>
      <c r="AH95" t="s">
        <v>2053</v>
      </c>
      <c r="AM95" t="s">
        <v>2033</v>
      </c>
      <c r="AO95" t="s">
        <v>2033</v>
      </c>
      <c r="AP95" t="s">
        <v>2033</v>
      </c>
      <c r="AQ95" t="s">
        <v>2053</v>
      </c>
      <c r="AR95" t="s">
        <v>2033</v>
      </c>
      <c r="BZ95" t="s">
        <v>2053</v>
      </c>
      <c r="CA95" t="s">
        <v>2033</v>
      </c>
      <c r="CE95" t="s">
        <v>2053</v>
      </c>
      <c r="CK95" t="s">
        <v>2053</v>
      </c>
      <c r="CL95" t="s">
        <v>2053</v>
      </c>
      <c r="CM95" t="s">
        <v>2053</v>
      </c>
      <c r="CN95" t="s">
        <v>2053</v>
      </c>
      <c r="CO95" t="s">
        <v>2053</v>
      </c>
      <c r="CP95" t="s">
        <v>2033</v>
      </c>
      <c r="CQ95" t="s">
        <v>2053</v>
      </c>
      <c r="CR95" t="s">
        <v>2053</v>
      </c>
      <c r="CU95" t="s">
        <v>2033</v>
      </c>
      <c r="CZ95" t="s">
        <v>2053</v>
      </c>
      <c r="DA95" t="s">
        <v>2053</v>
      </c>
      <c r="DB95" t="s">
        <v>2053</v>
      </c>
      <c r="DC95" t="s">
        <v>2053</v>
      </c>
      <c r="DJ95" t="s">
        <v>2053</v>
      </c>
      <c r="DK95" t="s">
        <v>2053</v>
      </c>
      <c r="DO95" t="s">
        <v>2033</v>
      </c>
      <c r="DP95" t="s">
        <v>2053</v>
      </c>
      <c r="DQ95" t="s">
        <v>2033</v>
      </c>
      <c r="DR95" t="s">
        <v>2053</v>
      </c>
      <c r="DT95" t="s">
        <v>2033</v>
      </c>
      <c r="DU95" t="s">
        <v>2033</v>
      </c>
      <c r="DV95" t="s">
        <v>2033</v>
      </c>
      <c r="EA95" t="s">
        <v>2033</v>
      </c>
      <c r="EB95" t="s">
        <v>2053</v>
      </c>
      <c r="EC95" t="s">
        <v>2053</v>
      </c>
      <c r="EG95" t="s">
        <v>2033</v>
      </c>
      <c r="EH95" t="s">
        <v>2033</v>
      </c>
      <c r="EI95" t="s">
        <v>2033</v>
      </c>
      <c r="EJ95" t="s">
        <v>2053</v>
      </c>
      <c r="EK95" t="s">
        <v>2053</v>
      </c>
      <c r="EL95" t="s">
        <v>2053</v>
      </c>
      <c r="EY95" t="s">
        <v>2053</v>
      </c>
      <c r="FA95" t="s">
        <v>2033</v>
      </c>
      <c r="FB95" t="s">
        <v>2053</v>
      </c>
      <c r="FC95" t="s">
        <v>2053</v>
      </c>
      <c r="FF95" t="s">
        <v>2053</v>
      </c>
      <c r="FG95" t="s">
        <v>2053</v>
      </c>
      <c r="FH95" t="s">
        <v>2053</v>
      </c>
      <c r="FI95" t="s">
        <v>2053</v>
      </c>
      <c r="FY95" t="s">
        <v>2033</v>
      </c>
      <c r="FZ95" t="s">
        <v>2033</v>
      </c>
      <c r="GA95" t="s">
        <v>2053</v>
      </c>
      <c r="HD95" t="s">
        <v>2033</v>
      </c>
      <c r="HF95" t="s">
        <v>2033</v>
      </c>
      <c r="HO95" t="s">
        <v>2033</v>
      </c>
      <c r="HQ95" t="s">
        <v>2033</v>
      </c>
      <c r="HR95" t="s">
        <v>2033</v>
      </c>
      <c r="HS95" t="s">
        <v>2033</v>
      </c>
      <c r="IF95" t="s">
        <v>2033</v>
      </c>
      <c r="IG95" t="s">
        <v>2033</v>
      </c>
      <c r="IH95" t="s">
        <v>2033</v>
      </c>
      <c r="II95" t="s">
        <v>2033</v>
      </c>
      <c r="IJ95" t="s">
        <v>2033</v>
      </c>
      <c r="IO95" t="s">
        <v>2033</v>
      </c>
      <c r="JB95" t="s">
        <v>2033</v>
      </c>
      <c r="JL95" t="s">
        <v>2053</v>
      </c>
      <c r="JT95" t="s">
        <v>2033</v>
      </c>
      <c r="JV95" t="s">
        <v>2033</v>
      </c>
      <c r="JZ95" t="s">
        <v>2053</v>
      </c>
      <c r="KN95" t="s">
        <v>2033</v>
      </c>
      <c r="LG95" t="s">
        <v>2033</v>
      </c>
      <c r="LH95" t="s">
        <v>2053</v>
      </c>
      <c r="LI95" t="s">
        <v>2053</v>
      </c>
      <c r="LK95" t="s">
        <v>2053</v>
      </c>
      <c r="LL95" t="s">
        <v>2053</v>
      </c>
      <c r="LO95" t="s">
        <v>2033</v>
      </c>
      <c r="LP95" t="s">
        <v>2033</v>
      </c>
      <c r="LQ95" t="s">
        <v>2033</v>
      </c>
      <c r="LR95" t="s">
        <v>2033</v>
      </c>
      <c r="LW95" t="s">
        <v>2053</v>
      </c>
      <c r="MD95" t="s">
        <v>2033</v>
      </c>
      <c r="MG95" t="s">
        <v>2053</v>
      </c>
      <c r="MH95" t="s">
        <v>2053</v>
      </c>
      <c r="MI95" t="s">
        <v>2033</v>
      </c>
      <c r="MX95" t="s">
        <v>2033</v>
      </c>
      <c r="MZ95" t="s">
        <v>2033</v>
      </c>
      <c r="NN95" t="s">
        <v>2033</v>
      </c>
      <c r="NR95" t="s">
        <v>1551</v>
      </c>
      <c r="NS95" t="s">
        <v>2187</v>
      </c>
      <c r="NX95" t="s">
        <v>2188</v>
      </c>
      <c r="NY95" t="s">
        <v>1923</v>
      </c>
    </row>
    <row r="96" spans="4:389" ht="15" customHeight="1" x14ac:dyDescent="0.25">
      <c r="D96" t="s">
        <v>1552</v>
      </c>
      <c r="G96" t="s">
        <v>2060</v>
      </c>
      <c r="K96" t="s">
        <v>2060</v>
      </c>
      <c r="L96" t="s">
        <v>2060</v>
      </c>
      <c r="M96" t="s">
        <v>2060</v>
      </c>
      <c r="N96" t="s">
        <v>2060</v>
      </c>
      <c r="P96" t="s">
        <v>2060</v>
      </c>
      <c r="R96" t="s">
        <v>2060</v>
      </c>
      <c r="S96" t="s">
        <v>2060</v>
      </c>
      <c r="AH96" t="s">
        <v>2060</v>
      </c>
      <c r="AM96" t="s">
        <v>2064</v>
      </c>
      <c r="AO96" t="s">
        <v>2064</v>
      </c>
      <c r="AP96" t="s">
        <v>2064</v>
      </c>
      <c r="AQ96" t="s">
        <v>2060</v>
      </c>
      <c r="AR96" t="s">
        <v>2064</v>
      </c>
      <c r="BZ96" t="s">
        <v>2060</v>
      </c>
      <c r="CA96" t="s">
        <v>2064</v>
      </c>
      <c r="CE96" t="s">
        <v>2060</v>
      </c>
      <c r="CK96" t="s">
        <v>2060</v>
      </c>
      <c r="CL96" t="s">
        <v>2060</v>
      </c>
      <c r="CM96" t="s">
        <v>2060</v>
      </c>
      <c r="CN96" t="s">
        <v>2060</v>
      </c>
      <c r="CO96" t="s">
        <v>2060</v>
      </c>
      <c r="CP96" t="s">
        <v>2064</v>
      </c>
      <c r="CQ96" t="s">
        <v>2060</v>
      </c>
      <c r="CR96" t="s">
        <v>2060</v>
      </c>
      <c r="CU96" t="s">
        <v>2064</v>
      </c>
      <c r="CZ96" t="s">
        <v>2060</v>
      </c>
      <c r="DA96" t="s">
        <v>2060</v>
      </c>
      <c r="DB96" t="s">
        <v>2060</v>
      </c>
      <c r="DC96" t="s">
        <v>2060</v>
      </c>
      <c r="DJ96" t="s">
        <v>2060</v>
      </c>
      <c r="DK96" t="s">
        <v>2060</v>
      </c>
      <c r="DO96" t="s">
        <v>2064</v>
      </c>
      <c r="DP96" t="s">
        <v>2060</v>
      </c>
      <c r="DQ96" t="s">
        <v>2064</v>
      </c>
      <c r="DR96" t="s">
        <v>2060</v>
      </c>
      <c r="DT96" t="s">
        <v>2064</v>
      </c>
      <c r="DU96" t="s">
        <v>2064</v>
      </c>
      <c r="DV96" t="s">
        <v>2064</v>
      </c>
      <c r="EA96" t="s">
        <v>2064</v>
      </c>
      <c r="EB96" t="s">
        <v>2060</v>
      </c>
      <c r="EC96" t="s">
        <v>2060</v>
      </c>
      <c r="EG96" t="s">
        <v>2064</v>
      </c>
      <c r="EH96" t="s">
        <v>2064</v>
      </c>
      <c r="EI96" t="s">
        <v>2064</v>
      </c>
      <c r="EJ96" t="s">
        <v>2060</v>
      </c>
      <c r="EK96" t="s">
        <v>2060</v>
      </c>
      <c r="EL96" t="s">
        <v>2060</v>
      </c>
      <c r="EY96" t="s">
        <v>2060</v>
      </c>
      <c r="FA96" t="s">
        <v>2064</v>
      </c>
      <c r="FB96" t="s">
        <v>2060</v>
      </c>
      <c r="FC96" t="s">
        <v>2060</v>
      </c>
      <c r="FF96" t="s">
        <v>2060</v>
      </c>
      <c r="FG96" t="s">
        <v>2060</v>
      </c>
      <c r="FH96" t="s">
        <v>2060</v>
      </c>
      <c r="FI96" t="s">
        <v>2060</v>
      </c>
      <c r="FY96" t="s">
        <v>2064</v>
      </c>
      <c r="FZ96" t="s">
        <v>2064</v>
      </c>
      <c r="GA96" t="s">
        <v>2060</v>
      </c>
      <c r="HD96" t="s">
        <v>2064</v>
      </c>
      <c r="HF96" t="s">
        <v>2064</v>
      </c>
      <c r="HO96" t="s">
        <v>2064</v>
      </c>
      <c r="HQ96" t="s">
        <v>2064</v>
      </c>
      <c r="HR96" t="s">
        <v>2064</v>
      </c>
      <c r="HS96" t="s">
        <v>2064</v>
      </c>
      <c r="IF96" t="s">
        <v>2064</v>
      </c>
      <c r="IG96" t="s">
        <v>2064</v>
      </c>
      <c r="IH96" t="s">
        <v>2064</v>
      </c>
      <c r="II96" t="s">
        <v>2064</v>
      </c>
      <c r="IJ96" t="s">
        <v>2064</v>
      </c>
      <c r="IO96" t="s">
        <v>2064</v>
      </c>
      <c r="JB96" t="s">
        <v>2064</v>
      </c>
      <c r="JL96" t="s">
        <v>2060</v>
      </c>
      <c r="JT96" t="s">
        <v>2064</v>
      </c>
      <c r="JV96" t="s">
        <v>2064</v>
      </c>
      <c r="JZ96" t="s">
        <v>2060</v>
      </c>
      <c r="KN96" t="s">
        <v>2064</v>
      </c>
      <c r="LG96" t="s">
        <v>2064</v>
      </c>
      <c r="LH96" t="s">
        <v>2060</v>
      </c>
      <c r="LI96" t="s">
        <v>2060</v>
      </c>
      <c r="LK96" t="s">
        <v>2060</v>
      </c>
      <c r="LL96" t="s">
        <v>2060</v>
      </c>
      <c r="LO96" t="s">
        <v>2064</v>
      </c>
      <c r="LP96" t="s">
        <v>2064</v>
      </c>
      <c r="LQ96" t="s">
        <v>2064</v>
      </c>
      <c r="LR96" t="s">
        <v>2064</v>
      </c>
      <c r="LW96" t="s">
        <v>2060</v>
      </c>
      <c r="MD96" t="s">
        <v>2064</v>
      </c>
      <c r="MG96" t="s">
        <v>2060</v>
      </c>
      <c r="MH96" t="s">
        <v>2060</v>
      </c>
      <c r="MI96" t="s">
        <v>2064</v>
      </c>
      <c r="MX96" t="s">
        <v>2064</v>
      </c>
      <c r="MZ96" t="s">
        <v>2064</v>
      </c>
      <c r="NN96" t="s">
        <v>2064</v>
      </c>
      <c r="NR96" t="s">
        <v>1552</v>
      </c>
      <c r="NS96" t="s">
        <v>2189</v>
      </c>
      <c r="NX96" t="s">
        <v>2190</v>
      </c>
      <c r="NY96" t="s">
        <v>1923</v>
      </c>
    </row>
    <row r="97" spans="4:389" ht="15" customHeight="1" x14ac:dyDescent="0.25">
      <c r="D97" t="s">
        <v>1553</v>
      </c>
      <c r="G97" t="s">
        <v>2057</v>
      </c>
      <c r="K97" t="s">
        <v>2057</v>
      </c>
      <c r="L97" t="s">
        <v>2057</v>
      </c>
      <c r="M97" t="s">
        <v>2057</v>
      </c>
      <c r="N97" t="s">
        <v>2057</v>
      </c>
      <c r="P97" t="s">
        <v>2057</v>
      </c>
      <c r="R97" t="s">
        <v>2057</v>
      </c>
      <c r="S97" t="s">
        <v>2057</v>
      </c>
      <c r="AH97" t="s">
        <v>2057</v>
      </c>
      <c r="AM97" t="s">
        <v>2053</v>
      </c>
      <c r="AO97" t="s">
        <v>2053</v>
      </c>
      <c r="AP97" t="s">
        <v>2053</v>
      </c>
      <c r="AQ97" t="s">
        <v>2057</v>
      </c>
      <c r="AR97" t="s">
        <v>2053</v>
      </c>
      <c r="BZ97" t="s">
        <v>2057</v>
      </c>
      <c r="CA97" t="s">
        <v>2053</v>
      </c>
      <c r="CE97" t="s">
        <v>2057</v>
      </c>
      <c r="CK97" t="s">
        <v>2057</v>
      </c>
      <c r="CL97" t="s">
        <v>2057</v>
      </c>
      <c r="CM97" t="s">
        <v>2057</v>
      </c>
      <c r="CN97" t="s">
        <v>2057</v>
      </c>
      <c r="CO97" t="s">
        <v>2057</v>
      </c>
      <c r="CP97" t="s">
        <v>2053</v>
      </c>
      <c r="CQ97" t="s">
        <v>2057</v>
      </c>
      <c r="CR97" t="s">
        <v>2057</v>
      </c>
      <c r="CU97" t="s">
        <v>2053</v>
      </c>
      <c r="CZ97" t="s">
        <v>2057</v>
      </c>
      <c r="DA97" t="s">
        <v>2057</v>
      </c>
      <c r="DB97" t="s">
        <v>2057</v>
      </c>
      <c r="DC97" t="s">
        <v>2057</v>
      </c>
      <c r="DJ97" t="s">
        <v>2057</v>
      </c>
      <c r="DK97" t="s">
        <v>2057</v>
      </c>
      <c r="DO97" t="s">
        <v>2053</v>
      </c>
      <c r="DP97" t="s">
        <v>2057</v>
      </c>
      <c r="DQ97" t="s">
        <v>2053</v>
      </c>
      <c r="DR97" t="s">
        <v>2057</v>
      </c>
      <c r="DT97" t="s">
        <v>2053</v>
      </c>
      <c r="DU97" t="s">
        <v>2053</v>
      </c>
      <c r="DV97" t="s">
        <v>2053</v>
      </c>
      <c r="EA97" t="s">
        <v>2053</v>
      </c>
      <c r="EB97" t="s">
        <v>2057</v>
      </c>
      <c r="EC97" t="s">
        <v>2057</v>
      </c>
      <c r="EG97" t="s">
        <v>2053</v>
      </c>
      <c r="EH97" t="s">
        <v>2053</v>
      </c>
      <c r="EI97" t="s">
        <v>2053</v>
      </c>
      <c r="EJ97" t="s">
        <v>2057</v>
      </c>
      <c r="EK97" t="s">
        <v>2057</v>
      </c>
      <c r="EL97" t="s">
        <v>2057</v>
      </c>
      <c r="EY97" t="s">
        <v>2057</v>
      </c>
      <c r="FA97" t="s">
        <v>2053</v>
      </c>
      <c r="FB97" t="s">
        <v>2057</v>
      </c>
      <c r="FC97" t="s">
        <v>2057</v>
      </c>
      <c r="FF97" t="s">
        <v>2057</v>
      </c>
      <c r="FG97" t="s">
        <v>2057</v>
      </c>
      <c r="FH97" t="s">
        <v>2057</v>
      </c>
      <c r="FI97" t="s">
        <v>2057</v>
      </c>
      <c r="FY97" t="s">
        <v>2053</v>
      </c>
      <c r="FZ97" t="s">
        <v>2053</v>
      </c>
      <c r="GA97" t="s">
        <v>2057</v>
      </c>
      <c r="HD97" t="s">
        <v>2053</v>
      </c>
      <c r="HF97" t="s">
        <v>2053</v>
      </c>
      <c r="HO97" t="s">
        <v>2053</v>
      </c>
      <c r="HQ97" t="s">
        <v>2053</v>
      </c>
      <c r="HR97" t="s">
        <v>2053</v>
      </c>
      <c r="HS97" t="s">
        <v>2053</v>
      </c>
      <c r="IF97" t="s">
        <v>2053</v>
      </c>
      <c r="IG97" t="s">
        <v>2053</v>
      </c>
      <c r="IH97" t="s">
        <v>2053</v>
      </c>
      <c r="II97" t="s">
        <v>2053</v>
      </c>
      <c r="IJ97" t="s">
        <v>2053</v>
      </c>
      <c r="IO97" t="s">
        <v>2053</v>
      </c>
      <c r="JB97" t="s">
        <v>2053</v>
      </c>
      <c r="JL97" t="s">
        <v>2057</v>
      </c>
      <c r="JT97" t="s">
        <v>2053</v>
      </c>
      <c r="JV97" t="s">
        <v>2053</v>
      </c>
      <c r="JZ97" t="s">
        <v>2057</v>
      </c>
      <c r="KN97" t="s">
        <v>2053</v>
      </c>
      <c r="LG97" t="s">
        <v>2053</v>
      </c>
      <c r="LH97" t="s">
        <v>2057</v>
      </c>
      <c r="LI97" t="s">
        <v>2057</v>
      </c>
      <c r="LK97" t="s">
        <v>2057</v>
      </c>
      <c r="LL97" t="s">
        <v>2057</v>
      </c>
      <c r="LO97" t="s">
        <v>2053</v>
      </c>
      <c r="LP97" t="s">
        <v>2053</v>
      </c>
      <c r="LQ97" t="s">
        <v>2053</v>
      </c>
      <c r="LR97" t="s">
        <v>2053</v>
      </c>
      <c r="LW97" t="s">
        <v>2057</v>
      </c>
      <c r="MD97" t="s">
        <v>2053</v>
      </c>
      <c r="MG97" t="s">
        <v>2057</v>
      </c>
      <c r="MH97" t="s">
        <v>2057</v>
      </c>
      <c r="MI97" t="s">
        <v>2053</v>
      </c>
      <c r="MX97" t="s">
        <v>2053</v>
      </c>
      <c r="MZ97" t="s">
        <v>2053</v>
      </c>
      <c r="NN97" t="s">
        <v>2053</v>
      </c>
      <c r="NR97" t="s">
        <v>1553</v>
      </c>
      <c r="NS97" t="s">
        <v>2191</v>
      </c>
      <c r="NX97" t="s">
        <v>2192</v>
      </c>
      <c r="NY97" t="s">
        <v>1923</v>
      </c>
    </row>
    <row r="98" spans="4:389" ht="15" customHeight="1" x14ac:dyDescent="0.25">
      <c r="D98" t="s">
        <v>1554</v>
      </c>
      <c r="G98" t="s">
        <v>1950</v>
      </c>
      <c r="K98" t="s">
        <v>1950</v>
      </c>
      <c r="L98" t="s">
        <v>1950</v>
      </c>
      <c r="M98" t="s">
        <v>1950</v>
      </c>
      <c r="N98" t="s">
        <v>1950</v>
      </c>
      <c r="P98" t="s">
        <v>1950</v>
      </c>
      <c r="R98" t="s">
        <v>1950</v>
      </c>
      <c r="S98" t="s">
        <v>1950</v>
      </c>
      <c r="AH98" t="s">
        <v>1950</v>
      </c>
      <c r="AM98" t="s">
        <v>2060</v>
      </c>
      <c r="AO98" t="s">
        <v>2060</v>
      </c>
      <c r="AP98" t="s">
        <v>2060</v>
      </c>
      <c r="AQ98" t="s">
        <v>1950</v>
      </c>
      <c r="AR98" t="s">
        <v>2060</v>
      </c>
      <c r="BZ98" t="s">
        <v>1950</v>
      </c>
      <c r="CA98" t="s">
        <v>2060</v>
      </c>
      <c r="CE98" t="s">
        <v>1950</v>
      </c>
      <c r="CK98" t="s">
        <v>1950</v>
      </c>
      <c r="CL98" t="s">
        <v>1950</v>
      </c>
      <c r="CM98" t="s">
        <v>1950</v>
      </c>
      <c r="CN98" t="s">
        <v>1950</v>
      </c>
      <c r="CO98" t="s">
        <v>1950</v>
      </c>
      <c r="CP98" t="s">
        <v>2060</v>
      </c>
      <c r="CQ98" t="s">
        <v>1950</v>
      </c>
      <c r="CR98" t="s">
        <v>1950</v>
      </c>
      <c r="CU98" t="s">
        <v>2060</v>
      </c>
      <c r="CZ98" t="s">
        <v>1950</v>
      </c>
      <c r="DA98" t="s">
        <v>1950</v>
      </c>
      <c r="DB98" t="s">
        <v>1950</v>
      </c>
      <c r="DC98" t="s">
        <v>1950</v>
      </c>
      <c r="DJ98" t="s">
        <v>1950</v>
      </c>
      <c r="DK98" t="s">
        <v>1950</v>
      </c>
      <c r="DO98" t="s">
        <v>2060</v>
      </c>
      <c r="DP98" t="s">
        <v>1950</v>
      </c>
      <c r="DQ98" t="s">
        <v>2060</v>
      </c>
      <c r="DR98" t="s">
        <v>1950</v>
      </c>
      <c r="DT98" t="s">
        <v>2060</v>
      </c>
      <c r="DU98" t="s">
        <v>2060</v>
      </c>
      <c r="DV98" t="s">
        <v>2060</v>
      </c>
      <c r="EA98" t="s">
        <v>2060</v>
      </c>
      <c r="EB98" t="s">
        <v>1950</v>
      </c>
      <c r="EC98" t="s">
        <v>1950</v>
      </c>
      <c r="EG98" t="s">
        <v>2060</v>
      </c>
      <c r="EH98" t="s">
        <v>2060</v>
      </c>
      <c r="EI98" t="s">
        <v>2060</v>
      </c>
      <c r="EJ98" t="s">
        <v>1950</v>
      </c>
      <c r="EK98" t="s">
        <v>1950</v>
      </c>
      <c r="EL98" t="s">
        <v>1950</v>
      </c>
      <c r="EY98" t="s">
        <v>1950</v>
      </c>
      <c r="FA98" t="s">
        <v>2060</v>
      </c>
      <c r="FB98" t="s">
        <v>1950</v>
      </c>
      <c r="FC98" t="s">
        <v>1950</v>
      </c>
      <c r="FF98" t="s">
        <v>1950</v>
      </c>
      <c r="FG98" t="s">
        <v>1950</v>
      </c>
      <c r="FH98" t="s">
        <v>1950</v>
      </c>
      <c r="FI98" t="s">
        <v>1950</v>
      </c>
      <c r="FY98" t="s">
        <v>2060</v>
      </c>
      <c r="FZ98" t="s">
        <v>2060</v>
      </c>
      <c r="GA98" t="s">
        <v>1950</v>
      </c>
      <c r="HD98" t="s">
        <v>2060</v>
      </c>
      <c r="HF98" t="s">
        <v>2060</v>
      </c>
      <c r="HO98" t="s">
        <v>2060</v>
      </c>
      <c r="HQ98" t="s">
        <v>2060</v>
      </c>
      <c r="HR98" t="s">
        <v>2060</v>
      </c>
      <c r="HS98" t="s">
        <v>2060</v>
      </c>
      <c r="IF98" t="s">
        <v>2060</v>
      </c>
      <c r="IG98" t="s">
        <v>2060</v>
      </c>
      <c r="IH98" t="s">
        <v>2060</v>
      </c>
      <c r="II98" t="s">
        <v>2060</v>
      </c>
      <c r="IJ98" t="s">
        <v>2060</v>
      </c>
      <c r="IO98" t="s">
        <v>2060</v>
      </c>
      <c r="JB98" t="s">
        <v>2060</v>
      </c>
      <c r="JL98" t="s">
        <v>1950</v>
      </c>
      <c r="JT98" t="s">
        <v>2060</v>
      </c>
      <c r="JV98" t="s">
        <v>2060</v>
      </c>
      <c r="JZ98" t="s">
        <v>1950</v>
      </c>
      <c r="KN98" t="s">
        <v>2060</v>
      </c>
      <c r="LG98" t="s">
        <v>2060</v>
      </c>
      <c r="LH98" t="s">
        <v>1950</v>
      </c>
      <c r="LI98" t="s">
        <v>1950</v>
      </c>
      <c r="LK98" t="s">
        <v>1950</v>
      </c>
      <c r="LL98" t="s">
        <v>1950</v>
      </c>
      <c r="LO98" t="s">
        <v>2060</v>
      </c>
      <c r="LP98" t="s">
        <v>2060</v>
      </c>
      <c r="LQ98" t="s">
        <v>2060</v>
      </c>
      <c r="LR98" t="s">
        <v>2060</v>
      </c>
      <c r="LW98" t="s">
        <v>1950</v>
      </c>
      <c r="MD98" t="s">
        <v>2060</v>
      </c>
      <c r="MG98" t="s">
        <v>1950</v>
      </c>
      <c r="MH98" t="s">
        <v>1950</v>
      </c>
      <c r="MI98" t="s">
        <v>2060</v>
      </c>
      <c r="MX98" t="s">
        <v>2060</v>
      </c>
      <c r="MZ98" t="s">
        <v>2060</v>
      </c>
      <c r="NN98" t="s">
        <v>2060</v>
      </c>
      <c r="NR98" t="s">
        <v>1554</v>
      </c>
      <c r="NS98" t="s">
        <v>2193</v>
      </c>
      <c r="NX98" t="s">
        <v>2194</v>
      </c>
      <c r="NY98" t="s">
        <v>1923</v>
      </c>
    </row>
    <row r="99" spans="4:389" ht="15" customHeight="1" x14ac:dyDescent="0.25">
      <c r="D99" t="s">
        <v>1555</v>
      </c>
      <c r="G99" t="s">
        <v>1841</v>
      </c>
      <c r="K99" t="s">
        <v>1841</v>
      </c>
      <c r="L99" t="s">
        <v>1841</v>
      </c>
      <c r="M99" t="s">
        <v>1841</v>
      </c>
      <c r="N99" t="s">
        <v>1841</v>
      </c>
      <c r="P99" t="s">
        <v>1841</v>
      </c>
      <c r="R99" t="s">
        <v>1841</v>
      </c>
      <c r="S99" t="s">
        <v>1841</v>
      </c>
      <c r="AH99" t="s">
        <v>1841</v>
      </c>
      <c r="AM99" t="s">
        <v>2057</v>
      </c>
      <c r="AO99" t="s">
        <v>2057</v>
      </c>
      <c r="AP99" t="s">
        <v>2057</v>
      </c>
      <c r="AQ99" t="s">
        <v>1841</v>
      </c>
      <c r="AR99" t="s">
        <v>2057</v>
      </c>
      <c r="BZ99" t="s">
        <v>1841</v>
      </c>
      <c r="CA99" t="s">
        <v>2057</v>
      </c>
      <c r="CE99" t="s">
        <v>1841</v>
      </c>
      <c r="CK99" t="s">
        <v>1841</v>
      </c>
      <c r="CL99" t="s">
        <v>1841</v>
      </c>
      <c r="CM99" t="s">
        <v>1841</v>
      </c>
      <c r="CN99" t="s">
        <v>1841</v>
      </c>
      <c r="CO99" t="s">
        <v>1841</v>
      </c>
      <c r="CP99" t="s">
        <v>2057</v>
      </c>
      <c r="CQ99" t="s">
        <v>1841</v>
      </c>
      <c r="CR99" t="s">
        <v>1841</v>
      </c>
      <c r="CU99" t="s">
        <v>2057</v>
      </c>
      <c r="CZ99" t="s">
        <v>1841</v>
      </c>
      <c r="DA99" t="s">
        <v>1841</v>
      </c>
      <c r="DB99" t="s">
        <v>1841</v>
      </c>
      <c r="DC99" t="s">
        <v>1841</v>
      </c>
      <c r="DJ99" t="s">
        <v>1841</v>
      </c>
      <c r="DK99" t="s">
        <v>1841</v>
      </c>
      <c r="DO99" t="s">
        <v>2057</v>
      </c>
      <c r="DP99" t="s">
        <v>1841</v>
      </c>
      <c r="DQ99" t="s">
        <v>2057</v>
      </c>
      <c r="DR99" t="s">
        <v>1841</v>
      </c>
      <c r="DT99" t="s">
        <v>2057</v>
      </c>
      <c r="DU99" t="s">
        <v>2057</v>
      </c>
      <c r="DV99" t="s">
        <v>2057</v>
      </c>
      <c r="EA99" t="s">
        <v>2057</v>
      </c>
      <c r="EB99" t="s">
        <v>1841</v>
      </c>
      <c r="EC99" t="s">
        <v>1841</v>
      </c>
      <c r="EG99" t="s">
        <v>2057</v>
      </c>
      <c r="EH99" t="s">
        <v>2057</v>
      </c>
      <c r="EI99" t="s">
        <v>2057</v>
      </c>
      <c r="EJ99" t="s">
        <v>1841</v>
      </c>
      <c r="EK99" t="s">
        <v>1841</v>
      </c>
      <c r="EL99" t="s">
        <v>1841</v>
      </c>
      <c r="EY99" t="s">
        <v>1841</v>
      </c>
      <c r="FA99" t="s">
        <v>2057</v>
      </c>
      <c r="FB99" t="s">
        <v>1841</v>
      </c>
      <c r="FC99" t="s">
        <v>1841</v>
      </c>
      <c r="FF99" t="s">
        <v>1841</v>
      </c>
      <c r="FG99" t="s">
        <v>1841</v>
      </c>
      <c r="FH99" t="s">
        <v>1841</v>
      </c>
      <c r="FI99" t="s">
        <v>1841</v>
      </c>
      <c r="FY99" t="s">
        <v>2057</v>
      </c>
      <c r="FZ99" t="s">
        <v>2057</v>
      </c>
      <c r="GA99" t="s">
        <v>1841</v>
      </c>
      <c r="HD99" t="s">
        <v>2057</v>
      </c>
      <c r="HF99" t="s">
        <v>2057</v>
      </c>
      <c r="HO99" t="s">
        <v>2057</v>
      </c>
      <c r="HQ99" t="s">
        <v>2057</v>
      </c>
      <c r="HR99" t="s">
        <v>2057</v>
      </c>
      <c r="HS99" t="s">
        <v>2057</v>
      </c>
      <c r="IF99" t="s">
        <v>2057</v>
      </c>
      <c r="IG99" t="s">
        <v>2057</v>
      </c>
      <c r="IH99" t="s">
        <v>2057</v>
      </c>
      <c r="II99" t="s">
        <v>2057</v>
      </c>
      <c r="IJ99" t="s">
        <v>2057</v>
      </c>
      <c r="IO99" t="s">
        <v>2057</v>
      </c>
      <c r="JB99" t="s">
        <v>2057</v>
      </c>
      <c r="JL99" t="s">
        <v>1841</v>
      </c>
      <c r="JT99" t="s">
        <v>2057</v>
      </c>
      <c r="JV99" t="s">
        <v>2057</v>
      </c>
      <c r="JZ99" t="s">
        <v>1841</v>
      </c>
      <c r="KN99" t="s">
        <v>2057</v>
      </c>
      <c r="LG99" t="s">
        <v>2057</v>
      </c>
      <c r="LH99" t="s">
        <v>1841</v>
      </c>
      <c r="LI99" t="s">
        <v>1841</v>
      </c>
      <c r="LK99" t="s">
        <v>1841</v>
      </c>
      <c r="LL99" t="s">
        <v>1841</v>
      </c>
      <c r="LO99" t="s">
        <v>2057</v>
      </c>
      <c r="LP99" t="s">
        <v>2057</v>
      </c>
      <c r="LQ99" t="s">
        <v>2057</v>
      </c>
      <c r="LR99" t="s">
        <v>2057</v>
      </c>
      <c r="LW99" t="s">
        <v>1841</v>
      </c>
      <c r="MD99" t="s">
        <v>2057</v>
      </c>
      <c r="MG99" t="s">
        <v>1841</v>
      </c>
      <c r="MH99" t="s">
        <v>1841</v>
      </c>
      <c r="MI99" t="s">
        <v>2057</v>
      </c>
      <c r="MX99" t="s">
        <v>2057</v>
      </c>
      <c r="MZ99" t="s">
        <v>2057</v>
      </c>
      <c r="NN99" t="s">
        <v>2057</v>
      </c>
      <c r="NR99" t="s">
        <v>1555</v>
      </c>
      <c r="NS99" t="s">
        <v>2195</v>
      </c>
      <c r="NX99" t="s">
        <v>2196</v>
      </c>
      <c r="NY99" t="s">
        <v>1923</v>
      </c>
    </row>
    <row r="100" spans="4:389" ht="15" customHeight="1" x14ac:dyDescent="0.25">
      <c r="D100" t="s">
        <v>1556</v>
      </c>
      <c r="G100" t="s">
        <v>1962</v>
      </c>
      <c r="K100" t="s">
        <v>1962</v>
      </c>
      <c r="L100" t="s">
        <v>1962</v>
      </c>
      <c r="M100" t="s">
        <v>1962</v>
      </c>
      <c r="N100" t="s">
        <v>1962</v>
      </c>
      <c r="P100" t="s">
        <v>1962</v>
      </c>
      <c r="R100" t="s">
        <v>1962</v>
      </c>
      <c r="S100" t="s">
        <v>1962</v>
      </c>
      <c r="AH100" t="s">
        <v>1962</v>
      </c>
      <c r="AM100" t="s">
        <v>1950</v>
      </c>
      <c r="AO100" t="s">
        <v>1950</v>
      </c>
      <c r="AP100" t="s">
        <v>1950</v>
      </c>
      <c r="AQ100" t="s">
        <v>1962</v>
      </c>
      <c r="AR100" t="s">
        <v>1950</v>
      </c>
      <c r="BZ100" t="s">
        <v>1962</v>
      </c>
      <c r="CA100" t="s">
        <v>1950</v>
      </c>
      <c r="CE100" t="s">
        <v>1962</v>
      </c>
      <c r="CK100" t="s">
        <v>1962</v>
      </c>
      <c r="CL100" t="s">
        <v>1962</v>
      </c>
      <c r="CM100" t="s">
        <v>1962</v>
      </c>
      <c r="CN100" t="s">
        <v>1962</v>
      </c>
      <c r="CO100" t="s">
        <v>1962</v>
      </c>
      <c r="CP100" t="s">
        <v>1950</v>
      </c>
      <c r="CQ100" t="s">
        <v>1962</v>
      </c>
      <c r="CR100" t="s">
        <v>1962</v>
      </c>
      <c r="CU100" t="s">
        <v>1950</v>
      </c>
      <c r="CZ100" t="s">
        <v>1962</v>
      </c>
      <c r="DA100" t="s">
        <v>1962</v>
      </c>
      <c r="DB100" t="s">
        <v>1962</v>
      </c>
      <c r="DC100" t="s">
        <v>1962</v>
      </c>
      <c r="DJ100" t="s">
        <v>1962</v>
      </c>
      <c r="DK100" t="s">
        <v>1962</v>
      </c>
      <c r="DO100" t="s">
        <v>1950</v>
      </c>
      <c r="DP100" t="s">
        <v>1962</v>
      </c>
      <c r="DQ100" t="s">
        <v>1950</v>
      </c>
      <c r="DR100" t="s">
        <v>1962</v>
      </c>
      <c r="DT100" t="s">
        <v>1950</v>
      </c>
      <c r="DU100" t="s">
        <v>1950</v>
      </c>
      <c r="DV100" t="s">
        <v>1950</v>
      </c>
      <c r="EA100" t="s">
        <v>1950</v>
      </c>
      <c r="EB100" t="s">
        <v>1962</v>
      </c>
      <c r="EC100" t="s">
        <v>1962</v>
      </c>
      <c r="EG100" t="s">
        <v>1950</v>
      </c>
      <c r="EH100" t="s">
        <v>1950</v>
      </c>
      <c r="EI100" t="s">
        <v>1950</v>
      </c>
      <c r="EJ100" t="s">
        <v>1962</v>
      </c>
      <c r="EK100" t="s">
        <v>1962</v>
      </c>
      <c r="EL100" t="s">
        <v>1962</v>
      </c>
      <c r="EY100" t="s">
        <v>1962</v>
      </c>
      <c r="FA100" t="s">
        <v>1950</v>
      </c>
      <c r="FB100" t="s">
        <v>1962</v>
      </c>
      <c r="FC100" t="s">
        <v>1962</v>
      </c>
      <c r="FF100" t="s">
        <v>1962</v>
      </c>
      <c r="FG100" t="s">
        <v>1962</v>
      </c>
      <c r="FH100" t="s">
        <v>1962</v>
      </c>
      <c r="FI100" t="s">
        <v>1962</v>
      </c>
      <c r="FY100" t="s">
        <v>1950</v>
      </c>
      <c r="FZ100" t="s">
        <v>1950</v>
      </c>
      <c r="GA100" t="s">
        <v>1962</v>
      </c>
      <c r="HD100" t="s">
        <v>1950</v>
      </c>
      <c r="HF100" t="s">
        <v>1950</v>
      </c>
      <c r="HO100" t="s">
        <v>1950</v>
      </c>
      <c r="HQ100" t="s">
        <v>1950</v>
      </c>
      <c r="HR100" t="s">
        <v>1950</v>
      </c>
      <c r="HS100" t="s">
        <v>1950</v>
      </c>
      <c r="IF100" t="s">
        <v>1950</v>
      </c>
      <c r="IG100" t="s">
        <v>1950</v>
      </c>
      <c r="IH100" t="s">
        <v>1950</v>
      </c>
      <c r="II100" t="s">
        <v>1950</v>
      </c>
      <c r="IJ100" t="s">
        <v>1950</v>
      </c>
      <c r="IO100" t="s">
        <v>1950</v>
      </c>
      <c r="JB100" t="s">
        <v>1950</v>
      </c>
      <c r="JL100" t="s">
        <v>1962</v>
      </c>
      <c r="JT100" t="s">
        <v>1950</v>
      </c>
      <c r="JV100" t="s">
        <v>1950</v>
      </c>
      <c r="JZ100" t="s">
        <v>1962</v>
      </c>
      <c r="KN100" t="s">
        <v>1950</v>
      </c>
      <c r="LG100" t="s">
        <v>1950</v>
      </c>
      <c r="LH100" t="s">
        <v>1962</v>
      </c>
      <c r="LI100" t="s">
        <v>1962</v>
      </c>
      <c r="LK100" t="s">
        <v>1962</v>
      </c>
      <c r="LL100" t="s">
        <v>1962</v>
      </c>
      <c r="LO100" t="s">
        <v>1950</v>
      </c>
      <c r="LP100" t="s">
        <v>1950</v>
      </c>
      <c r="LQ100" t="s">
        <v>1950</v>
      </c>
      <c r="LR100" t="s">
        <v>1950</v>
      </c>
      <c r="LW100" t="s">
        <v>1962</v>
      </c>
      <c r="MD100" t="s">
        <v>1950</v>
      </c>
      <c r="MG100" t="s">
        <v>1962</v>
      </c>
      <c r="MH100" t="s">
        <v>1962</v>
      </c>
      <c r="MI100" t="s">
        <v>1950</v>
      </c>
      <c r="MX100" t="s">
        <v>1950</v>
      </c>
      <c r="MZ100" t="s">
        <v>1950</v>
      </c>
      <c r="NN100" t="s">
        <v>1950</v>
      </c>
      <c r="NR100" t="s">
        <v>1556</v>
      </c>
      <c r="NS100" t="s">
        <v>2197</v>
      </c>
      <c r="NX100" t="s">
        <v>2198</v>
      </c>
      <c r="NY100" t="s">
        <v>1923</v>
      </c>
    </row>
    <row r="101" spans="4:389" ht="15" customHeight="1" x14ac:dyDescent="0.25">
      <c r="D101" t="s">
        <v>1557</v>
      </c>
      <c r="G101" t="s">
        <v>1969</v>
      </c>
      <c r="K101" t="s">
        <v>1969</v>
      </c>
      <c r="L101" t="s">
        <v>1969</v>
      </c>
      <c r="M101" t="s">
        <v>1969</v>
      </c>
      <c r="N101" t="s">
        <v>1969</v>
      </c>
      <c r="P101" t="s">
        <v>1969</v>
      </c>
      <c r="R101" t="s">
        <v>1969</v>
      </c>
      <c r="S101" t="s">
        <v>1969</v>
      </c>
      <c r="AH101" t="s">
        <v>1969</v>
      </c>
      <c r="AM101" t="s">
        <v>1841</v>
      </c>
      <c r="AO101" t="s">
        <v>1841</v>
      </c>
      <c r="AP101" t="s">
        <v>1841</v>
      </c>
      <c r="AQ101" t="s">
        <v>1969</v>
      </c>
      <c r="AR101" t="s">
        <v>1841</v>
      </c>
      <c r="BZ101" t="s">
        <v>1969</v>
      </c>
      <c r="CA101" t="s">
        <v>1841</v>
      </c>
      <c r="CE101" t="s">
        <v>1969</v>
      </c>
      <c r="CK101" t="s">
        <v>1969</v>
      </c>
      <c r="CL101" t="s">
        <v>1969</v>
      </c>
      <c r="CM101" t="s">
        <v>1969</v>
      </c>
      <c r="CN101" t="s">
        <v>1969</v>
      </c>
      <c r="CO101" t="s">
        <v>1969</v>
      </c>
      <c r="CP101" t="s">
        <v>1841</v>
      </c>
      <c r="CQ101" t="s">
        <v>1969</v>
      </c>
      <c r="CR101" t="s">
        <v>1969</v>
      </c>
      <c r="CU101" t="s">
        <v>1841</v>
      </c>
      <c r="CZ101" t="s">
        <v>1969</v>
      </c>
      <c r="DA101" t="s">
        <v>1969</v>
      </c>
      <c r="DB101" t="s">
        <v>1969</v>
      </c>
      <c r="DC101" t="s">
        <v>1969</v>
      </c>
      <c r="DJ101" t="s">
        <v>1969</v>
      </c>
      <c r="DK101" t="s">
        <v>1969</v>
      </c>
      <c r="DO101" t="s">
        <v>1841</v>
      </c>
      <c r="DP101" t="s">
        <v>1969</v>
      </c>
      <c r="DQ101" t="s">
        <v>1841</v>
      </c>
      <c r="DR101" t="s">
        <v>1969</v>
      </c>
      <c r="DT101" t="s">
        <v>1841</v>
      </c>
      <c r="DU101" t="s">
        <v>1841</v>
      </c>
      <c r="DV101" t="s">
        <v>1841</v>
      </c>
      <c r="EA101" t="s">
        <v>1841</v>
      </c>
      <c r="EB101" t="s">
        <v>1969</v>
      </c>
      <c r="EC101" t="s">
        <v>1969</v>
      </c>
      <c r="EG101" t="s">
        <v>1841</v>
      </c>
      <c r="EH101" t="s">
        <v>1841</v>
      </c>
      <c r="EI101" t="s">
        <v>1841</v>
      </c>
      <c r="EJ101" t="s">
        <v>1969</v>
      </c>
      <c r="EK101" t="s">
        <v>1969</v>
      </c>
      <c r="EL101" t="s">
        <v>1969</v>
      </c>
      <c r="EY101" t="s">
        <v>1969</v>
      </c>
      <c r="FA101" t="s">
        <v>1841</v>
      </c>
      <c r="FB101" t="s">
        <v>1969</v>
      </c>
      <c r="FC101" t="s">
        <v>1969</v>
      </c>
      <c r="FF101" t="s">
        <v>1969</v>
      </c>
      <c r="FG101" t="s">
        <v>1969</v>
      </c>
      <c r="FH101" t="s">
        <v>1969</v>
      </c>
      <c r="FI101" t="s">
        <v>1969</v>
      </c>
      <c r="FY101" t="s">
        <v>1841</v>
      </c>
      <c r="FZ101" t="s">
        <v>1841</v>
      </c>
      <c r="GA101" t="s">
        <v>1969</v>
      </c>
      <c r="HD101" t="s">
        <v>1841</v>
      </c>
      <c r="HF101" t="s">
        <v>1841</v>
      </c>
      <c r="HO101" t="s">
        <v>1841</v>
      </c>
      <c r="HQ101" t="s">
        <v>1841</v>
      </c>
      <c r="HR101" t="s">
        <v>1841</v>
      </c>
      <c r="HS101" t="s">
        <v>1841</v>
      </c>
      <c r="IF101" t="s">
        <v>1841</v>
      </c>
      <c r="IG101" t="s">
        <v>1841</v>
      </c>
      <c r="IH101" t="s">
        <v>1841</v>
      </c>
      <c r="II101" t="s">
        <v>1841</v>
      </c>
      <c r="IJ101" t="s">
        <v>1841</v>
      </c>
      <c r="IO101" t="s">
        <v>1841</v>
      </c>
      <c r="JB101" t="s">
        <v>1841</v>
      </c>
      <c r="JL101" t="s">
        <v>1969</v>
      </c>
      <c r="JT101" t="s">
        <v>1841</v>
      </c>
      <c r="JV101" t="s">
        <v>1841</v>
      </c>
      <c r="JZ101" t="s">
        <v>1969</v>
      </c>
      <c r="KN101" t="s">
        <v>1841</v>
      </c>
      <c r="LG101" t="s">
        <v>1841</v>
      </c>
      <c r="LH101" t="s">
        <v>1969</v>
      </c>
      <c r="LI101" t="s">
        <v>1969</v>
      </c>
      <c r="LK101" t="s">
        <v>1969</v>
      </c>
      <c r="LL101" t="s">
        <v>1969</v>
      </c>
      <c r="LO101" t="s">
        <v>1841</v>
      </c>
      <c r="LP101" t="s">
        <v>1841</v>
      </c>
      <c r="LQ101" t="s">
        <v>1841</v>
      </c>
      <c r="LR101" t="s">
        <v>1841</v>
      </c>
      <c r="LW101" t="s">
        <v>1969</v>
      </c>
      <c r="MD101" t="s">
        <v>1841</v>
      </c>
      <c r="MG101" t="s">
        <v>1969</v>
      </c>
      <c r="MH101" t="s">
        <v>1969</v>
      </c>
      <c r="MI101" t="s">
        <v>1841</v>
      </c>
      <c r="MX101" t="s">
        <v>1841</v>
      </c>
      <c r="MZ101" t="s">
        <v>1841</v>
      </c>
      <c r="NN101" t="s">
        <v>1841</v>
      </c>
      <c r="NR101" t="s">
        <v>1557</v>
      </c>
      <c r="NS101" t="s">
        <v>2199</v>
      </c>
      <c r="NX101" t="s">
        <v>2200</v>
      </c>
      <c r="NY101" t="s">
        <v>1923</v>
      </c>
    </row>
    <row r="102" spans="4:389" ht="15" customHeight="1" x14ac:dyDescent="0.25">
      <c r="D102" t="s">
        <v>1558</v>
      </c>
      <c r="G102" t="s">
        <v>1978</v>
      </c>
      <c r="K102" t="s">
        <v>1978</v>
      </c>
      <c r="L102" t="s">
        <v>1978</v>
      </c>
      <c r="M102" t="s">
        <v>1978</v>
      </c>
      <c r="N102" t="s">
        <v>1978</v>
      </c>
      <c r="P102" t="s">
        <v>1978</v>
      </c>
      <c r="R102" t="s">
        <v>1978</v>
      </c>
      <c r="S102" t="s">
        <v>1978</v>
      </c>
      <c r="AH102" t="s">
        <v>1978</v>
      </c>
      <c r="AM102" t="s">
        <v>1962</v>
      </c>
      <c r="AO102" t="s">
        <v>1962</v>
      </c>
      <c r="AP102" t="s">
        <v>1962</v>
      </c>
      <c r="AQ102" t="s">
        <v>1978</v>
      </c>
      <c r="AR102" t="s">
        <v>1962</v>
      </c>
      <c r="BZ102" t="s">
        <v>1978</v>
      </c>
      <c r="CA102" t="s">
        <v>1962</v>
      </c>
      <c r="CE102" t="s">
        <v>1978</v>
      </c>
      <c r="CK102" t="s">
        <v>1978</v>
      </c>
      <c r="CL102" t="s">
        <v>1978</v>
      </c>
      <c r="CM102" t="s">
        <v>1978</v>
      </c>
      <c r="CN102" t="s">
        <v>1978</v>
      </c>
      <c r="CO102" t="s">
        <v>1978</v>
      </c>
      <c r="CP102" t="s">
        <v>1962</v>
      </c>
      <c r="CQ102" t="s">
        <v>1978</v>
      </c>
      <c r="CR102" t="s">
        <v>1978</v>
      </c>
      <c r="CU102" t="s">
        <v>1962</v>
      </c>
      <c r="CZ102" t="s">
        <v>1978</v>
      </c>
      <c r="DA102" t="s">
        <v>1978</v>
      </c>
      <c r="DB102" t="s">
        <v>1978</v>
      </c>
      <c r="DC102" t="s">
        <v>1978</v>
      </c>
      <c r="DJ102" t="s">
        <v>1978</v>
      </c>
      <c r="DK102" t="s">
        <v>1978</v>
      </c>
      <c r="DO102" t="s">
        <v>1962</v>
      </c>
      <c r="DP102" t="s">
        <v>1978</v>
      </c>
      <c r="DQ102" t="s">
        <v>1962</v>
      </c>
      <c r="DR102" t="s">
        <v>1978</v>
      </c>
      <c r="DT102" t="s">
        <v>1962</v>
      </c>
      <c r="DU102" t="s">
        <v>1962</v>
      </c>
      <c r="DV102" t="s">
        <v>1962</v>
      </c>
      <c r="EA102" t="s">
        <v>1962</v>
      </c>
      <c r="EB102" t="s">
        <v>1978</v>
      </c>
      <c r="EC102" t="s">
        <v>1978</v>
      </c>
      <c r="EG102" t="s">
        <v>1962</v>
      </c>
      <c r="EH102" t="s">
        <v>1962</v>
      </c>
      <c r="EI102" t="s">
        <v>1962</v>
      </c>
      <c r="EJ102" t="s">
        <v>1978</v>
      </c>
      <c r="EK102" t="s">
        <v>1978</v>
      </c>
      <c r="EL102" t="s">
        <v>1978</v>
      </c>
      <c r="EY102" t="s">
        <v>1978</v>
      </c>
      <c r="FA102" t="s">
        <v>1962</v>
      </c>
      <c r="FB102" t="s">
        <v>1978</v>
      </c>
      <c r="FC102" t="s">
        <v>1978</v>
      </c>
      <c r="FF102" t="s">
        <v>1978</v>
      </c>
      <c r="FG102" t="s">
        <v>1978</v>
      </c>
      <c r="FH102" t="s">
        <v>1978</v>
      </c>
      <c r="FI102" t="s">
        <v>1978</v>
      </c>
      <c r="FY102" t="s">
        <v>1962</v>
      </c>
      <c r="FZ102" t="s">
        <v>1962</v>
      </c>
      <c r="GA102" t="s">
        <v>1978</v>
      </c>
      <c r="HD102" t="s">
        <v>1962</v>
      </c>
      <c r="HF102" t="s">
        <v>1962</v>
      </c>
      <c r="HO102" t="s">
        <v>1962</v>
      </c>
      <c r="HQ102" t="s">
        <v>1962</v>
      </c>
      <c r="HR102" t="s">
        <v>1962</v>
      </c>
      <c r="HS102" t="s">
        <v>1962</v>
      </c>
      <c r="IF102" t="s">
        <v>1962</v>
      </c>
      <c r="IG102" t="s">
        <v>1962</v>
      </c>
      <c r="IH102" t="s">
        <v>1962</v>
      </c>
      <c r="II102" t="s">
        <v>1962</v>
      </c>
      <c r="IJ102" t="s">
        <v>1962</v>
      </c>
      <c r="IO102" t="s">
        <v>1962</v>
      </c>
      <c r="JB102" t="s">
        <v>1962</v>
      </c>
      <c r="JL102" t="s">
        <v>1978</v>
      </c>
      <c r="JT102" t="s">
        <v>1962</v>
      </c>
      <c r="JV102" t="s">
        <v>1962</v>
      </c>
      <c r="JZ102" t="s">
        <v>1978</v>
      </c>
      <c r="KN102" t="s">
        <v>1962</v>
      </c>
      <c r="LG102" t="s">
        <v>1962</v>
      </c>
      <c r="LH102" t="s">
        <v>1978</v>
      </c>
      <c r="LI102" t="s">
        <v>1978</v>
      </c>
      <c r="LK102" t="s">
        <v>1978</v>
      </c>
      <c r="LL102" t="s">
        <v>1978</v>
      </c>
      <c r="LO102" t="s">
        <v>1962</v>
      </c>
      <c r="LP102" t="s">
        <v>1962</v>
      </c>
      <c r="LQ102" t="s">
        <v>1962</v>
      </c>
      <c r="LR102" t="s">
        <v>1962</v>
      </c>
      <c r="LW102" t="s">
        <v>1978</v>
      </c>
      <c r="MD102" t="s">
        <v>1962</v>
      </c>
      <c r="MG102" t="s">
        <v>1978</v>
      </c>
      <c r="MH102" t="s">
        <v>1978</v>
      </c>
      <c r="MI102" t="s">
        <v>1962</v>
      </c>
      <c r="MX102" t="s">
        <v>1962</v>
      </c>
      <c r="MZ102" t="s">
        <v>1962</v>
      </c>
      <c r="NN102" t="s">
        <v>1962</v>
      </c>
      <c r="NR102" t="s">
        <v>1558</v>
      </c>
      <c r="NS102" t="s">
        <v>2201</v>
      </c>
      <c r="NX102" t="s">
        <v>2202</v>
      </c>
      <c r="NY102" t="s">
        <v>1923</v>
      </c>
    </row>
    <row r="103" spans="4:389" ht="15" customHeight="1" x14ac:dyDescent="0.25">
      <c r="D103" t="s">
        <v>1559</v>
      </c>
      <c r="G103" t="s">
        <v>2080</v>
      </c>
      <c r="K103" t="s">
        <v>2080</v>
      </c>
      <c r="L103" t="s">
        <v>2080</v>
      </c>
      <c r="M103" t="s">
        <v>2080</v>
      </c>
      <c r="N103" t="s">
        <v>2080</v>
      </c>
      <c r="P103" t="s">
        <v>2080</v>
      </c>
      <c r="R103" t="s">
        <v>2080</v>
      </c>
      <c r="S103" t="s">
        <v>2080</v>
      </c>
      <c r="AH103" t="s">
        <v>2080</v>
      </c>
      <c r="AM103" t="s">
        <v>1969</v>
      </c>
      <c r="AO103" t="s">
        <v>1969</v>
      </c>
      <c r="AP103" t="s">
        <v>1969</v>
      </c>
      <c r="AQ103" t="s">
        <v>2080</v>
      </c>
      <c r="AR103" t="s">
        <v>1969</v>
      </c>
      <c r="BZ103" t="s">
        <v>2080</v>
      </c>
      <c r="CA103" t="s">
        <v>1969</v>
      </c>
      <c r="CE103" t="s">
        <v>2080</v>
      </c>
      <c r="CK103" t="s">
        <v>2080</v>
      </c>
      <c r="CL103" t="s">
        <v>2080</v>
      </c>
      <c r="CM103" t="s">
        <v>2080</v>
      </c>
      <c r="CN103" t="s">
        <v>2080</v>
      </c>
      <c r="CO103" t="s">
        <v>2080</v>
      </c>
      <c r="CP103" t="s">
        <v>1969</v>
      </c>
      <c r="CQ103" t="s">
        <v>2080</v>
      </c>
      <c r="CR103" t="s">
        <v>2080</v>
      </c>
      <c r="CU103" t="s">
        <v>1969</v>
      </c>
      <c r="CZ103" t="s">
        <v>2080</v>
      </c>
      <c r="DA103" t="s">
        <v>2080</v>
      </c>
      <c r="DB103" t="s">
        <v>2080</v>
      </c>
      <c r="DC103" t="s">
        <v>2080</v>
      </c>
      <c r="DJ103" t="s">
        <v>2080</v>
      </c>
      <c r="DK103" t="s">
        <v>2080</v>
      </c>
      <c r="DO103" t="s">
        <v>1969</v>
      </c>
      <c r="DP103" t="s">
        <v>2080</v>
      </c>
      <c r="DQ103" t="s">
        <v>1969</v>
      </c>
      <c r="DR103" t="s">
        <v>2080</v>
      </c>
      <c r="DT103" t="s">
        <v>1969</v>
      </c>
      <c r="DU103" t="s">
        <v>1969</v>
      </c>
      <c r="DV103" t="s">
        <v>1969</v>
      </c>
      <c r="EA103" t="s">
        <v>1969</v>
      </c>
      <c r="EB103" t="s">
        <v>2080</v>
      </c>
      <c r="EC103" t="s">
        <v>2080</v>
      </c>
      <c r="EG103" t="s">
        <v>1969</v>
      </c>
      <c r="EH103" t="s">
        <v>1969</v>
      </c>
      <c r="EI103" t="s">
        <v>1969</v>
      </c>
      <c r="EJ103" t="s">
        <v>2080</v>
      </c>
      <c r="EK103" t="s">
        <v>2080</v>
      </c>
      <c r="EL103" t="s">
        <v>2080</v>
      </c>
      <c r="EY103" t="s">
        <v>2080</v>
      </c>
      <c r="FA103" t="s">
        <v>1969</v>
      </c>
      <c r="FB103" t="s">
        <v>2080</v>
      </c>
      <c r="FC103" t="s">
        <v>2080</v>
      </c>
      <c r="FF103" t="s">
        <v>2080</v>
      </c>
      <c r="FG103" t="s">
        <v>2080</v>
      </c>
      <c r="FH103" t="s">
        <v>2080</v>
      </c>
      <c r="FI103" t="s">
        <v>2080</v>
      </c>
      <c r="FY103" t="s">
        <v>1969</v>
      </c>
      <c r="FZ103" t="s">
        <v>1969</v>
      </c>
      <c r="GA103" t="s">
        <v>2080</v>
      </c>
      <c r="HD103" t="s">
        <v>1969</v>
      </c>
      <c r="HF103" t="s">
        <v>1969</v>
      </c>
      <c r="HO103" t="s">
        <v>1969</v>
      </c>
      <c r="HQ103" t="s">
        <v>1969</v>
      </c>
      <c r="HR103" t="s">
        <v>1969</v>
      </c>
      <c r="HS103" t="s">
        <v>1969</v>
      </c>
      <c r="IF103" t="s">
        <v>1969</v>
      </c>
      <c r="IG103" t="s">
        <v>1969</v>
      </c>
      <c r="IH103" t="s">
        <v>1969</v>
      </c>
      <c r="II103" t="s">
        <v>1969</v>
      </c>
      <c r="IJ103" t="s">
        <v>1969</v>
      </c>
      <c r="IO103" t="s">
        <v>1969</v>
      </c>
      <c r="JB103" t="s">
        <v>1969</v>
      </c>
      <c r="JL103" t="s">
        <v>2080</v>
      </c>
      <c r="JT103" t="s">
        <v>1969</v>
      </c>
      <c r="JV103" t="s">
        <v>1969</v>
      </c>
      <c r="JZ103" t="s">
        <v>2080</v>
      </c>
      <c r="KN103" t="s">
        <v>1969</v>
      </c>
      <c r="LG103" t="s">
        <v>1969</v>
      </c>
      <c r="LH103" t="s">
        <v>2080</v>
      </c>
      <c r="LI103" t="s">
        <v>2080</v>
      </c>
      <c r="LK103" t="s">
        <v>2080</v>
      </c>
      <c r="LL103" t="s">
        <v>2080</v>
      </c>
      <c r="LO103" t="s">
        <v>1969</v>
      </c>
      <c r="LP103" t="s">
        <v>1969</v>
      </c>
      <c r="LQ103" t="s">
        <v>1969</v>
      </c>
      <c r="LR103" t="s">
        <v>1969</v>
      </c>
      <c r="LW103" t="s">
        <v>2080</v>
      </c>
      <c r="MD103" t="s">
        <v>1969</v>
      </c>
      <c r="MG103" t="s">
        <v>2080</v>
      </c>
      <c r="MH103" t="s">
        <v>2080</v>
      </c>
      <c r="MI103" t="s">
        <v>1969</v>
      </c>
      <c r="MX103" t="s">
        <v>1969</v>
      </c>
      <c r="MZ103" t="s">
        <v>1969</v>
      </c>
      <c r="NN103" t="s">
        <v>1969</v>
      </c>
      <c r="NR103" t="s">
        <v>1559</v>
      </c>
      <c r="NS103" t="s">
        <v>2203</v>
      </c>
      <c r="NX103" t="s">
        <v>2204</v>
      </c>
      <c r="NY103" t="s">
        <v>1923</v>
      </c>
    </row>
    <row r="104" spans="4:389" ht="15" customHeight="1" x14ac:dyDescent="0.25">
      <c r="D104" t="s">
        <v>1560</v>
      </c>
      <c r="G104" t="s">
        <v>2083</v>
      </c>
      <c r="K104" t="s">
        <v>2083</v>
      </c>
      <c r="L104" t="s">
        <v>2083</v>
      </c>
      <c r="M104" t="s">
        <v>2083</v>
      </c>
      <c r="N104" t="s">
        <v>2083</v>
      </c>
      <c r="P104" t="s">
        <v>2083</v>
      </c>
      <c r="R104" t="s">
        <v>2083</v>
      </c>
      <c r="S104" t="s">
        <v>2083</v>
      </c>
      <c r="AH104" t="s">
        <v>2083</v>
      </c>
      <c r="AM104" t="s">
        <v>1978</v>
      </c>
      <c r="AO104" t="s">
        <v>1978</v>
      </c>
      <c r="AP104" t="s">
        <v>1978</v>
      </c>
      <c r="AQ104" t="s">
        <v>2083</v>
      </c>
      <c r="AR104" t="s">
        <v>1978</v>
      </c>
      <c r="BZ104" t="s">
        <v>2083</v>
      </c>
      <c r="CA104" t="s">
        <v>1978</v>
      </c>
      <c r="CE104" t="s">
        <v>2083</v>
      </c>
      <c r="CK104" t="s">
        <v>2083</v>
      </c>
      <c r="CL104" t="s">
        <v>2083</v>
      </c>
      <c r="CM104" t="s">
        <v>2083</v>
      </c>
      <c r="CN104" t="s">
        <v>2083</v>
      </c>
      <c r="CO104" t="s">
        <v>2083</v>
      </c>
      <c r="CP104" t="s">
        <v>1978</v>
      </c>
      <c r="CQ104" t="s">
        <v>2083</v>
      </c>
      <c r="CR104" t="s">
        <v>2083</v>
      </c>
      <c r="CU104" t="s">
        <v>1978</v>
      </c>
      <c r="CZ104" t="s">
        <v>2083</v>
      </c>
      <c r="DA104" t="s">
        <v>2083</v>
      </c>
      <c r="DB104" t="s">
        <v>2083</v>
      </c>
      <c r="DC104" t="s">
        <v>2083</v>
      </c>
      <c r="DJ104" t="s">
        <v>2083</v>
      </c>
      <c r="DK104" t="s">
        <v>2083</v>
      </c>
      <c r="DO104" t="s">
        <v>1978</v>
      </c>
      <c r="DP104" t="s">
        <v>2083</v>
      </c>
      <c r="DQ104" t="s">
        <v>1978</v>
      </c>
      <c r="DR104" t="s">
        <v>2083</v>
      </c>
      <c r="DT104" t="s">
        <v>1978</v>
      </c>
      <c r="DU104" t="s">
        <v>1978</v>
      </c>
      <c r="DV104" t="s">
        <v>1978</v>
      </c>
      <c r="EA104" t="s">
        <v>1978</v>
      </c>
      <c r="EB104" t="s">
        <v>2083</v>
      </c>
      <c r="EC104" t="s">
        <v>2083</v>
      </c>
      <c r="EG104" t="s">
        <v>1978</v>
      </c>
      <c r="EH104" t="s">
        <v>1978</v>
      </c>
      <c r="EI104" t="s">
        <v>1978</v>
      </c>
      <c r="EJ104" t="s">
        <v>2083</v>
      </c>
      <c r="EK104" t="s">
        <v>2083</v>
      </c>
      <c r="EL104" t="s">
        <v>2083</v>
      </c>
      <c r="EY104" t="s">
        <v>2083</v>
      </c>
      <c r="FA104" t="s">
        <v>1978</v>
      </c>
      <c r="FB104" t="s">
        <v>2083</v>
      </c>
      <c r="FC104" t="s">
        <v>2083</v>
      </c>
      <c r="FF104" t="s">
        <v>2083</v>
      </c>
      <c r="FG104" t="s">
        <v>2083</v>
      </c>
      <c r="FH104" t="s">
        <v>2083</v>
      </c>
      <c r="FI104" t="s">
        <v>2083</v>
      </c>
      <c r="FY104" t="s">
        <v>1978</v>
      </c>
      <c r="FZ104" t="s">
        <v>1978</v>
      </c>
      <c r="GA104" t="s">
        <v>2083</v>
      </c>
      <c r="HD104" t="s">
        <v>1978</v>
      </c>
      <c r="HF104" t="s">
        <v>1978</v>
      </c>
      <c r="HO104" t="s">
        <v>1978</v>
      </c>
      <c r="HQ104" t="s">
        <v>1978</v>
      </c>
      <c r="HR104" t="s">
        <v>1978</v>
      </c>
      <c r="HS104" t="s">
        <v>1978</v>
      </c>
      <c r="IF104" t="s">
        <v>1978</v>
      </c>
      <c r="IG104" t="s">
        <v>1978</v>
      </c>
      <c r="IH104" t="s">
        <v>1978</v>
      </c>
      <c r="II104" t="s">
        <v>1978</v>
      </c>
      <c r="IJ104" t="s">
        <v>1978</v>
      </c>
      <c r="IO104" t="s">
        <v>1978</v>
      </c>
      <c r="JB104" t="s">
        <v>1978</v>
      </c>
      <c r="JL104" t="s">
        <v>2083</v>
      </c>
      <c r="JT104" t="s">
        <v>1978</v>
      </c>
      <c r="JV104" t="s">
        <v>1978</v>
      </c>
      <c r="JZ104" t="s">
        <v>2083</v>
      </c>
      <c r="KN104" t="s">
        <v>1978</v>
      </c>
      <c r="LG104" t="s">
        <v>1978</v>
      </c>
      <c r="LH104" t="s">
        <v>2083</v>
      </c>
      <c r="LI104" t="s">
        <v>2083</v>
      </c>
      <c r="LK104" t="s">
        <v>2083</v>
      </c>
      <c r="LL104" t="s">
        <v>2083</v>
      </c>
      <c r="LO104" t="s">
        <v>1978</v>
      </c>
      <c r="LP104" t="s">
        <v>1978</v>
      </c>
      <c r="LQ104" t="s">
        <v>1978</v>
      </c>
      <c r="LR104" t="s">
        <v>1978</v>
      </c>
      <c r="LW104" t="s">
        <v>2083</v>
      </c>
      <c r="MD104" t="s">
        <v>1978</v>
      </c>
      <c r="MG104" t="s">
        <v>2083</v>
      </c>
      <c r="MH104" t="s">
        <v>2083</v>
      </c>
      <c r="MI104" t="s">
        <v>1978</v>
      </c>
      <c r="MX104" t="s">
        <v>1978</v>
      </c>
      <c r="MZ104" t="s">
        <v>1978</v>
      </c>
      <c r="NN104" t="s">
        <v>1978</v>
      </c>
      <c r="NR104" t="s">
        <v>1560</v>
      </c>
      <c r="NS104" t="s">
        <v>2205</v>
      </c>
      <c r="NX104" t="s">
        <v>2206</v>
      </c>
      <c r="NY104" t="s">
        <v>1923</v>
      </c>
    </row>
    <row r="105" spans="4:389" ht="15" customHeight="1" x14ac:dyDescent="0.25">
      <c r="D105" t="s">
        <v>1561</v>
      </c>
      <c r="G105" t="s">
        <v>2090</v>
      </c>
      <c r="K105" t="s">
        <v>2090</v>
      </c>
      <c r="L105" t="s">
        <v>2090</v>
      </c>
      <c r="M105" t="s">
        <v>2090</v>
      </c>
      <c r="N105" t="s">
        <v>2090</v>
      </c>
      <c r="P105" t="s">
        <v>2090</v>
      </c>
      <c r="R105" t="s">
        <v>2090</v>
      </c>
      <c r="S105" t="s">
        <v>2090</v>
      </c>
      <c r="AH105" t="s">
        <v>2090</v>
      </c>
      <c r="AM105" t="s">
        <v>2080</v>
      </c>
      <c r="AO105" t="s">
        <v>2080</v>
      </c>
      <c r="AP105" t="s">
        <v>2080</v>
      </c>
      <c r="AQ105" t="s">
        <v>2090</v>
      </c>
      <c r="AR105" t="s">
        <v>2080</v>
      </c>
      <c r="BZ105" t="s">
        <v>2090</v>
      </c>
      <c r="CA105" t="s">
        <v>2080</v>
      </c>
      <c r="CE105" t="s">
        <v>2090</v>
      </c>
      <c r="CK105" t="s">
        <v>2090</v>
      </c>
      <c r="CL105" t="s">
        <v>2090</v>
      </c>
      <c r="CM105" t="s">
        <v>2090</v>
      </c>
      <c r="CN105" t="s">
        <v>2090</v>
      </c>
      <c r="CO105" t="s">
        <v>2090</v>
      </c>
      <c r="CP105" t="s">
        <v>2080</v>
      </c>
      <c r="CQ105" t="s">
        <v>2090</v>
      </c>
      <c r="CR105" t="s">
        <v>2090</v>
      </c>
      <c r="CU105" t="s">
        <v>2080</v>
      </c>
      <c r="CZ105" t="s">
        <v>2090</v>
      </c>
      <c r="DA105" t="s">
        <v>2090</v>
      </c>
      <c r="DB105" t="s">
        <v>2090</v>
      </c>
      <c r="DC105" t="s">
        <v>2090</v>
      </c>
      <c r="DJ105" t="s">
        <v>2090</v>
      </c>
      <c r="DK105" t="s">
        <v>2090</v>
      </c>
      <c r="DO105" t="s">
        <v>2080</v>
      </c>
      <c r="DP105" t="s">
        <v>2090</v>
      </c>
      <c r="DQ105" t="s">
        <v>2080</v>
      </c>
      <c r="DR105" t="s">
        <v>2090</v>
      </c>
      <c r="DT105" t="s">
        <v>2080</v>
      </c>
      <c r="DU105" t="s">
        <v>2080</v>
      </c>
      <c r="DV105" t="s">
        <v>2080</v>
      </c>
      <c r="EA105" t="s">
        <v>2080</v>
      </c>
      <c r="EB105" t="s">
        <v>2090</v>
      </c>
      <c r="EC105" t="s">
        <v>2090</v>
      </c>
      <c r="EG105" t="s">
        <v>2080</v>
      </c>
      <c r="EH105" t="s">
        <v>2080</v>
      </c>
      <c r="EI105" t="s">
        <v>2080</v>
      </c>
      <c r="EJ105" t="s">
        <v>2090</v>
      </c>
      <c r="EK105" t="s">
        <v>2090</v>
      </c>
      <c r="EL105" t="s">
        <v>2090</v>
      </c>
      <c r="EY105" t="s">
        <v>2090</v>
      </c>
      <c r="FA105" t="s">
        <v>2080</v>
      </c>
      <c r="FB105" t="s">
        <v>2090</v>
      </c>
      <c r="FC105" t="s">
        <v>2090</v>
      </c>
      <c r="FF105" t="s">
        <v>2090</v>
      </c>
      <c r="FG105" t="s">
        <v>2090</v>
      </c>
      <c r="FH105" t="s">
        <v>2090</v>
      </c>
      <c r="FI105" t="s">
        <v>2090</v>
      </c>
      <c r="FY105" t="s">
        <v>2080</v>
      </c>
      <c r="FZ105" t="s">
        <v>2080</v>
      </c>
      <c r="GA105" t="s">
        <v>2090</v>
      </c>
      <c r="HD105" t="s">
        <v>2080</v>
      </c>
      <c r="HF105" t="s">
        <v>2080</v>
      </c>
      <c r="HO105" t="s">
        <v>2080</v>
      </c>
      <c r="HQ105" t="s">
        <v>2080</v>
      </c>
      <c r="HR105" t="s">
        <v>2080</v>
      </c>
      <c r="HS105" t="s">
        <v>2080</v>
      </c>
      <c r="IF105" t="s">
        <v>2080</v>
      </c>
      <c r="IG105" t="s">
        <v>2080</v>
      </c>
      <c r="IH105" t="s">
        <v>2080</v>
      </c>
      <c r="II105" t="s">
        <v>2080</v>
      </c>
      <c r="IJ105" t="s">
        <v>2080</v>
      </c>
      <c r="IO105" t="s">
        <v>2080</v>
      </c>
      <c r="JB105" t="s">
        <v>2080</v>
      </c>
      <c r="JL105" t="s">
        <v>2090</v>
      </c>
      <c r="JT105" t="s">
        <v>2080</v>
      </c>
      <c r="JV105" t="s">
        <v>2080</v>
      </c>
      <c r="JZ105" t="s">
        <v>2090</v>
      </c>
      <c r="KN105" t="s">
        <v>2080</v>
      </c>
      <c r="LG105" t="s">
        <v>2080</v>
      </c>
      <c r="LH105" t="s">
        <v>2090</v>
      </c>
      <c r="LI105" t="s">
        <v>2090</v>
      </c>
      <c r="LK105" t="s">
        <v>2090</v>
      </c>
      <c r="LL105" t="s">
        <v>2090</v>
      </c>
      <c r="LO105" t="s">
        <v>2080</v>
      </c>
      <c r="LP105" t="s">
        <v>2080</v>
      </c>
      <c r="LQ105" t="s">
        <v>2080</v>
      </c>
      <c r="LR105" t="s">
        <v>2080</v>
      </c>
      <c r="LW105" t="s">
        <v>2090</v>
      </c>
      <c r="MD105" t="s">
        <v>2080</v>
      </c>
      <c r="MG105" t="s">
        <v>2090</v>
      </c>
      <c r="MH105" t="s">
        <v>2090</v>
      </c>
      <c r="MI105" t="s">
        <v>2080</v>
      </c>
      <c r="MX105" t="s">
        <v>2080</v>
      </c>
      <c r="MZ105" t="s">
        <v>2080</v>
      </c>
      <c r="NN105" t="s">
        <v>2080</v>
      </c>
      <c r="NR105" t="s">
        <v>1561</v>
      </c>
      <c r="NS105" t="s">
        <v>2207</v>
      </c>
      <c r="NX105" t="s">
        <v>2208</v>
      </c>
      <c r="NY105" t="s">
        <v>1923</v>
      </c>
    </row>
    <row r="106" spans="4:389" ht="15" customHeight="1" x14ac:dyDescent="0.25">
      <c r="D106" t="s">
        <v>1562</v>
      </c>
      <c r="G106" t="s">
        <v>1987</v>
      </c>
      <c r="K106" t="s">
        <v>1987</v>
      </c>
      <c r="L106" t="s">
        <v>1987</v>
      </c>
      <c r="M106" t="s">
        <v>1987</v>
      </c>
      <c r="N106" t="s">
        <v>1987</v>
      </c>
      <c r="P106" t="s">
        <v>1987</v>
      </c>
      <c r="R106" t="s">
        <v>1987</v>
      </c>
      <c r="S106" t="s">
        <v>1987</v>
      </c>
      <c r="AH106" t="s">
        <v>1987</v>
      </c>
      <c r="AM106" t="s">
        <v>2083</v>
      </c>
      <c r="AO106" t="s">
        <v>2083</v>
      </c>
      <c r="AP106" t="s">
        <v>2083</v>
      </c>
      <c r="AQ106" t="s">
        <v>1987</v>
      </c>
      <c r="AR106" t="s">
        <v>2083</v>
      </c>
      <c r="BZ106" t="s">
        <v>1987</v>
      </c>
      <c r="CA106" t="s">
        <v>2083</v>
      </c>
      <c r="CE106" t="s">
        <v>1987</v>
      </c>
      <c r="CK106" t="s">
        <v>1987</v>
      </c>
      <c r="CL106" t="s">
        <v>1987</v>
      </c>
      <c r="CM106" t="s">
        <v>1987</v>
      </c>
      <c r="CN106" t="s">
        <v>1987</v>
      </c>
      <c r="CO106" t="s">
        <v>1987</v>
      </c>
      <c r="CP106" t="s">
        <v>2083</v>
      </c>
      <c r="CQ106" t="s">
        <v>1987</v>
      </c>
      <c r="CR106" t="s">
        <v>1987</v>
      </c>
      <c r="CU106" t="s">
        <v>2083</v>
      </c>
      <c r="CZ106" t="s">
        <v>1987</v>
      </c>
      <c r="DA106" t="s">
        <v>1987</v>
      </c>
      <c r="DB106" t="s">
        <v>1987</v>
      </c>
      <c r="DC106" t="s">
        <v>1987</v>
      </c>
      <c r="DJ106" t="s">
        <v>1987</v>
      </c>
      <c r="DK106" t="s">
        <v>1987</v>
      </c>
      <c r="DO106" t="s">
        <v>2083</v>
      </c>
      <c r="DP106" t="s">
        <v>1987</v>
      </c>
      <c r="DQ106" t="s">
        <v>2083</v>
      </c>
      <c r="DR106" t="s">
        <v>1987</v>
      </c>
      <c r="DT106" t="s">
        <v>2083</v>
      </c>
      <c r="DU106" t="s">
        <v>2083</v>
      </c>
      <c r="DV106" t="s">
        <v>2083</v>
      </c>
      <c r="EA106" t="s">
        <v>2083</v>
      </c>
      <c r="EB106" t="s">
        <v>1987</v>
      </c>
      <c r="EC106" t="s">
        <v>1987</v>
      </c>
      <c r="EG106" t="s">
        <v>2083</v>
      </c>
      <c r="EH106" t="s">
        <v>2083</v>
      </c>
      <c r="EI106" t="s">
        <v>2083</v>
      </c>
      <c r="EJ106" t="s">
        <v>1987</v>
      </c>
      <c r="EK106" t="s">
        <v>1987</v>
      </c>
      <c r="EL106" t="s">
        <v>1987</v>
      </c>
      <c r="EY106" t="s">
        <v>1987</v>
      </c>
      <c r="FA106" t="s">
        <v>2083</v>
      </c>
      <c r="FB106" t="s">
        <v>1987</v>
      </c>
      <c r="FC106" t="s">
        <v>1987</v>
      </c>
      <c r="FF106" t="s">
        <v>1987</v>
      </c>
      <c r="FG106" t="s">
        <v>1987</v>
      </c>
      <c r="FH106" t="s">
        <v>1987</v>
      </c>
      <c r="FI106" t="s">
        <v>1987</v>
      </c>
      <c r="FY106" t="s">
        <v>2083</v>
      </c>
      <c r="FZ106" t="s">
        <v>2083</v>
      </c>
      <c r="GA106" t="s">
        <v>1987</v>
      </c>
      <c r="HD106" t="s">
        <v>2083</v>
      </c>
      <c r="HF106" t="s">
        <v>2083</v>
      </c>
      <c r="HO106" t="s">
        <v>2083</v>
      </c>
      <c r="HQ106" t="s">
        <v>2083</v>
      </c>
      <c r="HR106" t="s">
        <v>2083</v>
      </c>
      <c r="HS106" t="s">
        <v>2083</v>
      </c>
      <c r="IF106" t="s">
        <v>2083</v>
      </c>
      <c r="IG106" t="s">
        <v>2083</v>
      </c>
      <c r="IH106" t="s">
        <v>2083</v>
      </c>
      <c r="II106" t="s">
        <v>2083</v>
      </c>
      <c r="IJ106" t="s">
        <v>2083</v>
      </c>
      <c r="IO106" t="s">
        <v>2083</v>
      </c>
      <c r="JB106" t="s">
        <v>2083</v>
      </c>
      <c r="JL106" t="s">
        <v>1987</v>
      </c>
      <c r="JT106" t="s">
        <v>2083</v>
      </c>
      <c r="JV106" t="s">
        <v>2083</v>
      </c>
      <c r="JZ106" t="s">
        <v>1987</v>
      </c>
      <c r="KN106" t="s">
        <v>2083</v>
      </c>
      <c r="LG106" t="s">
        <v>2083</v>
      </c>
      <c r="LH106" t="s">
        <v>1987</v>
      </c>
      <c r="LI106" t="s">
        <v>1987</v>
      </c>
      <c r="LK106" t="s">
        <v>1987</v>
      </c>
      <c r="LL106" t="s">
        <v>1987</v>
      </c>
      <c r="LO106" t="s">
        <v>2083</v>
      </c>
      <c r="LP106" t="s">
        <v>2083</v>
      </c>
      <c r="LQ106" t="s">
        <v>2083</v>
      </c>
      <c r="LR106" t="s">
        <v>2083</v>
      </c>
      <c r="LW106" t="s">
        <v>1987</v>
      </c>
      <c r="MD106" t="s">
        <v>2083</v>
      </c>
      <c r="MG106" t="s">
        <v>1987</v>
      </c>
      <c r="MH106" t="s">
        <v>1987</v>
      </c>
      <c r="MI106" t="s">
        <v>2083</v>
      </c>
      <c r="MX106" t="s">
        <v>2083</v>
      </c>
      <c r="MZ106" t="s">
        <v>2083</v>
      </c>
      <c r="NN106" t="s">
        <v>2083</v>
      </c>
      <c r="NR106" t="s">
        <v>1562</v>
      </c>
      <c r="NS106" t="s">
        <v>2209</v>
      </c>
      <c r="NX106" t="s">
        <v>2210</v>
      </c>
      <c r="NY106" t="s">
        <v>1923</v>
      </c>
    </row>
    <row r="107" spans="4:389" ht="15" customHeight="1" x14ac:dyDescent="0.25">
      <c r="D107" t="s">
        <v>1563</v>
      </c>
      <c r="G107" t="s">
        <v>2095</v>
      </c>
      <c r="K107" t="s">
        <v>2095</v>
      </c>
      <c r="L107" t="s">
        <v>2095</v>
      </c>
      <c r="M107" t="s">
        <v>2095</v>
      </c>
      <c r="N107" t="s">
        <v>2095</v>
      </c>
      <c r="P107" t="s">
        <v>2095</v>
      </c>
      <c r="R107" t="s">
        <v>2095</v>
      </c>
      <c r="S107" t="s">
        <v>2095</v>
      </c>
      <c r="AH107" t="s">
        <v>2095</v>
      </c>
      <c r="AM107" t="s">
        <v>2090</v>
      </c>
      <c r="AO107" t="s">
        <v>2090</v>
      </c>
      <c r="AP107" t="s">
        <v>2090</v>
      </c>
      <c r="AQ107" t="s">
        <v>2095</v>
      </c>
      <c r="AR107" t="s">
        <v>2090</v>
      </c>
      <c r="BZ107" t="s">
        <v>2095</v>
      </c>
      <c r="CA107" t="s">
        <v>2090</v>
      </c>
      <c r="CE107" t="s">
        <v>2095</v>
      </c>
      <c r="CK107" t="s">
        <v>2095</v>
      </c>
      <c r="CL107" t="s">
        <v>2095</v>
      </c>
      <c r="CM107" t="s">
        <v>2095</v>
      </c>
      <c r="CN107" t="s">
        <v>2095</v>
      </c>
      <c r="CO107" t="s">
        <v>2095</v>
      </c>
      <c r="CP107" t="s">
        <v>2090</v>
      </c>
      <c r="CQ107" t="s">
        <v>2095</v>
      </c>
      <c r="CR107" t="s">
        <v>2095</v>
      </c>
      <c r="CU107" t="s">
        <v>2090</v>
      </c>
      <c r="CZ107" t="s">
        <v>2095</v>
      </c>
      <c r="DA107" t="s">
        <v>2095</v>
      </c>
      <c r="DB107" t="s">
        <v>2095</v>
      </c>
      <c r="DC107" t="s">
        <v>2095</v>
      </c>
      <c r="DJ107" t="s">
        <v>2095</v>
      </c>
      <c r="DK107" t="s">
        <v>2095</v>
      </c>
      <c r="DO107" t="s">
        <v>2090</v>
      </c>
      <c r="DP107" t="s">
        <v>2095</v>
      </c>
      <c r="DQ107" t="s">
        <v>2090</v>
      </c>
      <c r="DR107" t="s">
        <v>2095</v>
      </c>
      <c r="DT107" t="s">
        <v>2090</v>
      </c>
      <c r="DU107" t="s">
        <v>2090</v>
      </c>
      <c r="DV107" t="s">
        <v>2090</v>
      </c>
      <c r="EA107" t="s">
        <v>2090</v>
      </c>
      <c r="EB107" t="s">
        <v>2095</v>
      </c>
      <c r="EC107" t="s">
        <v>2095</v>
      </c>
      <c r="EG107" t="s">
        <v>2090</v>
      </c>
      <c r="EH107" t="s">
        <v>2090</v>
      </c>
      <c r="EI107" t="s">
        <v>2090</v>
      </c>
      <c r="EJ107" t="s">
        <v>2095</v>
      </c>
      <c r="EK107" t="s">
        <v>2095</v>
      </c>
      <c r="EL107" t="s">
        <v>2095</v>
      </c>
      <c r="EY107" t="s">
        <v>2095</v>
      </c>
      <c r="FA107" t="s">
        <v>2090</v>
      </c>
      <c r="FB107" t="s">
        <v>2095</v>
      </c>
      <c r="FC107" t="s">
        <v>2095</v>
      </c>
      <c r="FF107" t="s">
        <v>2095</v>
      </c>
      <c r="FG107" t="s">
        <v>2095</v>
      </c>
      <c r="FH107" t="s">
        <v>2095</v>
      </c>
      <c r="FI107" t="s">
        <v>2095</v>
      </c>
      <c r="FY107" t="s">
        <v>2090</v>
      </c>
      <c r="FZ107" t="s">
        <v>2090</v>
      </c>
      <c r="GA107" t="s">
        <v>2095</v>
      </c>
      <c r="HD107" t="s">
        <v>2090</v>
      </c>
      <c r="HF107" t="s">
        <v>2090</v>
      </c>
      <c r="HO107" t="s">
        <v>2090</v>
      </c>
      <c r="HQ107" t="s">
        <v>2090</v>
      </c>
      <c r="HR107" t="s">
        <v>2090</v>
      </c>
      <c r="HS107" t="s">
        <v>2090</v>
      </c>
      <c r="IF107" t="s">
        <v>2090</v>
      </c>
      <c r="IG107" t="s">
        <v>2090</v>
      </c>
      <c r="IH107" t="s">
        <v>2090</v>
      </c>
      <c r="II107" t="s">
        <v>2090</v>
      </c>
      <c r="IJ107" t="s">
        <v>2090</v>
      </c>
      <c r="IO107" t="s">
        <v>2090</v>
      </c>
      <c r="JB107" t="s">
        <v>2090</v>
      </c>
      <c r="JL107" t="s">
        <v>2095</v>
      </c>
      <c r="JT107" t="s">
        <v>2090</v>
      </c>
      <c r="JV107" t="s">
        <v>2090</v>
      </c>
      <c r="JZ107" t="s">
        <v>2095</v>
      </c>
      <c r="KN107" t="s">
        <v>2090</v>
      </c>
      <c r="LG107" t="s">
        <v>2090</v>
      </c>
      <c r="LH107" t="s">
        <v>2095</v>
      </c>
      <c r="LI107" t="s">
        <v>2095</v>
      </c>
      <c r="LK107" t="s">
        <v>2095</v>
      </c>
      <c r="LL107" t="s">
        <v>2095</v>
      </c>
      <c r="LO107" t="s">
        <v>2090</v>
      </c>
      <c r="LP107" t="s">
        <v>2090</v>
      </c>
      <c r="LQ107" t="s">
        <v>2090</v>
      </c>
      <c r="LR107" t="s">
        <v>2090</v>
      </c>
      <c r="LW107" t="s">
        <v>2095</v>
      </c>
      <c r="MD107" t="s">
        <v>2090</v>
      </c>
      <c r="MG107" t="s">
        <v>2095</v>
      </c>
      <c r="MH107" t="s">
        <v>2095</v>
      </c>
      <c r="MI107" t="s">
        <v>2090</v>
      </c>
      <c r="MX107" t="s">
        <v>2090</v>
      </c>
      <c r="MZ107" t="s">
        <v>2090</v>
      </c>
      <c r="NN107" t="s">
        <v>2090</v>
      </c>
      <c r="NR107" t="s">
        <v>1563</v>
      </c>
      <c r="NS107" t="s">
        <v>2211</v>
      </c>
      <c r="NX107" t="s">
        <v>2212</v>
      </c>
      <c r="NY107" t="s">
        <v>1923</v>
      </c>
    </row>
    <row r="108" spans="4:389" ht="15" customHeight="1" x14ac:dyDescent="0.25">
      <c r="D108" t="s">
        <v>1564</v>
      </c>
      <c r="G108" t="s">
        <v>2092</v>
      </c>
      <c r="K108" t="s">
        <v>2092</v>
      </c>
      <c r="L108" t="s">
        <v>2092</v>
      </c>
      <c r="M108" t="s">
        <v>2092</v>
      </c>
      <c r="N108" t="s">
        <v>2092</v>
      </c>
      <c r="P108" t="s">
        <v>2092</v>
      </c>
      <c r="R108" t="s">
        <v>2092</v>
      </c>
      <c r="S108" t="s">
        <v>2092</v>
      </c>
      <c r="AH108" t="s">
        <v>2092</v>
      </c>
      <c r="AM108" t="s">
        <v>1987</v>
      </c>
      <c r="AO108" t="s">
        <v>1987</v>
      </c>
      <c r="AP108" t="s">
        <v>1987</v>
      </c>
      <c r="AQ108" t="s">
        <v>2092</v>
      </c>
      <c r="AR108" t="s">
        <v>1987</v>
      </c>
      <c r="BZ108" t="s">
        <v>2092</v>
      </c>
      <c r="CA108" t="s">
        <v>1987</v>
      </c>
      <c r="CE108" t="s">
        <v>2092</v>
      </c>
      <c r="CK108" t="s">
        <v>2092</v>
      </c>
      <c r="CL108" t="s">
        <v>2092</v>
      </c>
      <c r="CM108" t="s">
        <v>2092</v>
      </c>
      <c r="CN108" t="s">
        <v>2092</v>
      </c>
      <c r="CO108" t="s">
        <v>2092</v>
      </c>
      <c r="CP108" t="s">
        <v>1987</v>
      </c>
      <c r="CQ108" t="s">
        <v>2092</v>
      </c>
      <c r="CR108" t="s">
        <v>2092</v>
      </c>
      <c r="CU108" t="s">
        <v>1987</v>
      </c>
      <c r="CZ108" t="s">
        <v>2092</v>
      </c>
      <c r="DA108" t="s">
        <v>2092</v>
      </c>
      <c r="DB108" t="s">
        <v>2092</v>
      </c>
      <c r="DC108" t="s">
        <v>2092</v>
      </c>
      <c r="DJ108" t="s">
        <v>2092</v>
      </c>
      <c r="DK108" t="s">
        <v>2092</v>
      </c>
      <c r="DO108" t="s">
        <v>1987</v>
      </c>
      <c r="DP108" t="s">
        <v>2092</v>
      </c>
      <c r="DQ108" t="s">
        <v>1987</v>
      </c>
      <c r="DR108" t="s">
        <v>2092</v>
      </c>
      <c r="DT108" t="s">
        <v>1987</v>
      </c>
      <c r="DU108" t="s">
        <v>1987</v>
      </c>
      <c r="DV108" t="s">
        <v>1987</v>
      </c>
      <c r="EA108" t="s">
        <v>1987</v>
      </c>
      <c r="EB108" t="s">
        <v>2092</v>
      </c>
      <c r="EC108" t="s">
        <v>2092</v>
      </c>
      <c r="EG108" t="s">
        <v>1987</v>
      </c>
      <c r="EH108" t="s">
        <v>1987</v>
      </c>
      <c r="EI108" t="s">
        <v>1987</v>
      </c>
      <c r="EJ108" t="s">
        <v>2092</v>
      </c>
      <c r="EK108" t="s">
        <v>2092</v>
      </c>
      <c r="EL108" t="s">
        <v>2092</v>
      </c>
      <c r="EY108" t="s">
        <v>2092</v>
      </c>
      <c r="FA108" t="s">
        <v>1987</v>
      </c>
      <c r="FB108" t="s">
        <v>2092</v>
      </c>
      <c r="FC108" t="s">
        <v>2092</v>
      </c>
      <c r="FF108" t="s">
        <v>2092</v>
      </c>
      <c r="FG108" t="s">
        <v>2092</v>
      </c>
      <c r="FH108" t="s">
        <v>2092</v>
      </c>
      <c r="FI108" t="s">
        <v>2092</v>
      </c>
      <c r="FY108" t="s">
        <v>1987</v>
      </c>
      <c r="FZ108" t="s">
        <v>1987</v>
      </c>
      <c r="GA108" t="s">
        <v>2092</v>
      </c>
      <c r="HD108" t="s">
        <v>1987</v>
      </c>
      <c r="HF108" t="s">
        <v>1987</v>
      </c>
      <c r="HO108" t="s">
        <v>1987</v>
      </c>
      <c r="HQ108" t="s">
        <v>1987</v>
      </c>
      <c r="HR108" t="s">
        <v>1987</v>
      </c>
      <c r="HS108" t="s">
        <v>1987</v>
      </c>
      <c r="IF108" t="s">
        <v>1987</v>
      </c>
      <c r="IG108" t="s">
        <v>1987</v>
      </c>
      <c r="IH108" t="s">
        <v>1987</v>
      </c>
      <c r="II108" t="s">
        <v>1987</v>
      </c>
      <c r="IJ108" t="s">
        <v>1987</v>
      </c>
      <c r="IO108" t="s">
        <v>1987</v>
      </c>
      <c r="JB108" t="s">
        <v>1987</v>
      </c>
      <c r="JL108" t="s">
        <v>2092</v>
      </c>
      <c r="JT108" t="s">
        <v>1987</v>
      </c>
      <c r="JV108" t="s">
        <v>1987</v>
      </c>
      <c r="JZ108" t="s">
        <v>2092</v>
      </c>
      <c r="KN108" t="s">
        <v>1987</v>
      </c>
      <c r="LG108" t="s">
        <v>1987</v>
      </c>
      <c r="LH108" t="s">
        <v>2092</v>
      </c>
      <c r="LI108" t="s">
        <v>2092</v>
      </c>
      <c r="LK108" t="s">
        <v>2092</v>
      </c>
      <c r="LL108" t="s">
        <v>2092</v>
      </c>
      <c r="LO108" t="s">
        <v>1987</v>
      </c>
      <c r="LP108" t="s">
        <v>1987</v>
      </c>
      <c r="LQ108" t="s">
        <v>1987</v>
      </c>
      <c r="LR108" t="s">
        <v>1987</v>
      </c>
      <c r="LW108" t="s">
        <v>2092</v>
      </c>
      <c r="MD108" t="s">
        <v>1987</v>
      </c>
      <c r="MG108" t="s">
        <v>2092</v>
      </c>
      <c r="MH108" t="s">
        <v>2092</v>
      </c>
      <c r="MI108" t="s">
        <v>1987</v>
      </c>
      <c r="MX108" t="s">
        <v>1987</v>
      </c>
      <c r="MZ108" t="s">
        <v>1987</v>
      </c>
      <c r="NN108" t="s">
        <v>1987</v>
      </c>
      <c r="NR108" t="s">
        <v>1564</v>
      </c>
      <c r="NS108" t="s">
        <v>2213</v>
      </c>
      <c r="NX108" t="s">
        <v>2214</v>
      </c>
      <c r="NY108" t="s">
        <v>1923</v>
      </c>
    </row>
    <row r="109" spans="4:389" ht="15" customHeight="1" x14ac:dyDescent="0.25">
      <c r="D109" t="s">
        <v>1565</v>
      </c>
      <c r="G109" t="s">
        <v>2086</v>
      </c>
      <c r="K109" t="s">
        <v>2086</v>
      </c>
      <c r="L109" t="s">
        <v>2086</v>
      </c>
      <c r="M109" t="s">
        <v>2086</v>
      </c>
      <c r="N109" t="s">
        <v>2086</v>
      </c>
      <c r="P109" t="s">
        <v>2086</v>
      </c>
      <c r="R109" t="s">
        <v>2086</v>
      </c>
      <c r="S109" t="s">
        <v>2086</v>
      </c>
      <c r="AH109" t="s">
        <v>2086</v>
      </c>
      <c r="AM109" t="s">
        <v>2095</v>
      </c>
      <c r="AO109" t="s">
        <v>2095</v>
      </c>
      <c r="AP109" t="s">
        <v>2095</v>
      </c>
      <c r="AQ109" t="s">
        <v>2086</v>
      </c>
      <c r="AR109" t="s">
        <v>2095</v>
      </c>
      <c r="BZ109" t="s">
        <v>2086</v>
      </c>
      <c r="CA109" t="s">
        <v>2095</v>
      </c>
      <c r="CE109" t="s">
        <v>2086</v>
      </c>
      <c r="CK109" t="s">
        <v>2086</v>
      </c>
      <c r="CL109" t="s">
        <v>2086</v>
      </c>
      <c r="CM109" t="s">
        <v>2086</v>
      </c>
      <c r="CN109" t="s">
        <v>2086</v>
      </c>
      <c r="CO109" t="s">
        <v>2086</v>
      </c>
      <c r="CP109" t="s">
        <v>2095</v>
      </c>
      <c r="CQ109" t="s">
        <v>2086</v>
      </c>
      <c r="CR109" t="s">
        <v>2086</v>
      </c>
      <c r="CU109" t="s">
        <v>2095</v>
      </c>
      <c r="CZ109" t="s">
        <v>2086</v>
      </c>
      <c r="DA109" t="s">
        <v>2086</v>
      </c>
      <c r="DB109" t="s">
        <v>2086</v>
      </c>
      <c r="DC109" t="s">
        <v>2086</v>
      </c>
      <c r="DJ109" t="s">
        <v>2086</v>
      </c>
      <c r="DK109" t="s">
        <v>2086</v>
      </c>
      <c r="DO109" t="s">
        <v>2095</v>
      </c>
      <c r="DP109" t="s">
        <v>2086</v>
      </c>
      <c r="DQ109" t="s">
        <v>2095</v>
      </c>
      <c r="DR109" t="s">
        <v>2086</v>
      </c>
      <c r="DT109" t="s">
        <v>2095</v>
      </c>
      <c r="DU109" t="s">
        <v>2095</v>
      </c>
      <c r="DV109" t="s">
        <v>2095</v>
      </c>
      <c r="EA109" t="s">
        <v>2095</v>
      </c>
      <c r="EB109" t="s">
        <v>2086</v>
      </c>
      <c r="EC109" t="s">
        <v>2086</v>
      </c>
      <c r="EG109" t="s">
        <v>2095</v>
      </c>
      <c r="EH109" t="s">
        <v>2095</v>
      </c>
      <c r="EI109" t="s">
        <v>2095</v>
      </c>
      <c r="EJ109" t="s">
        <v>2086</v>
      </c>
      <c r="EK109" t="s">
        <v>2086</v>
      </c>
      <c r="EL109" t="s">
        <v>2086</v>
      </c>
      <c r="EY109" t="s">
        <v>2086</v>
      </c>
      <c r="FA109" t="s">
        <v>2095</v>
      </c>
      <c r="FB109" t="s">
        <v>2086</v>
      </c>
      <c r="FC109" t="s">
        <v>2086</v>
      </c>
      <c r="FF109" t="s">
        <v>2086</v>
      </c>
      <c r="FG109" t="s">
        <v>2086</v>
      </c>
      <c r="FH109" t="s">
        <v>2086</v>
      </c>
      <c r="FI109" t="s">
        <v>2086</v>
      </c>
      <c r="FY109" t="s">
        <v>2095</v>
      </c>
      <c r="FZ109" t="s">
        <v>2095</v>
      </c>
      <c r="GA109" t="s">
        <v>2086</v>
      </c>
      <c r="HD109" t="s">
        <v>2095</v>
      </c>
      <c r="HF109" t="s">
        <v>2095</v>
      </c>
      <c r="HO109" t="s">
        <v>2095</v>
      </c>
      <c r="HQ109" t="s">
        <v>2095</v>
      </c>
      <c r="HR109" t="s">
        <v>2095</v>
      </c>
      <c r="HS109" t="s">
        <v>2095</v>
      </c>
      <c r="IF109" t="s">
        <v>2095</v>
      </c>
      <c r="IG109" t="s">
        <v>2095</v>
      </c>
      <c r="IH109" t="s">
        <v>2095</v>
      </c>
      <c r="II109" t="s">
        <v>2095</v>
      </c>
      <c r="IJ109" t="s">
        <v>2095</v>
      </c>
      <c r="IO109" t="s">
        <v>2095</v>
      </c>
      <c r="JB109" t="s">
        <v>2095</v>
      </c>
      <c r="JL109" t="s">
        <v>2086</v>
      </c>
      <c r="JT109" t="s">
        <v>2095</v>
      </c>
      <c r="JV109" t="s">
        <v>2095</v>
      </c>
      <c r="JZ109" t="s">
        <v>2086</v>
      </c>
      <c r="KN109" t="s">
        <v>2095</v>
      </c>
      <c r="LG109" t="s">
        <v>2095</v>
      </c>
      <c r="LH109" t="s">
        <v>2086</v>
      </c>
      <c r="LI109" t="s">
        <v>2086</v>
      </c>
      <c r="LK109" t="s">
        <v>2086</v>
      </c>
      <c r="LL109" t="s">
        <v>2086</v>
      </c>
      <c r="LO109" t="s">
        <v>2095</v>
      </c>
      <c r="LP109" t="s">
        <v>2095</v>
      </c>
      <c r="LQ109" t="s">
        <v>2095</v>
      </c>
      <c r="LR109" t="s">
        <v>2095</v>
      </c>
      <c r="LW109" t="s">
        <v>2086</v>
      </c>
      <c r="MD109" t="s">
        <v>2095</v>
      </c>
      <c r="MG109" t="s">
        <v>2086</v>
      </c>
      <c r="MH109" t="s">
        <v>2086</v>
      </c>
      <c r="MI109" t="s">
        <v>2095</v>
      </c>
      <c r="MX109" t="s">
        <v>2095</v>
      </c>
      <c r="MZ109" t="s">
        <v>2095</v>
      </c>
      <c r="NN109" t="s">
        <v>2095</v>
      </c>
      <c r="NR109" t="s">
        <v>1565</v>
      </c>
      <c r="NS109" t="s">
        <v>2215</v>
      </c>
      <c r="NX109" t="s">
        <v>2216</v>
      </c>
      <c r="NY109" t="s">
        <v>1923</v>
      </c>
    </row>
    <row r="110" spans="4:389" ht="15" customHeight="1" x14ac:dyDescent="0.25">
      <c r="D110" t="s">
        <v>1566</v>
      </c>
      <c r="G110" t="s">
        <v>2104</v>
      </c>
      <c r="K110" t="s">
        <v>2104</v>
      </c>
      <c r="L110" t="s">
        <v>2104</v>
      </c>
      <c r="M110" t="s">
        <v>2104</v>
      </c>
      <c r="N110" t="s">
        <v>2104</v>
      </c>
      <c r="P110" t="s">
        <v>2104</v>
      </c>
      <c r="R110" t="s">
        <v>2104</v>
      </c>
      <c r="S110" t="s">
        <v>2104</v>
      </c>
      <c r="AH110" t="s">
        <v>2104</v>
      </c>
      <c r="AM110" t="s">
        <v>2092</v>
      </c>
      <c r="AO110" t="s">
        <v>2092</v>
      </c>
      <c r="AP110" t="s">
        <v>2092</v>
      </c>
      <c r="AQ110" t="s">
        <v>2104</v>
      </c>
      <c r="AR110" t="s">
        <v>2092</v>
      </c>
      <c r="BZ110" t="s">
        <v>2104</v>
      </c>
      <c r="CA110" t="s">
        <v>2092</v>
      </c>
      <c r="CE110" t="s">
        <v>2104</v>
      </c>
      <c r="CK110" t="s">
        <v>2104</v>
      </c>
      <c r="CL110" t="s">
        <v>2104</v>
      </c>
      <c r="CM110" t="s">
        <v>2104</v>
      </c>
      <c r="CN110" t="s">
        <v>2104</v>
      </c>
      <c r="CO110" t="s">
        <v>2104</v>
      </c>
      <c r="CP110" t="s">
        <v>2092</v>
      </c>
      <c r="CQ110" t="s">
        <v>2104</v>
      </c>
      <c r="CR110" t="s">
        <v>2104</v>
      </c>
      <c r="CU110" t="s">
        <v>2092</v>
      </c>
      <c r="CZ110" t="s">
        <v>2104</v>
      </c>
      <c r="DA110" t="s">
        <v>2104</v>
      </c>
      <c r="DB110" t="s">
        <v>2104</v>
      </c>
      <c r="DC110" t="s">
        <v>2104</v>
      </c>
      <c r="DJ110" t="s">
        <v>2104</v>
      </c>
      <c r="DK110" t="s">
        <v>2104</v>
      </c>
      <c r="DO110" t="s">
        <v>2092</v>
      </c>
      <c r="DP110" t="s">
        <v>2104</v>
      </c>
      <c r="DQ110" t="s">
        <v>2092</v>
      </c>
      <c r="DR110" t="s">
        <v>2104</v>
      </c>
      <c r="DT110" t="s">
        <v>2092</v>
      </c>
      <c r="DU110" t="s">
        <v>2092</v>
      </c>
      <c r="DV110" t="s">
        <v>2092</v>
      </c>
      <c r="EA110" t="s">
        <v>2092</v>
      </c>
      <c r="EB110" t="s">
        <v>2104</v>
      </c>
      <c r="EC110" t="s">
        <v>2104</v>
      </c>
      <c r="EG110" t="s">
        <v>2092</v>
      </c>
      <c r="EH110" t="s">
        <v>2092</v>
      </c>
      <c r="EI110" t="s">
        <v>2092</v>
      </c>
      <c r="EJ110" t="s">
        <v>2104</v>
      </c>
      <c r="EK110" t="s">
        <v>2104</v>
      </c>
      <c r="EL110" t="s">
        <v>2104</v>
      </c>
      <c r="EY110" t="s">
        <v>2104</v>
      </c>
      <c r="FA110" t="s">
        <v>2092</v>
      </c>
      <c r="FB110" t="s">
        <v>2104</v>
      </c>
      <c r="FC110" t="s">
        <v>2104</v>
      </c>
      <c r="FF110" t="s">
        <v>2104</v>
      </c>
      <c r="FG110" t="s">
        <v>2104</v>
      </c>
      <c r="FH110" t="s">
        <v>2104</v>
      </c>
      <c r="FI110" t="s">
        <v>2104</v>
      </c>
      <c r="FY110" t="s">
        <v>2092</v>
      </c>
      <c r="FZ110" t="s">
        <v>2092</v>
      </c>
      <c r="GA110" t="s">
        <v>2104</v>
      </c>
      <c r="HD110" t="s">
        <v>2092</v>
      </c>
      <c r="HF110" t="s">
        <v>2092</v>
      </c>
      <c r="HO110" t="s">
        <v>2092</v>
      </c>
      <c r="HQ110" t="s">
        <v>2092</v>
      </c>
      <c r="HR110" t="s">
        <v>2092</v>
      </c>
      <c r="HS110" t="s">
        <v>2092</v>
      </c>
      <c r="IF110" t="s">
        <v>2092</v>
      </c>
      <c r="IG110" t="s">
        <v>2092</v>
      </c>
      <c r="IH110" t="s">
        <v>2092</v>
      </c>
      <c r="II110" t="s">
        <v>2092</v>
      </c>
      <c r="IJ110" t="s">
        <v>2092</v>
      </c>
      <c r="IO110" t="s">
        <v>2092</v>
      </c>
      <c r="JB110" t="s">
        <v>2092</v>
      </c>
      <c r="JL110" t="s">
        <v>2104</v>
      </c>
      <c r="JT110" t="s">
        <v>2092</v>
      </c>
      <c r="JV110" t="s">
        <v>2092</v>
      </c>
      <c r="JZ110" t="s">
        <v>2104</v>
      </c>
      <c r="KN110" t="s">
        <v>2092</v>
      </c>
      <c r="LG110" t="s">
        <v>2092</v>
      </c>
      <c r="LH110" t="s">
        <v>2104</v>
      </c>
      <c r="LI110" t="s">
        <v>2104</v>
      </c>
      <c r="LK110" t="s">
        <v>2104</v>
      </c>
      <c r="LL110" t="s">
        <v>2104</v>
      </c>
      <c r="LO110" t="s">
        <v>2092</v>
      </c>
      <c r="LP110" t="s">
        <v>2092</v>
      </c>
      <c r="LQ110" t="s">
        <v>2092</v>
      </c>
      <c r="LR110" t="s">
        <v>2092</v>
      </c>
      <c r="LW110" t="s">
        <v>2104</v>
      </c>
      <c r="MD110" t="s">
        <v>2092</v>
      </c>
      <c r="MG110" t="s">
        <v>2104</v>
      </c>
      <c r="MH110" t="s">
        <v>2104</v>
      </c>
      <c r="MI110" t="s">
        <v>2092</v>
      </c>
      <c r="MX110" t="s">
        <v>2092</v>
      </c>
      <c r="MZ110" t="s">
        <v>2092</v>
      </c>
      <c r="NN110" t="s">
        <v>2092</v>
      </c>
      <c r="NR110" t="s">
        <v>1566</v>
      </c>
      <c r="NS110" t="s">
        <v>2217</v>
      </c>
      <c r="NX110" t="s">
        <v>2218</v>
      </c>
      <c r="NY110" t="s">
        <v>1923</v>
      </c>
    </row>
    <row r="111" spans="4:389" ht="15" customHeight="1" x14ac:dyDescent="0.25">
      <c r="D111" t="s">
        <v>1567</v>
      </c>
      <c r="G111" t="s">
        <v>2109</v>
      </c>
      <c r="K111" t="s">
        <v>2109</v>
      </c>
      <c r="L111" t="s">
        <v>2109</v>
      </c>
      <c r="M111" t="s">
        <v>2109</v>
      </c>
      <c r="N111" t="s">
        <v>2109</v>
      </c>
      <c r="P111" t="s">
        <v>2109</v>
      </c>
      <c r="R111" t="s">
        <v>2109</v>
      </c>
      <c r="S111" t="s">
        <v>2109</v>
      </c>
      <c r="AH111" t="s">
        <v>2109</v>
      </c>
      <c r="AM111" t="s">
        <v>2086</v>
      </c>
      <c r="AO111" t="s">
        <v>2086</v>
      </c>
      <c r="AP111" t="s">
        <v>2086</v>
      </c>
      <c r="AQ111" t="s">
        <v>2109</v>
      </c>
      <c r="AR111" t="s">
        <v>2086</v>
      </c>
      <c r="BZ111" t="s">
        <v>2109</v>
      </c>
      <c r="CA111" t="s">
        <v>2086</v>
      </c>
      <c r="CE111" t="s">
        <v>2109</v>
      </c>
      <c r="CK111" t="s">
        <v>2109</v>
      </c>
      <c r="CL111" t="s">
        <v>2109</v>
      </c>
      <c r="CM111" t="s">
        <v>2109</v>
      </c>
      <c r="CN111" t="s">
        <v>2109</v>
      </c>
      <c r="CO111" t="s">
        <v>2109</v>
      </c>
      <c r="CP111" t="s">
        <v>2086</v>
      </c>
      <c r="CQ111" t="s">
        <v>2109</v>
      </c>
      <c r="CR111" t="s">
        <v>2109</v>
      </c>
      <c r="CU111" t="s">
        <v>2086</v>
      </c>
      <c r="CZ111" t="s">
        <v>2109</v>
      </c>
      <c r="DA111" t="s">
        <v>2109</v>
      </c>
      <c r="DB111" t="s">
        <v>2109</v>
      </c>
      <c r="DC111" t="s">
        <v>2109</v>
      </c>
      <c r="DJ111" t="s">
        <v>2109</v>
      </c>
      <c r="DK111" t="s">
        <v>2109</v>
      </c>
      <c r="DO111" t="s">
        <v>2086</v>
      </c>
      <c r="DP111" t="s">
        <v>2109</v>
      </c>
      <c r="DQ111" t="s">
        <v>2086</v>
      </c>
      <c r="DR111" t="s">
        <v>2109</v>
      </c>
      <c r="DT111" t="s">
        <v>2086</v>
      </c>
      <c r="DU111" t="s">
        <v>2086</v>
      </c>
      <c r="DV111" t="s">
        <v>2086</v>
      </c>
      <c r="EA111" t="s">
        <v>2086</v>
      </c>
      <c r="EB111" t="s">
        <v>2109</v>
      </c>
      <c r="EC111" t="s">
        <v>2109</v>
      </c>
      <c r="EG111" t="s">
        <v>2086</v>
      </c>
      <c r="EH111" t="s">
        <v>2086</v>
      </c>
      <c r="EI111" t="s">
        <v>2086</v>
      </c>
      <c r="EJ111" t="s">
        <v>2109</v>
      </c>
      <c r="EK111" t="s">
        <v>2109</v>
      </c>
      <c r="EL111" t="s">
        <v>2109</v>
      </c>
      <c r="EY111" t="s">
        <v>2109</v>
      </c>
      <c r="FA111" t="s">
        <v>2086</v>
      </c>
      <c r="FB111" t="s">
        <v>2109</v>
      </c>
      <c r="FC111" t="s">
        <v>2109</v>
      </c>
      <c r="FF111" t="s">
        <v>2109</v>
      </c>
      <c r="FG111" t="s">
        <v>2109</v>
      </c>
      <c r="FH111" t="s">
        <v>2109</v>
      </c>
      <c r="FI111" t="s">
        <v>2109</v>
      </c>
      <c r="FY111" t="s">
        <v>2086</v>
      </c>
      <c r="FZ111" t="s">
        <v>2086</v>
      </c>
      <c r="GA111" t="s">
        <v>2109</v>
      </c>
      <c r="HD111" t="s">
        <v>2086</v>
      </c>
      <c r="HF111" t="s">
        <v>2086</v>
      </c>
      <c r="HO111" t="s">
        <v>2086</v>
      </c>
      <c r="HQ111" t="s">
        <v>2086</v>
      </c>
      <c r="HR111" t="s">
        <v>2086</v>
      </c>
      <c r="HS111" t="s">
        <v>2086</v>
      </c>
      <c r="IF111" t="s">
        <v>2086</v>
      </c>
      <c r="IG111" t="s">
        <v>2086</v>
      </c>
      <c r="IH111" t="s">
        <v>2086</v>
      </c>
      <c r="II111" t="s">
        <v>2086</v>
      </c>
      <c r="IJ111" t="s">
        <v>2086</v>
      </c>
      <c r="IO111" t="s">
        <v>2086</v>
      </c>
      <c r="JB111" t="s">
        <v>2086</v>
      </c>
      <c r="JL111" t="s">
        <v>2109</v>
      </c>
      <c r="JT111" t="s">
        <v>2086</v>
      </c>
      <c r="JV111" t="s">
        <v>2086</v>
      </c>
      <c r="JZ111" t="s">
        <v>2109</v>
      </c>
      <c r="KN111" t="s">
        <v>2086</v>
      </c>
      <c r="LG111" t="s">
        <v>2086</v>
      </c>
      <c r="LH111" t="s">
        <v>2109</v>
      </c>
      <c r="LI111" t="s">
        <v>2109</v>
      </c>
      <c r="LK111" t="s">
        <v>2109</v>
      </c>
      <c r="LL111" t="s">
        <v>2109</v>
      </c>
      <c r="LO111" t="s">
        <v>2086</v>
      </c>
      <c r="LP111" t="s">
        <v>2086</v>
      </c>
      <c r="LQ111" t="s">
        <v>2086</v>
      </c>
      <c r="LR111" t="s">
        <v>2086</v>
      </c>
      <c r="LW111" t="s">
        <v>2109</v>
      </c>
      <c r="MD111" t="s">
        <v>2086</v>
      </c>
      <c r="MG111" t="s">
        <v>2109</v>
      </c>
      <c r="MH111" t="s">
        <v>2109</v>
      </c>
      <c r="MI111" t="s">
        <v>2086</v>
      </c>
      <c r="MX111" t="s">
        <v>2086</v>
      </c>
      <c r="MZ111" t="s">
        <v>2086</v>
      </c>
      <c r="NN111" t="s">
        <v>2086</v>
      </c>
      <c r="NR111" t="s">
        <v>1567</v>
      </c>
      <c r="NS111" t="s">
        <v>2219</v>
      </c>
      <c r="NX111" t="s">
        <v>2220</v>
      </c>
      <c r="NY111" t="s">
        <v>1923</v>
      </c>
    </row>
    <row r="112" spans="4:389" ht="15" customHeight="1" x14ac:dyDescent="0.25">
      <c r="D112" t="s">
        <v>1568</v>
      </c>
      <c r="G112" t="s">
        <v>1853</v>
      </c>
      <c r="K112" t="s">
        <v>1853</v>
      </c>
      <c r="L112" t="s">
        <v>1853</v>
      </c>
      <c r="M112" t="s">
        <v>1853</v>
      </c>
      <c r="N112" t="s">
        <v>1853</v>
      </c>
      <c r="P112" t="s">
        <v>1853</v>
      </c>
      <c r="R112" t="s">
        <v>1853</v>
      </c>
      <c r="S112" t="s">
        <v>1853</v>
      </c>
      <c r="AH112" t="s">
        <v>1853</v>
      </c>
      <c r="AM112" t="s">
        <v>2104</v>
      </c>
      <c r="AO112" t="s">
        <v>2104</v>
      </c>
      <c r="AP112" t="s">
        <v>2104</v>
      </c>
      <c r="AQ112" t="s">
        <v>1853</v>
      </c>
      <c r="AR112" t="s">
        <v>2104</v>
      </c>
      <c r="BZ112" t="s">
        <v>1853</v>
      </c>
      <c r="CA112" t="s">
        <v>2104</v>
      </c>
      <c r="CE112" t="s">
        <v>1853</v>
      </c>
      <c r="CK112" t="s">
        <v>1853</v>
      </c>
      <c r="CL112" t="s">
        <v>1853</v>
      </c>
      <c r="CM112" t="s">
        <v>1853</v>
      </c>
      <c r="CN112" t="s">
        <v>1853</v>
      </c>
      <c r="CO112" t="s">
        <v>1853</v>
      </c>
      <c r="CP112" t="s">
        <v>2104</v>
      </c>
      <c r="CQ112" t="s">
        <v>1853</v>
      </c>
      <c r="CR112" t="s">
        <v>1853</v>
      </c>
      <c r="CU112" t="s">
        <v>2104</v>
      </c>
      <c r="CZ112" t="s">
        <v>1853</v>
      </c>
      <c r="DA112" t="s">
        <v>1853</v>
      </c>
      <c r="DB112" t="s">
        <v>1853</v>
      </c>
      <c r="DC112" t="s">
        <v>1853</v>
      </c>
      <c r="DJ112" t="s">
        <v>1853</v>
      </c>
      <c r="DK112" t="s">
        <v>1853</v>
      </c>
      <c r="DO112" t="s">
        <v>2104</v>
      </c>
      <c r="DP112" t="s">
        <v>1853</v>
      </c>
      <c r="DQ112" t="s">
        <v>2104</v>
      </c>
      <c r="DR112" t="s">
        <v>1853</v>
      </c>
      <c r="DT112" t="s">
        <v>2104</v>
      </c>
      <c r="DU112" t="s">
        <v>2104</v>
      </c>
      <c r="DV112" t="s">
        <v>2104</v>
      </c>
      <c r="EA112" t="s">
        <v>2104</v>
      </c>
      <c r="EB112" t="s">
        <v>1853</v>
      </c>
      <c r="EC112" t="s">
        <v>1853</v>
      </c>
      <c r="EG112" t="s">
        <v>2104</v>
      </c>
      <c r="EH112" t="s">
        <v>2104</v>
      </c>
      <c r="EI112" t="s">
        <v>2104</v>
      </c>
      <c r="EJ112" t="s">
        <v>1853</v>
      </c>
      <c r="EK112" t="s">
        <v>1853</v>
      </c>
      <c r="EL112" t="s">
        <v>1853</v>
      </c>
      <c r="EY112" t="s">
        <v>1853</v>
      </c>
      <c r="FA112" t="s">
        <v>2104</v>
      </c>
      <c r="FB112" t="s">
        <v>1853</v>
      </c>
      <c r="FC112" t="s">
        <v>1853</v>
      </c>
      <c r="FF112" t="s">
        <v>1853</v>
      </c>
      <c r="FG112" t="s">
        <v>1853</v>
      </c>
      <c r="FH112" t="s">
        <v>1853</v>
      </c>
      <c r="FI112" t="s">
        <v>1853</v>
      </c>
      <c r="FY112" t="s">
        <v>2104</v>
      </c>
      <c r="FZ112" t="s">
        <v>2104</v>
      </c>
      <c r="GA112" t="s">
        <v>1853</v>
      </c>
      <c r="HD112" t="s">
        <v>2104</v>
      </c>
      <c r="HF112" t="s">
        <v>2104</v>
      </c>
      <c r="HO112" t="s">
        <v>2104</v>
      </c>
      <c r="HQ112" t="s">
        <v>2104</v>
      </c>
      <c r="HR112" t="s">
        <v>2104</v>
      </c>
      <c r="HS112" t="s">
        <v>2104</v>
      </c>
      <c r="IF112" t="s">
        <v>2104</v>
      </c>
      <c r="IG112" t="s">
        <v>2104</v>
      </c>
      <c r="IH112" t="s">
        <v>2104</v>
      </c>
      <c r="II112" t="s">
        <v>2104</v>
      </c>
      <c r="IJ112" t="s">
        <v>2104</v>
      </c>
      <c r="IO112" t="s">
        <v>2104</v>
      </c>
      <c r="JB112" t="s">
        <v>2104</v>
      </c>
      <c r="JL112" t="s">
        <v>1853</v>
      </c>
      <c r="JT112" t="s">
        <v>2104</v>
      </c>
      <c r="JV112" t="s">
        <v>2104</v>
      </c>
      <c r="JZ112" t="s">
        <v>1853</v>
      </c>
      <c r="KN112" t="s">
        <v>2104</v>
      </c>
      <c r="LG112" t="s">
        <v>2104</v>
      </c>
      <c r="LH112" t="s">
        <v>1853</v>
      </c>
      <c r="LI112" t="s">
        <v>1853</v>
      </c>
      <c r="LK112" t="s">
        <v>1853</v>
      </c>
      <c r="LL112" t="s">
        <v>1853</v>
      </c>
      <c r="LO112" t="s">
        <v>2104</v>
      </c>
      <c r="LP112" t="s">
        <v>2104</v>
      </c>
      <c r="LQ112" t="s">
        <v>2104</v>
      </c>
      <c r="LR112" t="s">
        <v>2104</v>
      </c>
      <c r="LW112" t="s">
        <v>1853</v>
      </c>
      <c r="MD112" t="s">
        <v>2104</v>
      </c>
      <c r="MG112" t="s">
        <v>1853</v>
      </c>
      <c r="MH112" t="s">
        <v>1853</v>
      </c>
      <c r="MI112" t="s">
        <v>2104</v>
      </c>
      <c r="MX112" t="s">
        <v>2104</v>
      </c>
      <c r="MZ112" t="s">
        <v>2104</v>
      </c>
      <c r="NN112" t="s">
        <v>2104</v>
      </c>
      <c r="NR112" t="s">
        <v>1568</v>
      </c>
      <c r="NS112" t="s">
        <v>2221</v>
      </c>
      <c r="NX112" t="s">
        <v>2222</v>
      </c>
      <c r="NY112" t="s">
        <v>1923</v>
      </c>
    </row>
    <row r="113" spans="4:389" ht="15" customHeight="1" x14ac:dyDescent="0.25">
      <c r="D113" t="s">
        <v>1569</v>
      </c>
      <c r="G113" t="s">
        <v>2115</v>
      </c>
      <c r="K113" t="s">
        <v>2115</v>
      </c>
      <c r="L113" t="s">
        <v>2115</v>
      </c>
      <c r="M113" t="s">
        <v>2115</v>
      </c>
      <c r="N113" t="s">
        <v>2115</v>
      </c>
      <c r="P113" t="s">
        <v>2115</v>
      </c>
      <c r="R113" t="s">
        <v>2115</v>
      </c>
      <c r="S113" t="s">
        <v>2115</v>
      </c>
      <c r="AH113" t="s">
        <v>2115</v>
      </c>
      <c r="AM113" t="s">
        <v>2109</v>
      </c>
      <c r="AO113" t="s">
        <v>2109</v>
      </c>
      <c r="AP113" t="s">
        <v>2109</v>
      </c>
      <c r="AQ113" t="s">
        <v>2115</v>
      </c>
      <c r="AR113" t="s">
        <v>2109</v>
      </c>
      <c r="BZ113" t="s">
        <v>2115</v>
      </c>
      <c r="CA113" t="s">
        <v>2109</v>
      </c>
      <c r="CE113" t="s">
        <v>2115</v>
      </c>
      <c r="CK113" t="s">
        <v>2115</v>
      </c>
      <c r="CL113" t="s">
        <v>2115</v>
      </c>
      <c r="CM113" t="s">
        <v>2115</v>
      </c>
      <c r="CN113" t="s">
        <v>2115</v>
      </c>
      <c r="CO113" t="s">
        <v>2115</v>
      </c>
      <c r="CP113" t="s">
        <v>2109</v>
      </c>
      <c r="CQ113" t="s">
        <v>2115</v>
      </c>
      <c r="CR113" t="s">
        <v>2115</v>
      </c>
      <c r="CU113" t="s">
        <v>2109</v>
      </c>
      <c r="CZ113" t="s">
        <v>2115</v>
      </c>
      <c r="DA113" t="s">
        <v>2115</v>
      </c>
      <c r="DB113" t="s">
        <v>2115</v>
      </c>
      <c r="DC113" t="s">
        <v>2115</v>
      </c>
      <c r="DJ113" t="s">
        <v>2115</v>
      </c>
      <c r="DK113" t="s">
        <v>2115</v>
      </c>
      <c r="DO113" t="s">
        <v>2109</v>
      </c>
      <c r="DP113" t="s">
        <v>2115</v>
      </c>
      <c r="DQ113" t="s">
        <v>2109</v>
      </c>
      <c r="DR113" t="s">
        <v>2115</v>
      </c>
      <c r="DT113" t="s">
        <v>2109</v>
      </c>
      <c r="DU113" t="s">
        <v>2109</v>
      </c>
      <c r="DV113" t="s">
        <v>2109</v>
      </c>
      <c r="EA113" t="s">
        <v>2109</v>
      </c>
      <c r="EB113" t="s">
        <v>2115</v>
      </c>
      <c r="EC113" t="s">
        <v>2115</v>
      </c>
      <c r="EG113" t="s">
        <v>2109</v>
      </c>
      <c r="EH113" t="s">
        <v>2109</v>
      </c>
      <c r="EI113" t="s">
        <v>2109</v>
      </c>
      <c r="EJ113" t="s">
        <v>2115</v>
      </c>
      <c r="EK113" t="s">
        <v>2115</v>
      </c>
      <c r="EL113" t="s">
        <v>2115</v>
      </c>
      <c r="EY113" t="s">
        <v>2115</v>
      </c>
      <c r="FA113" t="s">
        <v>2109</v>
      </c>
      <c r="FB113" t="s">
        <v>2115</v>
      </c>
      <c r="FC113" t="s">
        <v>2115</v>
      </c>
      <c r="FF113" t="s">
        <v>2115</v>
      </c>
      <c r="FG113" t="s">
        <v>2115</v>
      </c>
      <c r="FH113" t="s">
        <v>2115</v>
      </c>
      <c r="FI113" t="s">
        <v>2115</v>
      </c>
      <c r="FY113" t="s">
        <v>2109</v>
      </c>
      <c r="FZ113" t="s">
        <v>2109</v>
      </c>
      <c r="GA113" t="s">
        <v>2115</v>
      </c>
      <c r="HD113" t="s">
        <v>2109</v>
      </c>
      <c r="HF113" t="s">
        <v>2109</v>
      </c>
      <c r="HO113" t="s">
        <v>2109</v>
      </c>
      <c r="HQ113" t="s">
        <v>2109</v>
      </c>
      <c r="HR113" t="s">
        <v>2109</v>
      </c>
      <c r="HS113" t="s">
        <v>2109</v>
      </c>
      <c r="IF113" t="s">
        <v>2109</v>
      </c>
      <c r="IG113" t="s">
        <v>2109</v>
      </c>
      <c r="IH113" t="s">
        <v>2109</v>
      </c>
      <c r="II113" t="s">
        <v>2109</v>
      </c>
      <c r="IJ113" t="s">
        <v>2109</v>
      </c>
      <c r="IO113" t="s">
        <v>2109</v>
      </c>
      <c r="JB113" t="s">
        <v>2109</v>
      </c>
      <c r="JL113" t="s">
        <v>2115</v>
      </c>
      <c r="JT113" t="s">
        <v>2109</v>
      </c>
      <c r="JV113" t="s">
        <v>2109</v>
      </c>
      <c r="JZ113" t="s">
        <v>2115</v>
      </c>
      <c r="KN113" t="s">
        <v>2109</v>
      </c>
      <c r="LG113" t="s">
        <v>2109</v>
      </c>
      <c r="LH113" t="s">
        <v>2115</v>
      </c>
      <c r="LI113" t="s">
        <v>2115</v>
      </c>
      <c r="LK113" t="s">
        <v>2115</v>
      </c>
      <c r="LL113" t="s">
        <v>2115</v>
      </c>
      <c r="LO113" t="s">
        <v>2109</v>
      </c>
      <c r="LP113" t="s">
        <v>2109</v>
      </c>
      <c r="LQ113" t="s">
        <v>2109</v>
      </c>
      <c r="LR113" t="s">
        <v>2109</v>
      </c>
      <c r="LW113" t="s">
        <v>2115</v>
      </c>
      <c r="MD113" t="s">
        <v>2109</v>
      </c>
      <c r="MG113" t="s">
        <v>2115</v>
      </c>
      <c r="MH113" t="s">
        <v>2115</v>
      </c>
      <c r="MI113" t="s">
        <v>2109</v>
      </c>
      <c r="MX113" t="s">
        <v>2109</v>
      </c>
      <c r="MZ113" t="s">
        <v>2109</v>
      </c>
      <c r="NN113" t="s">
        <v>2109</v>
      </c>
      <c r="NR113" t="s">
        <v>1569</v>
      </c>
      <c r="NS113" t="s">
        <v>2223</v>
      </c>
      <c r="NX113" t="s">
        <v>2224</v>
      </c>
      <c r="NY113" t="s">
        <v>1923</v>
      </c>
    </row>
    <row r="114" spans="4:389" ht="15" customHeight="1" x14ac:dyDescent="0.25">
      <c r="D114" t="s">
        <v>1570</v>
      </c>
      <c r="AM114" t="s">
        <v>1853</v>
      </c>
      <c r="AO114" t="s">
        <v>1853</v>
      </c>
      <c r="AP114" t="s">
        <v>1853</v>
      </c>
      <c r="AR114" t="s">
        <v>1853</v>
      </c>
      <c r="CA114" t="s">
        <v>1853</v>
      </c>
      <c r="CP114" t="s">
        <v>1853</v>
      </c>
      <c r="CU114" t="s">
        <v>1853</v>
      </c>
      <c r="DO114" t="s">
        <v>1853</v>
      </c>
      <c r="DQ114" t="s">
        <v>1853</v>
      </c>
      <c r="DT114" t="s">
        <v>1853</v>
      </c>
      <c r="DU114" t="s">
        <v>1853</v>
      </c>
      <c r="DV114" t="s">
        <v>1853</v>
      </c>
      <c r="EA114" t="s">
        <v>1853</v>
      </c>
      <c r="EG114" t="s">
        <v>1853</v>
      </c>
      <c r="EH114" t="s">
        <v>1853</v>
      </c>
      <c r="EI114" t="s">
        <v>1853</v>
      </c>
      <c r="FA114" t="s">
        <v>1853</v>
      </c>
      <c r="FY114" t="s">
        <v>1853</v>
      </c>
      <c r="FZ114" t="s">
        <v>1853</v>
      </c>
      <c r="HD114" t="s">
        <v>1853</v>
      </c>
      <c r="HF114" t="s">
        <v>1853</v>
      </c>
      <c r="HO114" t="s">
        <v>1853</v>
      </c>
      <c r="HQ114" t="s">
        <v>1853</v>
      </c>
      <c r="HR114" t="s">
        <v>1853</v>
      </c>
      <c r="HS114" t="s">
        <v>1853</v>
      </c>
      <c r="IF114" t="s">
        <v>1853</v>
      </c>
      <c r="IG114" t="s">
        <v>1853</v>
      </c>
      <c r="IH114" t="s">
        <v>1853</v>
      </c>
      <c r="II114" t="s">
        <v>1853</v>
      </c>
      <c r="IJ114" t="s">
        <v>1853</v>
      </c>
      <c r="IO114" t="s">
        <v>1853</v>
      </c>
      <c r="JB114" t="s">
        <v>1853</v>
      </c>
      <c r="JT114" t="s">
        <v>1853</v>
      </c>
      <c r="JV114" t="s">
        <v>1853</v>
      </c>
      <c r="KN114" t="s">
        <v>1853</v>
      </c>
      <c r="LG114" t="s">
        <v>1853</v>
      </c>
      <c r="LO114" t="s">
        <v>1853</v>
      </c>
      <c r="LP114" t="s">
        <v>1853</v>
      </c>
      <c r="LQ114" t="s">
        <v>1853</v>
      </c>
      <c r="LR114" t="s">
        <v>1853</v>
      </c>
      <c r="MD114" t="s">
        <v>1853</v>
      </c>
      <c r="MI114" t="s">
        <v>1853</v>
      </c>
      <c r="MX114" t="s">
        <v>1853</v>
      </c>
      <c r="MZ114" t="s">
        <v>1853</v>
      </c>
      <c r="NN114" t="s">
        <v>1853</v>
      </c>
      <c r="NR114" t="s">
        <v>1570</v>
      </c>
      <c r="NS114" t="s">
        <v>2225</v>
      </c>
      <c r="NX114" t="s">
        <v>2226</v>
      </c>
      <c r="NY114" t="s">
        <v>1923</v>
      </c>
    </row>
    <row r="115" spans="4:389" ht="15" customHeight="1" x14ac:dyDescent="0.25">
      <c r="D115" t="s">
        <v>1571</v>
      </c>
      <c r="AM115" t="s">
        <v>2115</v>
      </c>
      <c r="AO115" t="s">
        <v>2115</v>
      </c>
      <c r="AP115" t="s">
        <v>2115</v>
      </c>
      <c r="AR115" t="s">
        <v>2115</v>
      </c>
      <c r="CA115" t="s">
        <v>2115</v>
      </c>
      <c r="CP115" t="s">
        <v>2115</v>
      </c>
      <c r="CU115" t="s">
        <v>2115</v>
      </c>
      <c r="DO115" t="s">
        <v>2115</v>
      </c>
      <c r="DQ115" t="s">
        <v>2115</v>
      </c>
      <c r="DT115" t="s">
        <v>2115</v>
      </c>
      <c r="DU115" t="s">
        <v>2115</v>
      </c>
      <c r="DV115" t="s">
        <v>2115</v>
      </c>
      <c r="EA115" t="s">
        <v>2115</v>
      </c>
      <c r="EG115" t="s">
        <v>2115</v>
      </c>
      <c r="EH115" t="s">
        <v>2115</v>
      </c>
      <c r="EI115" t="s">
        <v>2115</v>
      </c>
      <c r="FA115" t="s">
        <v>2115</v>
      </c>
      <c r="FY115" t="s">
        <v>2115</v>
      </c>
      <c r="FZ115" t="s">
        <v>2115</v>
      </c>
      <c r="HD115" t="s">
        <v>2115</v>
      </c>
      <c r="HF115" t="s">
        <v>2115</v>
      </c>
      <c r="HO115" t="s">
        <v>2115</v>
      </c>
      <c r="HQ115" t="s">
        <v>2115</v>
      </c>
      <c r="HR115" t="s">
        <v>2115</v>
      </c>
      <c r="HS115" t="s">
        <v>2115</v>
      </c>
      <c r="IF115" t="s">
        <v>2115</v>
      </c>
      <c r="IG115" t="s">
        <v>2115</v>
      </c>
      <c r="IH115" t="s">
        <v>2115</v>
      </c>
      <c r="II115" t="s">
        <v>2115</v>
      </c>
      <c r="IJ115" t="s">
        <v>2115</v>
      </c>
      <c r="IO115" t="s">
        <v>2115</v>
      </c>
      <c r="JB115" t="s">
        <v>2115</v>
      </c>
      <c r="JT115" t="s">
        <v>2115</v>
      </c>
      <c r="JV115" t="s">
        <v>2115</v>
      </c>
      <c r="KN115" t="s">
        <v>2115</v>
      </c>
      <c r="LG115" t="s">
        <v>2115</v>
      </c>
      <c r="LO115" t="s">
        <v>2115</v>
      </c>
      <c r="LP115" t="s">
        <v>2115</v>
      </c>
      <c r="LQ115" t="s">
        <v>2115</v>
      </c>
      <c r="LR115" t="s">
        <v>2115</v>
      </c>
      <c r="MD115" t="s">
        <v>2115</v>
      </c>
      <c r="MI115" t="s">
        <v>2115</v>
      </c>
      <c r="MX115" t="s">
        <v>2115</v>
      </c>
      <c r="MZ115" t="s">
        <v>2115</v>
      </c>
      <c r="NN115" t="s">
        <v>2115</v>
      </c>
      <c r="NR115" t="s">
        <v>1571</v>
      </c>
      <c r="NS115" t="s">
        <v>2227</v>
      </c>
      <c r="NX115" t="s">
        <v>2228</v>
      </c>
      <c r="NY115" t="s">
        <v>1923</v>
      </c>
    </row>
    <row r="116" spans="4:389" ht="15" customHeight="1" x14ac:dyDescent="0.25">
      <c r="D116" t="s">
        <v>1572</v>
      </c>
      <c r="NR116" t="s">
        <v>1572</v>
      </c>
      <c r="NS116" t="s">
        <v>2229</v>
      </c>
      <c r="NX116" t="s">
        <v>2230</v>
      </c>
      <c r="NY116" t="s">
        <v>1923</v>
      </c>
    </row>
    <row r="117" spans="4:389" ht="15" customHeight="1" x14ac:dyDescent="0.25">
      <c r="D117" t="s">
        <v>1573</v>
      </c>
      <c r="NR117" t="s">
        <v>1573</v>
      </c>
      <c r="NS117" t="s">
        <v>2231</v>
      </c>
      <c r="NX117" t="s">
        <v>2232</v>
      </c>
      <c r="NY117" t="s">
        <v>1923</v>
      </c>
    </row>
    <row r="118" spans="4:389" ht="15" customHeight="1" x14ac:dyDescent="0.25">
      <c r="D118" t="s">
        <v>1574</v>
      </c>
      <c r="NR118" t="s">
        <v>1574</v>
      </c>
      <c r="NS118" t="s">
        <v>2233</v>
      </c>
      <c r="NX118" t="s">
        <v>2234</v>
      </c>
      <c r="NY118" t="s">
        <v>1923</v>
      </c>
    </row>
    <row r="119" spans="4:389" ht="15" customHeight="1" x14ac:dyDescent="0.25">
      <c r="D119" t="s">
        <v>1575</v>
      </c>
      <c r="NR119" t="s">
        <v>1575</v>
      </c>
      <c r="NS119" t="s">
        <v>2235</v>
      </c>
      <c r="NX119" t="s">
        <v>2236</v>
      </c>
      <c r="NY119" t="s">
        <v>1923</v>
      </c>
    </row>
    <row r="120" spans="4:389" ht="15" customHeight="1" x14ac:dyDescent="0.25">
      <c r="D120" t="s">
        <v>1576</v>
      </c>
      <c r="NR120" t="s">
        <v>1576</v>
      </c>
      <c r="NS120" t="s">
        <v>2237</v>
      </c>
      <c r="NX120" t="s">
        <v>2238</v>
      </c>
      <c r="NY120" t="s">
        <v>1923</v>
      </c>
    </row>
    <row r="121" spans="4:389" ht="15" customHeight="1" x14ac:dyDescent="0.25">
      <c r="D121" t="s">
        <v>1577</v>
      </c>
      <c r="NR121" t="s">
        <v>1577</v>
      </c>
      <c r="NS121" t="s">
        <v>2239</v>
      </c>
      <c r="NX121" t="s">
        <v>2240</v>
      </c>
      <c r="NY121" t="s">
        <v>1923</v>
      </c>
    </row>
    <row r="122" spans="4:389" ht="15" customHeight="1" x14ac:dyDescent="0.25">
      <c r="D122" t="s">
        <v>1578</v>
      </c>
      <c r="NR122" t="s">
        <v>1578</v>
      </c>
      <c r="NS122" t="s">
        <v>2241</v>
      </c>
      <c r="NX122" t="s">
        <v>2242</v>
      </c>
      <c r="NY122" t="s">
        <v>1923</v>
      </c>
    </row>
    <row r="123" spans="4:389" ht="15" customHeight="1" x14ac:dyDescent="0.25">
      <c r="D123" t="s">
        <v>1579</v>
      </c>
      <c r="NR123" t="s">
        <v>1579</v>
      </c>
      <c r="NS123" t="s">
        <v>2243</v>
      </c>
      <c r="NX123" t="s">
        <v>2244</v>
      </c>
      <c r="NY123" t="s">
        <v>1923</v>
      </c>
    </row>
    <row r="124" spans="4:389" ht="15" customHeight="1" x14ac:dyDescent="0.25">
      <c r="D124" t="s">
        <v>1580</v>
      </c>
      <c r="NR124" t="s">
        <v>1580</v>
      </c>
      <c r="NS124" t="s">
        <v>2245</v>
      </c>
      <c r="NX124" t="s">
        <v>2246</v>
      </c>
      <c r="NY124" t="s">
        <v>1923</v>
      </c>
    </row>
    <row r="125" spans="4:389" ht="15" customHeight="1" x14ac:dyDescent="0.25">
      <c r="D125" t="s">
        <v>1581</v>
      </c>
      <c r="NR125" t="s">
        <v>1581</v>
      </c>
      <c r="NS125" t="s">
        <v>2247</v>
      </c>
      <c r="NX125" t="s">
        <v>2248</v>
      </c>
      <c r="NY125" t="s">
        <v>1923</v>
      </c>
    </row>
    <row r="126" spans="4:389" ht="15" customHeight="1" x14ac:dyDescent="0.25">
      <c r="D126" t="s">
        <v>1582</v>
      </c>
      <c r="NR126" t="s">
        <v>1582</v>
      </c>
      <c r="NS126" t="s">
        <v>2249</v>
      </c>
      <c r="NX126" t="s">
        <v>2250</v>
      </c>
      <c r="NY126" t="s">
        <v>1923</v>
      </c>
    </row>
    <row r="127" spans="4:389" ht="15" customHeight="1" x14ac:dyDescent="0.25">
      <c r="D127" t="s">
        <v>1583</v>
      </c>
      <c r="NR127" t="s">
        <v>1583</v>
      </c>
      <c r="NS127" t="s">
        <v>2251</v>
      </c>
      <c r="NX127" t="s">
        <v>2252</v>
      </c>
      <c r="NY127" t="s">
        <v>1923</v>
      </c>
    </row>
    <row r="128" spans="4:389" ht="15" customHeight="1" x14ac:dyDescent="0.25">
      <c r="D128" t="s">
        <v>1584</v>
      </c>
      <c r="NR128" t="s">
        <v>1584</v>
      </c>
      <c r="NS128" t="s">
        <v>2253</v>
      </c>
      <c r="NX128" t="s">
        <v>2254</v>
      </c>
      <c r="NY128" t="s">
        <v>1923</v>
      </c>
    </row>
    <row r="129" spans="4:389" ht="15" customHeight="1" x14ac:dyDescent="0.25">
      <c r="D129" t="s">
        <v>1585</v>
      </c>
      <c r="NR129" t="s">
        <v>1585</v>
      </c>
      <c r="NS129" t="s">
        <v>2255</v>
      </c>
      <c r="NX129" t="s">
        <v>2256</v>
      </c>
      <c r="NY129" t="s">
        <v>1923</v>
      </c>
    </row>
    <row r="130" spans="4:389" ht="15" customHeight="1" x14ac:dyDescent="0.25">
      <c r="D130" t="s">
        <v>1586</v>
      </c>
      <c r="NR130" t="s">
        <v>1586</v>
      </c>
      <c r="NS130" t="s">
        <v>2257</v>
      </c>
      <c r="NX130" t="s">
        <v>2258</v>
      </c>
      <c r="NY130" t="s">
        <v>1923</v>
      </c>
    </row>
    <row r="131" spans="4:389" ht="15" customHeight="1" x14ac:dyDescent="0.25">
      <c r="D131" t="s">
        <v>1587</v>
      </c>
      <c r="NR131" t="s">
        <v>1587</v>
      </c>
      <c r="NS131" t="s">
        <v>2259</v>
      </c>
      <c r="NX131" t="s">
        <v>2260</v>
      </c>
      <c r="NY131" t="s">
        <v>1923</v>
      </c>
    </row>
    <row r="132" spans="4:389" ht="15" customHeight="1" x14ac:dyDescent="0.25">
      <c r="D132" t="s">
        <v>1588</v>
      </c>
      <c r="NR132" t="s">
        <v>1588</v>
      </c>
      <c r="NS132" t="s">
        <v>2261</v>
      </c>
      <c r="NX132" t="s">
        <v>2262</v>
      </c>
      <c r="NY132" t="s">
        <v>1923</v>
      </c>
    </row>
    <row r="133" spans="4:389" ht="15" customHeight="1" x14ac:dyDescent="0.25">
      <c r="D133" t="s">
        <v>1589</v>
      </c>
      <c r="NR133" t="s">
        <v>1589</v>
      </c>
      <c r="NS133" t="s">
        <v>2263</v>
      </c>
      <c r="NX133" t="s">
        <v>2264</v>
      </c>
      <c r="NY133" t="s">
        <v>1923</v>
      </c>
    </row>
    <row r="134" spans="4:389" ht="15" customHeight="1" x14ac:dyDescent="0.25">
      <c r="D134" t="s">
        <v>1590</v>
      </c>
      <c r="NR134" t="s">
        <v>1590</v>
      </c>
      <c r="NS134" t="s">
        <v>2265</v>
      </c>
      <c r="NX134" t="s">
        <v>2266</v>
      </c>
      <c r="NY134" t="s">
        <v>1923</v>
      </c>
    </row>
    <row r="135" spans="4:389" ht="15" customHeight="1" x14ac:dyDescent="0.25">
      <c r="D135" t="s">
        <v>1591</v>
      </c>
      <c r="NR135" t="s">
        <v>1591</v>
      </c>
      <c r="NS135" t="s">
        <v>2267</v>
      </c>
      <c r="NX135" t="s">
        <v>2268</v>
      </c>
      <c r="NY135" t="s">
        <v>1923</v>
      </c>
    </row>
    <row r="136" spans="4:389" ht="15" customHeight="1" x14ac:dyDescent="0.25">
      <c r="D136" t="s">
        <v>1592</v>
      </c>
      <c r="NR136" t="s">
        <v>1592</v>
      </c>
      <c r="NS136" t="s">
        <v>2269</v>
      </c>
      <c r="NX136" t="s">
        <v>2270</v>
      </c>
      <c r="NY136" t="s">
        <v>1923</v>
      </c>
    </row>
    <row r="137" spans="4:389" ht="15" customHeight="1" x14ac:dyDescent="0.25">
      <c r="D137" t="s">
        <v>1593</v>
      </c>
      <c r="NR137" t="s">
        <v>1593</v>
      </c>
      <c r="NS137" t="s">
        <v>2271</v>
      </c>
      <c r="NX137" t="s">
        <v>2272</v>
      </c>
      <c r="NY137" t="s">
        <v>1923</v>
      </c>
    </row>
    <row r="138" spans="4:389" ht="15" customHeight="1" x14ac:dyDescent="0.25">
      <c r="D138" t="s">
        <v>1594</v>
      </c>
      <c r="NR138" t="s">
        <v>1594</v>
      </c>
      <c r="NS138" t="s">
        <v>2273</v>
      </c>
      <c r="NX138" t="s">
        <v>2274</v>
      </c>
      <c r="NY138" t="s">
        <v>1923</v>
      </c>
    </row>
    <row r="139" spans="4:389" ht="15" customHeight="1" x14ac:dyDescent="0.25">
      <c r="D139" t="s">
        <v>1595</v>
      </c>
      <c r="NR139" t="s">
        <v>1595</v>
      </c>
      <c r="NS139" t="s">
        <v>2275</v>
      </c>
      <c r="NX139" t="s">
        <v>2276</v>
      </c>
      <c r="NY139" t="s">
        <v>1923</v>
      </c>
    </row>
    <row r="140" spans="4:389" ht="15" customHeight="1" x14ac:dyDescent="0.25">
      <c r="D140" t="s">
        <v>1596</v>
      </c>
      <c r="NR140" t="s">
        <v>1596</v>
      </c>
      <c r="NS140" t="s">
        <v>2277</v>
      </c>
      <c r="NX140" t="s">
        <v>2278</v>
      </c>
      <c r="NY140" t="s">
        <v>1923</v>
      </c>
    </row>
    <row r="141" spans="4:389" ht="15" customHeight="1" x14ac:dyDescent="0.25">
      <c r="D141" t="s">
        <v>1597</v>
      </c>
      <c r="NR141" t="s">
        <v>1597</v>
      </c>
      <c r="NS141" t="s">
        <v>2279</v>
      </c>
      <c r="NX141" t="s">
        <v>2280</v>
      </c>
      <c r="NY141" t="s">
        <v>1923</v>
      </c>
    </row>
    <row r="142" spans="4:389" ht="15" customHeight="1" x14ac:dyDescent="0.25">
      <c r="D142" t="s">
        <v>1598</v>
      </c>
      <c r="NR142" t="s">
        <v>1598</v>
      </c>
      <c r="NS142" t="s">
        <v>2281</v>
      </c>
      <c r="NX142" t="s">
        <v>2282</v>
      </c>
      <c r="NY142" t="s">
        <v>1923</v>
      </c>
    </row>
    <row r="143" spans="4:389" ht="15" customHeight="1" x14ac:dyDescent="0.25">
      <c r="D143" t="s">
        <v>1599</v>
      </c>
      <c r="NR143" t="s">
        <v>1599</v>
      </c>
      <c r="NS143" t="s">
        <v>2283</v>
      </c>
      <c r="NX143" t="s">
        <v>2284</v>
      </c>
      <c r="NY143" t="s">
        <v>1923</v>
      </c>
    </row>
    <row r="144" spans="4:389" ht="15" customHeight="1" x14ac:dyDescent="0.25">
      <c r="D144" t="s">
        <v>1600</v>
      </c>
      <c r="NR144" t="s">
        <v>1600</v>
      </c>
      <c r="NS144" t="s">
        <v>2285</v>
      </c>
      <c r="NX144" t="s">
        <v>2286</v>
      </c>
      <c r="NY144" t="s">
        <v>1923</v>
      </c>
    </row>
    <row r="145" spans="4:389" ht="15" customHeight="1" x14ac:dyDescent="0.25">
      <c r="D145" t="s">
        <v>1601</v>
      </c>
      <c r="NR145" t="s">
        <v>1601</v>
      </c>
      <c r="NS145" t="s">
        <v>2287</v>
      </c>
      <c r="NX145" t="s">
        <v>2288</v>
      </c>
      <c r="NY145" t="s">
        <v>1923</v>
      </c>
    </row>
    <row r="146" spans="4:389" ht="15" customHeight="1" x14ac:dyDescent="0.25">
      <c r="D146" t="s">
        <v>1602</v>
      </c>
      <c r="NR146" t="s">
        <v>1602</v>
      </c>
      <c r="NS146" t="s">
        <v>2289</v>
      </c>
      <c r="NX146" t="s">
        <v>2290</v>
      </c>
      <c r="NY146" t="s">
        <v>1923</v>
      </c>
    </row>
    <row r="147" spans="4:389" ht="15" customHeight="1" x14ac:dyDescent="0.25">
      <c r="D147" t="s">
        <v>1603</v>
      </c>
      <c r="NR147" t="s">
        <v>1603</v>
      </c>
      <c r="NS147" t="s">
        <v>2291</v>
      </c>
      <c r="NX147" t="s">
        <v>2292</v>
      </c>
      <c r="NY147" t="s">
        <v>1923</v>
      </c>
    </row>
    <row r="148" spans="4:389" ht="15" customHeight="1" x14ac:dyDescent="0.25">
      <c r="D148" t="s">
        <v>1604</v>
      </c>
      <c r="NR148" t="s">
        <v>1604</v>
      </c>
      <c r="NS148" t="s">
        <v>2293</v>
      </c>
      <c r="NX148" t="s">
        <v>2294</v>
      </c>
      <c r="NY148" t="s">
        <v>1923</v>
      </c>
    </row>
    <row r="149" spans="4:389" ht="15" customHeight="1" x14ac:dyDescent="0.25">
      <c r="D149" t="s">
        <v>1605</v>
      </c>
      <c r="NR149" t="s">
        <v>1605</v>
      </c>
      <c r="NS149" t="s">
        <v>2295</v>
      </c>
      <c r="NX149" t="s">
        <v>2296</v>
      </c>
      <c r="NY149" t="s">
        <v>1923</v>
      </c>
    </row>
    <row r="150" spans="4:389" ht="15" customHeight="1" x14ac:dyDescent="0.25">
      <c r="D150" t="s">
        <v>1606</v>
      </c>
      <c r="NR150" t="s">
        <v>1606</v>
      </c>
      <c r="NS150" t="s">
        <v>2297</v>
      </c>
      <c r="NX150" t="s">
        <v>2298</v>
      </c>
      <c r="NY150" t="s">
        <v>1923</v>
      </c>
    </row>
    <row r="151" spans="4:389" ht="15" customHeight="1" x14ac:dyDescent="0.25">
      <c r="D151" t="s">
        <v>1607</v>
      </c>
      <c r="NR151" t="s">
        <v>1607</v>
      </c>
      <c r="NS151" t="s">
        <v>2299</v>
      </c>
      <c r="NX151" t="s">
        <v>2300</v>
      </c>
      <c r="NY151" t="s">
        <v>1923</v>
      </c>
    </row>
    <row r="152" spans="4:389" ht="15" customHeight="1" x14ac:dyDescent="0.25">
      <c r="D152" t="s">
        <v>1608</v>
      </c>
      <c r="NR152" t="s">
        <v>1608</v>
      </c>
      <c r="NS152" t="s">
        <v>2301</v>
      </c>
      <c r="NX152" t="s">
        <v>1972</v>
      </c>
      <c r="NY152" t="s">
        <v>1973</v>
      </c>
    </row>
    <row r="153" spans="4:389" ht="15" customHeight="1" x14ac:dyDescent="0.25">
      <c r="D153" t="s">
        <v>1609</v>
      </c>
      <c r="NR153" t="s">
        <v>1609</v>
      </c>
      <c r="NS153" t="s">
        <v>2302</v>
      </c>
      <c r="NX153" t="s">
        <v>2303</v>
      </c>
      <c r="NY153" t="s">
        <v>1964</v>
      </c>
    </row>
    <row r="154" spans="4:389" ht="15" customHeight="1" x14ac:dyDescent="0.25">
      <c r="D154" t="s">
        <v>1610</v>
      </c>
      <c r="NR154" t="s">
        <v>1610</v>
      </c>
      <c r="NS154" t="s">
        <v>2304</v>
      </c>
      <c r="NX154" t="s">
        <v>2305</v>
      </c>
      <c r="NY154" t="s">
        <v>1888</v>
      </c>
    </row>
    <row r="155" spans="4:389" ht="15" customHeight="1" x14ac:dyDescent="0.25">
      <c r="D155" t="s">
        <v>1611</v>
      </c>
      <c r="NR155" t="s">
        <v>1611</v>
      </c>
      <c r="NS155" t="s">
        <v>2306</v>
      </c>
      <c r="NX155" t="s">
        <v>2307</v>
      </c>
      <c r="NY155" t="s">
        <v>1888</v>
      </c>
    </row>
    <row r="156" spans="4:389" ht="15" customHeight="1" x14ac:dyDescent="0.25">
      <c r="D156" t="s">
        <v>1612</v>
      </c>
      <c r="NR156" t="s">
        <v>1612</v>
      </c>
      <c r="NS156" t="s">
        <v>2308</v>
      </c>
      <c r="NX156" t="s">
        <v>2309</v>
      </c>
      <c r="NY156" t="s">
        <v>1888</v>
      </c>
    </row>
    <row r="157" spans="4:389" ht="15" customHeight="1" x14ac:dyDescent="0.25">
      <c r="D157" t="s">
        <v>1613</v>
      </c>
      <c r="NR157" t="s">
        <v>1613</v>
      </c>
      <c r="NS157" t="s">
        <v>2310</v>
      </c>
      <c r="NX157" t="s">
        <v>2311</v>
      </c>
      <c r="NY157" t="s">
        <v>1888</v>
      </c>
    </row>
    <row r="158" spans="4:389" ht="15" customHeight="1" x14ac:dyDescent="0.25">
      <c r="D158" t="s">
        <v>1614</v>
      </c>
      <c r="NR158" t="s">
        <v>1614</v>
      </c>
      <c r="NS158" t="s">
        <v>2312</v>
      </c>
      <c r="NX158" t="s">
        <v>2313</v>
      </c>
      <c r="NY158" t="s">
        <v>1851</v>
      </c>
    </row>
    <row r="159" spans="4:389" ht="15" customHeight="1" x14ac:dyDescent="0.25">
      <c r="D159" t="s">
        <v>1615</v>
      </c>
      <c r="NR159" t="s">
        <v>1615</v>
      </c>
      <c r="NS159" t="s">
        <v>2314</v>
      </c>
      <c r="NX159" t="s">
        <v>2315</v>
      </c>
      <c r="NY159" t="s">
        <v>1851</v>
      </c>
    </row>
    <row r="160" spans="4:389" ht="15" customHeight="1" x14ac:dyDescent="0.25">
      <c r="D160" t="s">
        <v>1616</v>
      </c>
      <c r="NR160" t="s">
        <v>1616</v>
      </c>
      <c r="NS160" t="s">
        <v>2316</v>
      </c>
      <c r="NX160" t="s">
        <v>2317</v>
      </c>
      <c r="NY160" t="s">
        <v>1851</v>
      </c>
    </row>
    <row r="161" spans="4:389" ht="15" customHeight="1" x14ac:dyDescent="0.25">
      <c r="D161" t="s">
        <v>1617</v>
      </c>
      <c r="NR161" t="s">
        <v>1617</v>
      </c>
      <c r="NS161" t="s">
        <v>2318</v>
      </c>
      <c r="NX161" t="s">
        <v>2319</v>
      </c>
      <c r="NY161" t="s">
        <v>1851</v>
      </c>
    </row>
    <row r="162" spans="4:389" ht="15" customHeight="1" x14ac:dyDescent="0.25">
      <c r="D162" t="s">
        <v>1618</v>
      </c>
      <c r="NR162" t="s">
        <v>1618</v>
      </c>
      <c r="NS162" t="s">
        <v>2320</v>
      </c>
      <c r="NX162" t="s">
        <v>2321</v>
      </c>
      <c r="NY162" t="s">
        <v>1851</v>
      </c>
    </row>
    <row r="163" spans="4:389" ht="15" customHeight="1" x14ac:dyDescent="0.25">
      <c r="D163" t="s">
        <v>1619</v>
      </c>
      <c r="NR163" t="s">
        <v>1619</v>
      </c>
      <c r="NS163" t="s">
        <v>2322</v>
      </c>
      <c r="NX163" t="s">
        <v>2323</v>
      </c>
      <c r="NY163" t="s">
        <v>1851</v>
      </c>
    </row>
    <row r="164" spans="4:389" ht="15" customHeight="1" x14ac:dyDescent="0.25">
      <c r="D164" t="s">
        <v>1620</v>
      </c>
      <c r="NR164" t="s">
        <v>1620</v>
      </c>
      <c r="NS164" t="s">
        <v>2324</v>
      </c>
      <c r="NX164" t="s">
        <v>2325</v>
      </c>
      <c r="NY164" t="s">
        <v>1851</v>
      </c>
    </row>
    <row r="165" spans="4:389" ht="15" customHeight="1" x14ac:dyDescent="0.25">
      <c r="D165" t="s">
        <v>1621</v>
      </c>
      <c r="NR165" t="s">
        <v>1621</v>
      </c>
      <c r="NS165" t="s">
        <v>2326</v>
      </c>
      <c r="NX165" t="s">
        <v>2327</v>
      </c>
      <c r="NY165" t="s">
        <v>1851</v>
      </c>
    </row>
    <row r="166" spans="4:389" ht="15" customHeight="1" x14ac:dyDescent="0.25">
      <c r="D166" t="s">
        <v>1622</v>
      </c>
      <c r="NR166" t="s">
        <v>1622</v>
      </c>
      <c r="NS166" t="s">
        <v>2328</v>
      </c>
      <c r="NX166" t="s">
        <v>2329</v>
      </c>
      <c r="NY166" t="s">
        <v>1851</v>
      </c>
    </row>
    <row r="167" spans="4:389" ht="15" customHeight="1" x14ac:dyDescent="0.25">
      <c r="D167" t="s">
        <v>1623</v>
      </c>
      <c r="NR167" t="s">
        <v>1623</v>
      </c>
      <c r="NS167" t="s">
        <v>2330</v>
      </c>
      <c r="NX167" t="s">
        <v>2331</v>
      </c>
      <c r="NY167" t="s">
        <v>1851</v>
      </c>
    </row>
    <row r="168" spans="4:389" ht="15" customHeight="1" x14ac:dyDescent="0.25">
      <c r="D168" t="s">
        <v>1624</v>
      </c>
      <c r="NR168" t="s">
        <v>1624</v>
      </c>
      <c r="NS168" t="s">
        <v>2332</v>
      </c>
      <c r="NX168" t="s">
        <v>2333</v>
      </c>
      <c r="NY168" t="s">
        <v>1851</v>
      </c>
    </row>
    <row r="169" spans="4:389" ht="15" customHeight="1" x14ac:dyDescent="0.25">
      <c r="D169" t="s">
        <v>1625</v>
      </c>
      <c r="NR169" t="s">
        <v>1625</v>
      </c>
      <c r="NS169" t="s">
        <v>2334</v>
      </c>
      <c r="NX169" t="s">
        <v>2335</v>
      </c>
      <c r="NY169" t="s">
        <v>1851</v>
      </c>
    </row>
    <row r="170" spans="4:389" ht="15" customHeight="1" x14ac:dyDescent="0.25">
      <c r="D170" t="s">
        <v>1626</v>
      </c>
      <c r="NR170" t="s">
        <v>1626</v>
      </c>
      <c r="NS170" t="s">
        <v>2336</v>
      </c>
      <c r="NX170" t="s">
        <v>2337</v>
      </c>
      <c r="NY170" t="s">
        <v>1851</v>
      </c>
    </row>
    <row r="171" spans="4:389" ht="15" customHeight="1" x14ac:dyDescent="0.25">
      <c r="D171" t="s">
        <v>1627</v>
      </c>
      <c r="NR171" t="s">
        <v>1627</v>
      </c>
      <c r="NS171" t="s">
        <v>2338</v>
      </c>
      <c r="NX171" t="s">
        <v>2339</v>
      </c>
      <c r="NY171" t="s">
        <v>1851</v>
      </c>
    </row>
    <row r="172" spans="4:389" ht="15" customHeight="1" x14ac:dyDescent="0.25">
      <c r="D172" t="s">
        <v>1628</v>
      </c>
      <c r="NR172" t="s">
        <v>1628</v>
      </c>
      <c r="NS172" t="s">
        <v>2340</v>
      </c>
      <c r="NX172" t="s">
        <v>2341</v>
      </c>
      <c r="NY172" t="s">
        <v>1851</v>
      </c>
    </row>
    <row r="173" spans="4:389" ht="15" customHeight="1" x14ac:dyDescent="0.25">
      <c r="D173" t="s">
        <v>1629</v>
      </c>
      <c r="NR173" t="s">
        <v>1629</v>
      </c>
      <c r="NS173" t="s">
        <v>2342</v>
      </c>
      <c r="NX173" t="s">
        <v>2343</v>
      </c>
      <c r="NY173" t="s">
        <v>1851</v>
      </c>
    </row>
    <row r="174" spans="4:389" ht="15" customHeight="1" x14ac:dyDescent="0.25">
      <c r="D174" t="s">
        <v>1630</v>
      </c>
      <c r="NR174" t="s">
        <v>1630</v>
      </c>
      <c r="NS174" t="s">
        <v>2344</v>
      </c>
      <c r="NX174" t="s">
        <v>2345</v>
      </c>
      <c r="NY174" t="s">
        <v>1851</v>
      </c>
    </row>
    <row r="175" spans="4:389" ht="15" customHeight="1" x14ac:dyDescent="0.25">
      <c r="D175" t="s">
        <v>1631</v>
      </c>
      <c r="NR175" t="s">
        <v>1631</v>
      </c>
      <c r="NS175" t="s">
        <v>2346</v>
      </c>
      <c r="NX175" t="s">
        <v>2347</v>
      </c>
      <c r="NY175" t="s">
        <v>1851</v>
      </c>
    </row>
    <row r="176" spans="4:389" ht="15" customHeight="1" x14ac:dyDescent="0.25">
      <c r="D176" t="s">
        <v>1632</v>
      </c>
      <c r="NR176" t="s">
        <v>1632</v>
      </c>
      <c r="NS176" t="s">
        <v>2348</v>
      </c>
      <c r="NX176" t="s">
        <v>2349</v>
      </c>
      <c r="NY176" t="s">
        <v>1851</v>
      </c>
    </row>
    <row r="177" spans="4:389" ht="15" customHeight="1" x14ac:dyDescent="0.25">
      <c r="D177" t="s">
        <v>1633</v>
      </c>
      <c r="NR177" t="s">
        <v>1633</v>
      </c>
      <c r="NS177" t="s">
        <v>2350</v>
      </c>
      <c r="NX177" t="s">
        <v>2351</v>
      </c>
      <c r="NY177" t="s">
        <v>1851</v>
      </c>
    </row>
    <row r="178" spans="4:389" ht="15" customHeight="1" x14ac:dyDescent="0.25">
      <c r="D178" t="s">
        <v>1634</v>
      </c>
      <c r="NR178" t="s">
        <v>1634</v>
      </c>
      <c r="NS178" t="s">
        <v>2352</v>
      </c>
      <c r="NX178" t="s">
        <v>2353</v>
      </c>
      <c r="NY178" t="s">
        <v>1851</v>
      </c>
    </row>
    <row r="179" spans="4:389" ht="15" customHeight="1" x14ac:dyDescent="0.25">
      <c r="D179" t="s">
        <v>1635</v>
      </c>
      <c r="NR179" t="s">
        <v>1635</v>
      </c>
      <c r="NS179" t="s">
        <v>2354</v>
      </c>
      <c r="NX179" t="s">
        <v>2355</v>
      </c>
      <c r="NY179" t="s">
        <v>1851</v>
      </c>
    </row>
    <row r="180" spans="4:389" ht="15" customHeight="1" x14ac:dyDescent="0.25">
      <c r="D180" t="s">
        <v>1636</v>
      </c>
      <c r="NR180" t="s">
        <v>1636</v>
      </c>
      <c r="NS180" t="s">
        <v>2356</v>
      </c>
      <c r="NX180" t="s">
        <v>2357</v>
      </c>
      <c r="NY180" t="s">
        <v>1851</v>
      </c>
    </row>
    <row r="181" spans="4:389" ht="15" customHeight="1" x14ac:dyDescent="0.25">
      <c r="D181" t="s">
        <v>1637</v>
      </c>
      <c r="NR181" t="s">
        <v>1637</v>
      </c>
      <c r="NS181" t="s">
        <v>2358</v>
      </c>
      <c r="NX181" t="s">
        <v>2359</v>
      </c>
      <c r="NY181" t="s">
        <v>1851</v>
      </c>
    </row>
    <row r="182" spans="4:389" ht="15" customHeight="1" x14ac:dyDescent="0.25">
      <c r="D182" t="s">
        <v>1638</v>
      </c>
      <c r="NR182" t="s">
        <v>1638</v>
      </c>
      <c r="NS182" t="s">
        <v>2360</v>
      </c>
      <c r="NX182" t="s">
        <v>2361</v>
      </c>
      <c r="NY182" t="s">
        <v>1851</v>
      </c>
    </row>
    <row r="183" spans="4:389" ht="15" customHeight="1" x14ac:dyDescent="0.25">
      <c r="D183" t="s">
        <v>1639</v>
      </c>
      <c r="NR183" t="s">
        <v>1639</v>
      </c>
      <c r="NS183" t="s">
        <v>2362</v>
      </c>
      <c r="NX183" t="s">
        <v>2363</v>
      </c>
      <c r="NY183" t="s">
        <v>1851</v>
      </c>
    </row>
    <row r="184" spans="4:389" ht="15" customHeight="1" x14ac:dyDescent="0.25">
      <c r="D184" t="s">
        <v>1640</v>
      </c>
      <c r="NR184" t="s">
        <v>1640</v>
      </c>
      <c r="NS184" t="s">
        <v>2364</v>
      </c>
      <c r="NX184" t="s">
        <v>2365</v>
      </c>
      <c r="NY184" t="s">
        <v>1851</v>
      </c>
    </row>
    <row r="185" spans="4:389" ht="15" customHeight="1" x14ac:dyDescent="0.25">
      <c r="D185" t="s">
        <v>1641</v>
      </c>
      <c r="NR185" t="s">
        <v>1641</v>
      </c>
      <c r="NS185" t="s">
        <v>2366</v>
      </c>
      <c r="NX185" t="s">
        <v>2367</v>
      </c>
      <c r="NY185" t="s">
        <v>1851</v>
      </c>
    </row>
    <row r="186" spans="4:389" ht="15" customHeight="1" x14ac:dyDescent="0.25">
      <c r="D186" t="s">
        <v>1642</v>
      </c>
      <c r="NR186" t="s">
        <v>1642</v>
      </c>
      <c r="NS186" t="s">
        <v>2368</v>
      </c>
      <c r="NX186" t="s">
        <v>2369</v>
      </c>
      <c r="NY186" t="s">
        <v>1851</v>
      </c>
    </row>
    <row r="187" spans="4:389" ht="15" customHeight="1" x14ac:dyDescent="0.25">
      <c r="D187" t="s">
        <v>1643</v>
      </c>
      <c r="NR187" t="s">
        <v>1643</v>
      </c>
      <c r="NS187" t="s">
        <v>2370</v>
      </c>
      <c r="NX187" t="s">
        <v>2371</v>
      </c>
      <c r="NY187" t="s">
        <v>1851</v>
      </c>
    </row>
    <row r="188" spans="4:389" ht="15" customHeight="1" x14ac:dyDescent="0.25">
      <c r="D188" t="s">
        <v>1644</v>
      </c>
      <c r="NR188" t="s">
        <v>1644</v>
      </c>
      <c r="NS188" t="s">
        <v>2372</v>
      </c>
      <c r="NX188" t="s">
        <v>2373</v>
      </c>
      <c r="NY188" t="s">
        <v>1851</v>
      </c>
    </row>
    <row r="189" spans="4:389" ht="15" customHeight="1" x14ac:dyDescent="0.25">
      <c r="D189" t="s">
        <v>1645</v>
      </c>
      <c r="NR189" t="s">
        <v>1645</v>
      </c>
      <c r="NS189" t="s">
        <v>2374</v>
      </c>
      <c r="NX189" t="s">
        <v>2375</v>
      </c>
      <c r="NY189" t="s">
        <v>1851</v>
      </c>
    </row>
    <row r="190" spans="4:389" ht="15" customHeight="1" x14ac:dyDescent="0.25">
      <c r="D190" t="s">
        <v>1646</v>
      </c>
      <c r="NR190" t="s">
        <v>1646</v>
      </c>
      <c r="NS190" t="s">
        <v>2376</v>
      </c>
      <c r="NX190" t="s">
        <v>2377</v>
      </c>
      <c r="NY190" t="s">
        <v>1851</v>
      </c>
    </row>
    <row r="191" spans="4:389" ht="15" customHeight="1" x14ac:dyDescent="0.25">
      <c r="D191" t="s">
        <v>1647</v>
      </c>
      <c r="NR191" t="s">
        <v>1647</v>
      </c>
      <c r="NS191" t="s">
        <v>2378</v>
      </c>
      <c r="NX191" t="s">
        <v>2379</v>
      </c>
      <c r="NY191" t="s">
        <v>1851</v>
      </c>
    </row>
    <row r="192" spans="4:389" ht="15" customHeight="1" x14ac:dyDescent="0.25">
      <c r="D192" t="s">
        <v>1648</v>
      </c>
      <c r="NR192" t="s">
        <v>1648</v>
      </c>
      <c r="NS192" t="s">
        <v>2380</v>
      </c>
      <c r="NX192" t="s">
        <v>2381</v>
      </c>
      <c r="NY192" t="s">
        <v>1851</v>
      </c>
    </row>
    <row r="193" spans="4:389" ht="15" customHeight="1" x14ac:dyDescent="0.25">
      <c r="D193" t="s">
        <v>1649</v>
      </c>
      <c r="NR193" t="s">
        <v>1649</v>
      </c>
      <c r="NS193" t="s">
        <v>2382</v>
      </c>
      <c r="NX193" t="s">
        <v>2383</v>
      </c>
      <c r="NY193" t="s">
        <v>1851</v>
      </c>
    </row>
    <row r="194" spans="4:389" ht="15" customHeight="1" x14ac:dyDescent="0.25">
      <c r="D194" t="s">
        <v>1650</v>
      </c>
      <c r="NR194" t="s">
        <v>1650</v>
      </c>
      <c r="NS194" t="s">
        <v>2384</v>
      </c>
      <c r="NX194" t="s">
        <v>2385</v>
      </c>
      <c r="NY194" t="s">
        <v>1851</v>
      </c>
    </row>
    <row r="195" spans="4:389" ht="15" customHeight="1" x14ac:dyDescent="0.25">
      <c r="D195" t="s">
        <v>1651</v>
      </c>
      <c r="NR195" t="s">
        <v>1651</v>
      </c>
      <c r="NS195" t="s">
        <v>2386</v>
      </c>
      <c r="NX195" t="s">
        <v>2387</v>
      </c>
      <c r="NY195" t="s">
        <v>1851</v>
      </c>
    </row>
    <row r="196" spans="4:389" ht="15" customHeight="1" x14ac:dyDescent="0.25">
      <c r="D196" t="s">
        <v>1652</v>
      </c>
      <c r="NR196" t="s">
        <v>1652</v>
      </c>
      <c r="NS196" t="s">
        <v>2388</v>
      </c>
      <c r="NX196" t="s">
        <v>2389</v>
      </c>
      <c r="NY196" t="s">
        <v>1851</v>
      </c>
    </row>
    <row r="197" spans="4:389" ht="15" customHeight="1" x14ac:dyDescent="0.25">
      <c r="D197" t="s">
        <v>1653</v>
      </c>
      <c r="NR197" t="s">
        <v>1653</v>
      </c>
      <c r="NS197" t="s">
        <v>2390</v>
      </c>
      <c r="NX197" t="s">
        <v>2391</v>
      </c>
      <c r="NY197" t="s">
        <v>1851</v>
      </c>
    </row>
    <row r="198" spans="4:389" ht="15" customHeight="1" x14ac:dyDescent="0.25">
      <c r="D198" t="s">
        <v>1654</v>
      </c>
      <c r="NR198" t="s">
        <v>1654</v>
      </c>
      <c r="NS198" t="s">
        <v>2392</v>
      </c>
      <c r="NX198" t="s">
        <v>2393</v>
      </c>
      <c r="NY198" t="s">
        <v>1851</v>
      </c>
    </row>
    <row r="199" spans="4:389" ht="15" customHeight="1" x14ac:dyDescent="0.25">
      <c r="D199" t="s">
        <v>1655</v>
      </c>
      <c r="NR199" t="s">
        <v>1655</v>
      </c>
      <c r="NS199" t="s">
        <v>2394</v>
      </c>
      <c r="NX199" t="s">
        <v>2395</v>
      </c>
      <c r="NY199" t="s">
        <v>1851</v>
      </c>
    </row>
    <row r="200" spans="4:389" ht="15" customHeight="1" x14ac:dyDescent="0.25">
      <c r="D200" t="s">
        <v>1656</v>
      </c>
      <c r="NR200" t="s">
        <v>1656</v>
      </c>
      <c r="NS200" t="s">
        <v>2396</v>
      </c>
      <c r="NX200" t="s">
        <v>2397</v>
      </c>
      <c r="NY200" t="s">
        <v>1851</v>
      </c>
    </row>
    <row r="201" spans="4:389" ht="15" customHeight="1" x14ac:dyDescent="0.25">
      <c r="D201" t="s">
        <v>1657</v>
      </c>
      <c r="NR201" t="s">
        <v>1657</v>
      </c>
      <c r="NS201" t="s">
        <v>2398</v>
      </c>
      <c r="NX201" t="s">
        <v>2399</v>
      </c>
      <c r="NY201" t="s">
        <v>1851</v>
      </c>
    </row>
    <row r="202" spans="4:389" ht="15" customHeight="1" x14ac:dyDescent="0.25">
      <c r="D202" t="s">
        <v>1658</v>
      </c>
      <c r="NR202" t="s">
        <v>1658</v>
      </c>
      <c r="NS202" t="s">
        <v>2400</v>
      </c>
      <c r="NX202" t="s">
        <v>2401</v>
      </c>
      <c r="NY202" t="s">
        <v>1851</v>
      </c>
    </row>
    <row r="203" spans="4:389" ht="15" customHeight="1" x14ac:dyDescent="0.25">
      <c r="D203" t="s">
        <v>1659</v>
      </c>
      <c r="NR203" t="s">
        <v>1659</v>
      </c>
      <c r="NS203" t="s">
        <v>2402</v>
      </c>
      <c r="NX203" t="s">
        <v>2403</v>
      </c>
      <c r="NY203" t="s">
        <v>1851</v>
      </c>
    </row>
    <row r="204" spans="4:389" ht="15" customHeight="1" x14ac:dyDescent="0.25">
      <c r="D204" t="s">
        <v>1660</v>
      </c>
      <c r="NR204" t="s">
        <v>1660</v>
      </c>
      <c r="NS204" t="s">
        <v>2404</v>
      </c>
      <c r="NX204" t="s">
        <v>2405</v>
      </c>
      <c r="NY204" t="s">
        <v>1851</v>
      </c>
    </row>
    <row r="205" spans="4:389" ht="15" customHeight="1" x14ac:dyDescent="0.25">
      <c r="D205" t="s">
        <v>1661</v>
      </c>
      <c r="NR205" t="s">
        <v>1661</v>
      </c>
      <c r="NS205" t="s">
        <v>2406</v>
      </c>
      <c r="NX205" t="s">
        <v>2407</v>
      </c>
      <c r="NY205" t="s">
        <v>1851</v>
      </c>
    </row>
    <row r="206" spans="4:389" ht="15" customHeight="1" x14ac:dyDescent="0.25">
      <c r="D206" t="s">
        <v>1662</v>
      </c>
      <c r="NR206" t="s">
        <v>1662</v>
      </c>
      <c r="NS206" t="s">
        <v>2408</v>
      </c>
      <c r="NX206" t="s">
        <v>2409</v>
      </c>
      <c r="NY206" t="s">
        <v>1851</v>
      </c>
    </row>
    <row r="207" spans="4:389" ht="15" customHeight="1" x14ac:dyDescent="0.25">
      <c r="D207" t="s">
        <v>1663</v>
      </c>
      <c r="NR207" t="s">
        <v>1663</v>
      </c>
      <c r="NS207" t="s">
        <v>2410</v>
      </c>
      <c r="NX207" t="s">
        <v>2411</v>
      </c>
      <c r="NY207" t="s">
        <v>1851</v>
      </c>
    </row>
    <row r="208" spans="4:389" ht="15" customHeight="1" x14ac:dyDescent="0.25">
      <c r="D208" t="s">
        <v>1664</v>
      </c>
      <c r="NR208" t="s">
        <v>1664</v>
      </c>
      <c r="NS208" t="s">
        <v>2412</v>
      </c>
      <c r="NX208" t="s">
        <v>2413</v>
      </c>
      <c r="NY208" t="s">
        <v>1851</v>
      </c>
    </row>
    <row r="209" spans="4:389" ht="15" customHeight="1" x14ac:dyDescent="0.25">
      <c r="D209" t="s">
        <v>1665</v>
      </c>
      <c r="NR209" t="s">
        <v>1665</v>
      </c>
      <c r="NS209" t="s">
        <v>2414</v>
      </c>
      <c r="NX209" t="s">
        <v>2415</v>
      </c>
      <c r="NY209" t="s">
        <v>1937</v>
      </c>
    </row>
    <row r="210" spans="4:389" ht="15" customHeight="1" x14ac:dyDescent="0.25">
      <c r="D210" t="s">
        <v>1666</v>
      </c>
      <c r="NR210" t="s">
        <v>1666</v>
      </c>
      <c r="NS210" t="s">
        <v>2416</v>
      </c>
      <c r="NX210" t="s">
        <v>2417</v>
      </c>
      <c r="NY210" t="s">
        <v>1937</v>
      </c>
    </row>
    <row r="211" spans="4:389" ht="15" customHeight="1" x14ac:dyDescent="0.25">
      <c r="D211" t="s">
        <v>1667</v>
      </c>
      <c r="NR211" t="s">
        <v>1667</v>
      </c>
      <c r="NS211" t="s">
        <v>2418</v>
      </c>
      <c r="NX211" t="s">
        <v>2419</v>
      </c>
      <c r="NY211" t="s">
        <v>1937</v>
      </c>
    </row>
    <row r="212" spans="4:389" ht="15" customHeight="1" x14ac:dyDescent="0.25">
      <c r="D212" t="s">
        <v>1668</v>
      </c>
      <c r="NR212" t="s">
        <v>1668</v>
      </c>
      <c r="NS212" t="s">
        <v>2420</v>
      </c>
      <c r="NX212" t="s">
        <v>2421</v>
      </c>
      <c r="NY212" t="s">
        <v>1937</v>
      </c>
    </row>
    <row r="213" spans="4:389" ht="15" customHeight="1" x14ac:dyDescent="0.25">
      <c r="D213" t="s">
        <v>1669</v>
      </c>
      <c r="NR213" t="s">
        <v>1669</v>
      </c>
      <c r="NS213" t="s">
        <v>2422</v>
      </c>
      <c r="NX213" t="s">
        <v>2423</v>
      </c>
      <c r="NY213" t="s">
        <v>1937</v>
      </c>
    </row>
    <row r="214" spans="4:389" ht="15" customHeight="1" x14ac:dyDescent="0.25">
      <c r="D214" t="s">
        <v>1670</v>
      </c>
      <c r="NR214" t="s">
        <v>1670</v>
      </c>
      <c r="NS214" t="s">
        <v>2424</v>
      </c>
      <c r="NX214" t="s">
        <v>2425</v>
      </c>
      <c r="NY214" t="s">
        <v>1937</v>
      </c>
    </row>
    <row r="215" spans="4:389" ht="15" customHeight="1" x14ac:dyDescent="0.25">
      <c r="D215" t="s">
        <v>1671</v>
      </c>
      <c r="NR215" t="s">
        <v>1671</v>
      </c>
      <c r="NS215" t="s">
        <v>2426</v>
      </c>
      <c r="NX215" t="s">
        <v>2427</v>
      </c>
      <c r="NY215" t="s">
        <v>1944</v>
      </c>
    </row>
    <row r="216" spans="4:389" ht="15" customHeight="1" x14ac:dyDescent="0.25">
      <c r="D216" t="s">
        <v>1672</v>
      </c>
      <c r="NR216" t="s">
        <v>1672</v>
      </c>
      <c r="NS216" t="s">
        <v>2428</v>
      </c>
      <c r="NX216" t="s">
        <v>2429</v>
      </c>
      <c r="NY216" t="s">
        <v>2057</v>
      </c>
    </row>
    <row r="217" spans="4:389" ht="15" customHeight="1" x14ac:dyDescent="0.25">
      <c r="D217" t="s">
        <v>1673</v>
      </c>
      <c r="NR217" t="s">
        <v>1673</v>
      </c>
      <c r="NS217" t="s">
        <v>2430</v>
      </c>
      <c r="NX217" t="s">
        <v>2431</v>
      </c>
      <c r="NY217" t="s">
        <v>1950</v>
      </c>
    </row>
    <row r="218" spans="4:389" ht="15" customHeight="1" x14ac:dyDescent="0.25">
      <c r="D218" t="s">
        <v>1674</v>
      </c>
      <c r="NR218" t="s">
        <v>1674</v>
      </c>
      <c r="NS218" t="s">
        <v>2432</v>
      </c>
      <c r="NX218" t="s">
        <v>2433</v>
      </c>
      <c r="NY218" t="s">
        <v>1950</v>
      </c>
    </row>
    <row r="219" spans="4:389" ht="15" customHeight="1" x14ac:dyDescent="0.25">
      <c r="D219" t="s">
        <v>1675</v>
      </c>
      <c r="NR219" t="s">
        <v>1675</v>
      </c>
      <c r="NS219" t="s">
        <v>2434</v>
      </c>
      <c r="NX219" t="s">
        <v>2435</v>
      </c>
      <c r="NY219" t="s">
        <v>1950</v>
      </c>
    </row>
    <row r="220" spans="4:389" ht="15" customHeight="1" x14ac:dyDescent="0.25">
      <c r="D220" t="s">
        <v>1676</v>
      </c>
      <c r="NR220" t="s">
        <v>1676</v>
      </c>
      <c r="NS220" t="s">
        <v>2436</v>
      </c>
      <c r="NX220" t="s">
        <v>2437</v>
      </c>
      <c r="NY220" t="s">
        <v>1950</v>
      </c>
    </row>
    <row r="221" spans="4:389" ht="15" customHeight="1" x14ac:dyDescent="0.25">
      <c r="D221" t="s">
        <v>1677</v>
      </c>
      <c r="NR221" t="s">
        <v>1677</v>
      </c>
      <c r="NS221" t="s">
        <v>2438</v>
      </c>
      <c r="NX221" t="s">
        <v>2439</v>
      </c>
      <c r="NY221" t="s">
        <v>1950</v>
      </c>
    </row>
    <row r="222" spans="4:389" ht="15" customHeight="1" x14ac:dyDescent="0.25">
      <c r="D222" t="s">
        <v>1678</v>
      </c>
      <c r="NR222" t="s">
        <v>1678</v>
      </c>
      <c r="NS222" t="s">
        <v>2440</v>
      </c>
      <c r="NX222" t="s">
        <v>2441</v>
      </c>
      <c r="NY222" t="s">
        <v>1950</v>
      </c>
    </row>
    <row r="223" spans="4:389" ht="15" customHeight="1" x14ac:dyDescent="0.25">
      <c r="D223" t="s">
        <v>1679</v>
      </c>
      <c r="NR223" t="s">
        <v>1679</v>
      </c>
      <c r="NS223" t="s">
        <v>2442</v>
      </c>
      <c r="NX223" t="s">
        <v>2443</v>
      </c>
      <c r="NY223" t="s">
        <v>1841</v>
      </c>
    </row>
    <row r="224" spans="4:389" ht="15" customHeight="1" x14ac:dyDescent="0.25">
      <c r="D224" t="s">
        <v>1680</v>
      </c>
      <c r="NR224" t="s">
        <v>1680</v>
      </c>
      <c r="NS224" t="s">
        <v>2444</v>
      </c>
      <c r="NX224" t="s">
        <v>2445</v>
      </c>
      <c r="NY224" t="s">
        <v>1962</v>
      </c>
    </row>
    <row r="225" spans="4:389" ht="15" customHeight="1" x14ac:dyDescent="0.25">
      <c r="D225" t="s">
        <v>1681</v>
      </c>
      <c r="NR225" t="s">
        <v>1681</v>
      </c>
      <c r="NS225" t="s">
        <v>2446</v>
      </c>
      <c r="NX225" t="s">
        <v>2447</v>
      </c>
      <c r="NY225" t="s">
        <v>1962</v>
      </c>
    </row>
    <row r="226" spans="4:389" ht="15" customHeight="1" x14ac:dyDescent="0.25">
      <c r="D226" t="s">
        <v>1682</v>
      </c>
      <c r="NR226" t="s">
        <v>1682</v>
      </c>
      <c r="NS226" t="s">
        <v>2448</v>
      </c>
      <c r="NX226" t="s">
        <v>2449</v>
      </c>
      <c r="NY226" t="s">
        <v>1969</v>
      </c>
    </row>
    <row r="227" spans="4:389" ht="15" customHeight="1" x14ac:dyDescent="0.25">
      <c r="D227" t="s">
        <v>1683</v>
      </c>
      <c r="NR227" t="s">
        <v>1683</v>
      </c>
      <c r="NS227" t="s">
        <v>2450</v>
      </c>
      <c r="NX227" t="s">
        <v>2451</v>
      </c>
      <c r="NY227" t="s">
        <v>1969</v>
      </c>
    </row>
    <row r="228" spans="4:389" ht="15" customHeight="1" x14ac:dyDescent="0.25">
      <c r="D228" t="s">
        <v>1684</v>
      </c>
      <c r="NR228" t="s">
        <v>1684</v>
      </c>
      <c r="NS228" t="s">
        <v>2452</v>
      </c>
      <c r="NX228" t="s">
        <v>2453</v>
      </c>
      <c r="NY228" t="s">
        <v>1969</v>
      </c>
    </row>
    <row r="229" spans="4:389" ht="15" customHeight="1" x14ac:dyDescent="0.25">
      <c r="D229" t="s">
        <v>1685</v>
      </c>
      <c r="NR229" t="s">
        <v>1685</v>
      </c>
      <c r="NS229" t="s">
        <v>2454</v>
      </c>
      <c r="NX229" t="s">
        <v>2455</v>
      </c>
      <c r="NY229" t="s">
        <v>1978</v>
      </c>
    </row>
    <row r="230" spans="4:389" ht="15" customHeight="1" x14ac:dyDescent="0.25">
      <c r="D230" t="s">
        <v>1686</v>
      </c>
      <c r="NR230" t="s">
        <v>1686</v>
      </c>
      <c r="NS230" t="s">
        <v>2456</v>
      </c>
      <c r="NX230" t="s">
        <v>2457</v>
      </c>
      <c r="NY230" t="s">
        <v>1978</v>
      </c>
    </row>
    <row r="231" spans="4:389" ht="15" customHeight="1" x14ac:dyDescent="0.25">
      <c r="D231" t="s">
        <v>1687</v>
      </c>
      <c r="NR231" t="s">
        <v>1687</v>
      </c>
      <c r="NS231" t="s">
        <v>2458</v>
      </c>
      <c r="NX231" t="s">
        <v>2459</v>
      </c>
      <c r="NY231" t="s">
        <v>2083</v>
      </c>
    </row>
    <row r="232" spans="4:389" ht="15" customHeight="1" x14ac:dyDescent="0.25">
      <c r="D232" t="s">
        <v>1688</v>
      </c>
      <c r="NR232" t="s">
        <v>1688</v>
      </c>
      <c r="NS232" t="s">
        <v>2460</v>
      </c>
      <c r="NX232" t="s">
        <v>2461</v>
      </c>
      <c r="NY232" t="s">
        <v>1987</v>
      </c>
    </row>
    <row r="233" spans="4:389" ht="15" customHeight="1" x14ac:dyDescent="0.25">
      <c r="D233" t="s">
        <v>1689</v>
      </c>
      <c r="NR233" t="s">
        <v>1689</v>
      </c>
      <c r="NS233" t="s">
        <v>2462</v>
      </c>
      <c r="NX233" t="s">
        <v>2463</v>
      </c>
      <c r="NY233" t="s">
        <v>1987</v>
      </c>
    </row>
    <row r="234" spans="4:389" ht="15" customHeight="1" x14ac:dyDescent="0.25">
      <c r="D234" t="s">
        <v>1690</v>
      </c>
      <c r="NR234" t="s">
        <v>1690</v>
      </c>
      <c r="NS234" t="s">
        <v>2464</v>
      </c>
      <c r="NX234" t="s">
        <v>2465</v>
      </c>
      <c r="NY234" t="s">
        <v>1853</v>
      </c>
    </row>
    <row r="235" spans="4:389" ht="15" customHeight="1" x14ac:dyDescent="0.25">
      <c r="D235" t="s">
        <v>1691</v>
      </c>
      <c r="NR235" t="s">
        <v>1691</v>
      </c>
      <c r="NS235" t="s">
        <v>2466</v>
      </c>
      <c r="NX235" t="s">
        <v>2467</v>
      </c>
      <c r="NY235" t="s">
        <v>1853</v>
      </c>
    </row>
    <row r="236" spans="4:389" ht="15" customHeight="1" x14ac:dyDescent="0.25">
      <c r="D236" t="s">
        <v>1692</v>
      </c>
      <c r="NR236" t="s">
        <v>1692</v>
      </c>
      <c r="NS236" t="s">
        <v>2468</v>
      </c>
      <c r="NX236" t="s">
        <v>2469</v>
      </c>
      <c r="NY236" t="s">
        <v>1853</v>
      </c>
    </row>
    <row r="237" spans="4:389" ht="15" customHeight="1" x14ac:dyDescent="0.25">
      <c r="D237" t="s">
        <v>1693</v>
      </c>
      <c r="NR237" t="s">
        <v>1693</v>
      </c>
      <c r="NS237" t="s">
        <v>2470</v>
      </c>
      <c r="NX237" t="s">
        <v>2471</v>
      </c>
      <c r="NY237" t="s">
        <v>1853</v>
      </c>
    </row>
    <row r="238" spans="4:389" ht="15" customHeight="1" x14ac:dyDescent="0.25">
      <c r="D238" t="s">
        <v>1694</v>
      </c>
      <c r="NR238" t="s">
        <v>1694</v>
      </c>
      <c r="NS238" t="s">
        <v>2472</v>
      </c>
      <c r="NX238" t="s">
        <v>2473</v>
      </c>
      <c r="NY238" t="s">
        <v>1853</v>
      </c>
    </row>
    <row r="239" spans="4:389" ht="15" customHeight="1" x14ac:dyDescent="0.25">
      <c r="D239" t="s">
        <v>1695</v>
      </c>
      <c r="NR239" t="s">
        <v>1695</v>
      </c>
      <c r="NS239" t="s">
        <v>2474</v>
      </c>
      <c r="NX239" t="s">
        <v>2475</v>
      </c>
      <c r="NY239" t="s">
        <v>1853</v>
      </c>
    </row>
    <row r="240" spans="4:389" ht="15" customHeight="1" x14ac:dyDescent="0.25">
      <c r="D240" t="s">
        <v>1696</v>
      </c>
      <c r="NR240" t="s">
        <v>1696</v>
      </c>
      <c r="NS240" t="s">
        <v>2476</v>
      </c>
      <c r="NX240" t="s">
        <v>2477</v>
      </c>
      <c r="NY240" t="s">
        <v>1853</v>
      </c>
    </row>
    <row r="241" spans="4:389" ht="15" customHeight="1" x14ac:dyDescent="0.25">
      <c r="D241" t="s">
        <v>1697</v>
      </c>
      <c r="NR241" t="s">
        <v>1697</v>
      </c>
      <c r="NS241" t="s">
        <v>2478</v>
      </c>
      <c r="NX241" t="s">
        <v>2479</v>
      </c>
      <c r="NY241" t="s">
        <v>1853</v>
      </c>
    </row>
    <row r="242" spans="4:389" ht="15" customHeight="1" x14ac:dyDescent="0.25">
      <c r="D242" t="s">
        <v>1698</v>
      </c>
      <c r="NR242" t="s">
        <v>1698</v>
      </c>
      <c r="NS242" t="s">
        <v>2480</v>
      </c>
      <c r="NX242" t="s">
        <v>2481</v>
      </c>
      <c r="NY242" t="s">
        <v>1853</v>
      </c>
    </row>
    <row r="243" spans="4:389" ht="15" customHeight="1" x14ac:dyDescent="0.25">
      <c r="D243" t="s">
        <v>1699</v>
      </c>
      <c r="NR243" t="s">
        <v>1699</v>
      </c>
      <c r="NS243" t="s">
        <v>2482</v>
      </c>
      <c r="NX243" t="s">
        <v>2483</v>
      </c>
      <c r="NY243" t="s">
        <v>1853</v>
      </c>
    </row>
    <row r="244" spans="4:389" ht="15" customHeight="1" x14ac:dyDescent="0.25">
      <c r="D244" t="s">
        <v>1700</v>
      </c>
      <c r="NR244" t="s">
        <v>1700</v>
      </c>
      <c r="NS244" t="s">
        <v>2484</v>
      </c>
      <c r="NX244" t="s">
        <v>2485</v>
      </c>
      <c r="NY244" t="s">
        <v>1853</v>
      </c>
    </row>
    <row r="245" spans="4:389" ht="15" customHeight="1" x14ac:dyDescent="0.25">
      <c r="D245" t="s">
        <v>1701</v>
      </c>
      <c r="NR245" t="s">
        <v>1701</v>
      </c>
      <c r="NS245" t="s">
        <v>2486</v>
      </c>
      <c r="NX245" t="s">
        <v>2487</v>
      </c>
      <c r="NY245" t="s">
        <v>1853</v>
      </c>
    </row>
    <row r="246" spans="4:389" ht="15" customHeight="1" x14ac:dyDescent="0.25">
      <c r="D246" t="s">
        <v>1702</v>
      </c>
      <c r="NR246" t="s">
        <v>1702</v>
      </c>
      <c r="NS246" t="s">
        <v>2488</v>
      </c>
      <c r="NX246" t="s">
        <v>2489</v>
      </c>
      <c r="NY246" t="s">
        <v>1853</v>
      </c>
    </row>
    <row r="247" spans="4:389" ht="15" customHeight="1" x14ac:dyDescent="0.25">
      <c r="D247" t="s">
        <v>1703</v>
      </c>
      <c r="NR247" t="s">
        <v>1703</v>
      </c>
      <c r="NS247" t="s">
        <v>2490</v>
      </c>
      <c r="NX247" t="s">
        <v>2491</v>
      </c>
      <c r="NY247" t="s">
        <v>1853</v>
      </c>
    </row>
    <row r="248" spans="4:389" ht="15" customHeight="1" x14ac:dyDescent="0.25">
      <c r="D248" t="s">
        <v>1704</v>
      </c>
      <c r="NR248" t="s">
        <v>1704</v>
      </c>
      <c r="NS248" t="s">
        <v>2492</v>
      </c>
      <c r="NX248" t="s">
        <v>2493</v>
      </c>
      <c r="NY248" t="s">
        <v>1853</v>
      </c>
    </row>
    <row r="249" spans="4:389" ht="15" customHeight="1" x14ac:dyDescent="0.25">
      <c r="D249" t="s">
        <v>1705</v>
      </c>
      <c r="NR249" t="s">
        <v>1705</v>
      </c>
      <c r="NS249" t="s">
        <v>2494</v>
      </c>
      <c r="NX249" t="s">
        <v>2495</v>
      </c>
      <c r="NY249" t="s">
        <v>1853</v>
      </c>
    </row>
    <row r="250" spans="4:389" ht="15" customHeight="1" x14ac:dyDescent="0.25">
      <c r="D250" t="s">
        <v>1706</v>
      </c>
      <c r="NR250" t="s">
        <v>1706</v>
      </c>
      <c r="NS250" t="s">
        <v>2496</v>
      </c>
      <c r="NX250" t="s">
        <v>2497</v>
      </c>
      <c r="NY250" t="s">
        <v>1853</v>
      </c>
    </row>
    <row r="251" spans="4:389" ht="15" customHeight="1" x14ac:dyDescent="0.25">
      <c r="D251" t="s">
        <v>1707</v>
      </c>
      <c r="NR251" t="s">
        <v>1707</v>
      </c>
      <c r="NS251" t="s">
        <v>2498</v>
      </c>
      <c r="NX251" t="s">
        <v>2499</v>
      </c>
      <c r="NY251" t="s">
        <v>1853</v>
      </c>
    </row>
    <row r="252" spans="4:389" ht="15" customHeight="1" x14ac:dyDescent="0.25">
      <c r="D252" t="s">
        <v>1708</v>
      </c>
      <c r="NR252" t="s">
        <v>1708</v>
      </c>
      <c r="NS252" t="s">
        <v>2500</v>
      </c>
      <c r="NX252" t="s">
        <v>2501</v>
      </c>
      <c r="NY252" t="s">
        <v>1853</v>
      </c>
    </row>
    <row r="253" spans="4:389" ht="15" customHeight="1" x14ac:dyDescent="0.25">
      <c r="D253" t="s">
        <v>1709</v>
      </c>
      <c r="NR253" t="s">
        <v>1709</v>
      </c>
      <c r="NS253" t="s">
        <v>2502</v>
      </c>
      <c r="NX253" t="s">
        <v>2503</v>
      </c>
      <c r="NY253" t="s">
        <v>1853</v>
      </c>
    </row>
    <row r="254" spans="4:389" ht="15" customHeight="1" x14ac:dyDescent="0.25">
      <c r="D254" t="s">
        <v>1710</v>
      </c>
      <c r="NR254" t="s">
        <v>1710</v>
      </c>
      <c r="NS254" t="s">
        <v>2504</v>
      </c>
      <c r="NX254" t="s">
        <v>2505</v>
      </c>
      <c r="NY254" t="s">
        <v>1853</v>
      </c>
    </row>
    <row r="255" spans="4:389" ht="15" customHeight="1" x14ac:dyDescent="0.25">
      <c r="D255" t="s">
        <v>1711</v>
      </c>
      <c r="NR255" t="s">
        <v>1711</v>
      </c>
      <c r="NS255" t="s">
        <v>2506</v>
      </c>
      <c r="NX255" t="s">
        <v>2507</v>
      </c>
      <c r="NY255" t="s">
        <v>1853</v>
      </c>
    </row>
    <row r="256" spans="4:389" ht="15" customHeight="1" x14ac:dyDescent="0.25">
      <c r="D256" t="s">
        <v>1712</v>
      </c>
      <c r="NR256" t="s">
        <v>1712</v>
      </c>
      <c r="NS256" t="s">
        <v>2508</v>
      </c>
      <c r="NX256" t="s">
        <v>2509</v>
      </c>
      <c r="NY256" t="s">
        <v>1853</v>
      </c>
    </row>
    <row r="257" spans="4:389" ht="15" customHeight="1" x14ac:dyDescent="0.25">
      <c r="D257" t="s">
        <v>1713</v>
      </c>
      <c r="NR257" t="s">
        <v>1713</v>
      </c>
      <c r="NS257" t="s">
        <v>2510</v>
      </c>
      <c r="NX257" t="s">
        <v>2511</v>
      </c>
      <c r="NY257" t="s">
        <v>1853</v>
      </c>
    </row>
    <row r="258" spans="4:389" ht="15" customHeight="1" x14ac:dyDescent="0.25">
      <c r="D258" t="s">
        <v>1714</v>
      </c>
      <c r="NR258" t="s">
        <v>1714</v>
      </c>
      <c r="NS258" t="s">
        <v>2512</v>
      </c>
      <c r="NX258" t="s">
        <v>2513</v>
      </c>
      <c r="NY258" t="s">
        <v>1853</v>
      </c>
    </row>
    <row r="259" spans="4:389" ht="15" customHeight="1" x14ac:dyDescent="0.25">
      <c r="D259" t="s">
        <v>1715</v>
      </c>
      <c r="NR259" t="s">
        <v>1715</v>
      </c>
      <c r="NS259" t="s">
        <v>2514</v>
      </c>
      <c r="NX259" t="s">
        <v>2515</v>
      </c>
      <c r="NY259" t="s">
        <v>1853</v>
      </c>
    </row>
    <row r="260" spans="4:389" ht="15" customHeight="1" x14ac:dyDescent="0.25">
      <c r="D260" t="s">
        <v>1716</v>
      </c>
      <c r="NR260" t="s">
        <v>1716</v>
      </c>
      <c r="NS260" t="s">
        <v>2516</v>
      </c>
      <c r="NX260" t="s">
        <v>2517</v>
      </c>
      <c r="NY260" t="s">
        <v>1853</v>
      </c>
    </row>
    <row r="261" spans="4:389" ht="15" customHeight="1" x14ac:dyDescent="0.25">
      <c r="D261" t="s">
        <v>1717</v>
      </c>
      <c r="NR261" t="s">
        <v>1717</v>
      </c>
      <c r="NS261" t="s">
        <v>2518</v>
      </c>
      <c r="NX261" t="s">
        <v>2519</v>
      </c>
      <c r="NY261" t="s">
        <v>1853</v>
      </c>
    </row>
    <row r="262" spans="4:389" ht="15" customHeight="1" x14ac:dyDescent="0.25">
      <c r="D262" t="s">
        <v>1718</v>
      </c>
      <c r="NR262" t="s">
        <v>1718</v>
      </c>
      <c r="NS262" t="s">
        <v>2520</v>
      </c>
      <c r="NX262" t="s">
        <v>2521</v>
      </c>
      <c r="NY262" t="s">
        <v>1853</v>
      </c>
    </row>
    <row r="263" spans="4:389" ht="15" customHeight="1" x14ac:dyDescent="0.25">
      <c r="D263" t="s">
        <v>1719</v>
      </c>
      <c r="NR263" t="s">
        <v>1719</v>
      </c>
      <c r="NS263" t="s">
        <v>2522</v>
      </c>
      <c r="NX263" t="s">
        <v>2523</v>
      </c>
      <c r="NY263" t="s">
        <v>1853</v>
      </c>
    </row>
    <row r="264" spans="4:389" ht="15" customHeight="1" x14ac:dyDescent="0.25">
      <c r="D264" t="s">
        <v>1720</v>
      </c>
      <c r="NR264" t="s">
        <v>1720</v>
      </c>
      <c r="NS264" t="s">
        <v>2524</v>
      </c>
      <c r="NX264" t="s">
        <v>2525</v>
      </c>
      <c r="NY264" t="s">
        <v>1853</v>
      </c>
    </row>
    <row r="265" spans="4:389" ht="15" customHeight="1" x14ac:dyDescent="0.25">
      <c r="D265" t="s">
        <v>1721</v>
      </c>
      <c r="NR265" t="s">
        <v>1721</v>
      </c>
      <c r="NS265" t="s">
        <v>2526</v>
      </c>
      <c r="NX265" t="s">
        <v>2527</v>
      </c>
      <c r="NY265" t="s">
        <v>1853</v>
      </c>
    </row>
    <row r="266" spans="4:389" ht="15" customHeight="1" x14ac:dyDescent="0.25">
      <c r="D266" t="s">
        <v>1722</v>
      </c>
      <c r="NR266" t="s">
        <v>1722</v>
      </c>
      <c r="NS266" t="s">
        <v>2528</v>
      </c>
      <c r="NX266" t="s">
        <v>2529</v>
      </c>
      <c r="NY266" t="s">
        <v>1853</v>
      </c>
    </row>
    <row r="267" spans="4:389" ht="15" customHeight="1" x14ac:dyDescent="0.25">
      <c r="D267" t="s">
        <v>1723</v>
      </c>
      <c r="NR267" t="s">
        <v>1723</v>
      </c>
      <c r="NS267" t="s">
        <v>2530</v>
      </c>
      <c r="NX267" t="s">
        <v>2531</v>
      </c>
      <c r="NY267" t="s">
        <v>1853</v>
      </c>
    </row>
    <row r="268" spans="4:389" ht="15" customHeight="1" x14ac:dyDescent="0.25">
      <c r="D268" t="s">
        <v>1724</v>
      </c>
      <c r="NR268" t="s">
        <v>1724</v>
      </c>
      <c r="NS268" t="s">
        <v>2532</v>
      </c>
      <c r="NX268" t="s">
        <v>2533</v>
      </c>
      <c r="NY268" t="s">
        <v>1853</v>
      </c>
    </row>
    <row r="269" spans="4:389" ht="15" customHeight="1" x14ac:dyDescent="0.25">
      <c r="D269" t="s">
        <v>1725</v>
      </c>
      <c r="NR269" t="s">
        <v>1725</v>
      </c>
      <c r="NS269" t="s">
        <v>2534</v>
      </c>
      <c r="NX269" t="s">
        <v>2535</v>
      </c>
      <c r="NY269" t="s">
        <v>1853</v>
      </c>
    </row>
    <row r="270" spans="4:389" ht="15" customHeight="1" x14ac:dyDescent="0.25">
      <c r="D270" t="s">
        <v>1726</v>
      </c>
      <c r="NR270" t="s">
        <v>1726</v>
      </c>
      <c r="NS270" t="s">
        <v>2536</v>
      </c>
      <c r="NX270" t="s">
        <v>2537</v>
      </c>
      <c r="NY270" t="s">
        <v>1853</v>
      </c>
    </row>
    <row r="271" spans="4:389" ht="15" customHeight="1" x14ac:dyDescent="0.25">
      <c r="D271" t="s">
        <v>1727</v>
      </c>
      <c r="NR271" t="s">
        <v>1727</v>
      </c>
      <c r="NS271" t="s">
        <v>2538</v>
      </c>
      <c r="NX271" t="s">
        <v>2539</v>
      </c>
      <c r="NY271" t="s">
        <v>1853</v>
      </c>
    </row>
    <row r="272" spans="4:389" ht="15" customHeight="1" x14ac:dyDescent="0.25">
      <c r="D272" t="s">
        <v>1728</v>
      </c>
      <c r="NR272" t="s">
        <v>1728</v>
      </c>
      <c r="NS272" t="s">
        <v>2540</v>
      </c>
      <c r="NX272" t="s">
        <v>2541</v>
      </c>
      <c r="NY272" t="s">
        <v>1853</v>
      </c>
    </row>
    <row r="273" spans="4:389" ht="15" customHeight="1" x14ac:dyDescent="0.25">
      <c r="D273" t="s">
        <v>1729</v>
      </c>
      <c r="NR273" t="s">
        <v>1729</v>
      </c>
      <c r="NS273" t="s">
        <v>2542</v>
      </c>
      <c r="NX273" t="s">
        <v>2543</v>
      </c>
      <c r="NY273" t="s">
        <v>1853</v>
      </c>
    </row>
    <row r="274" spans="4:389" ht="15" customHeight="1" x14ac:dyDescent="0.25">
      <c r="D274" t="s">
        <v>1730</v>
      </c>
      <c r="NR274" t="s">
        <v>1730</v>
      </c>
      <c r="NS274" t="s">
        <v>2544</v>
      </c>
      <c r="NX274" t="s">
        <v>2545</v>
      </c>
      <c r="NY274" t="s">
        <v>1853</v>
      </c>
    </row>
    <row r="275" spans="4:389" ht="15" customHeight="1" x14ac:dyDescent="0.25">
      <c r="D275" t="s">
        <v>1731</v>
      </c>
      <c r="NR275" t="s">
        <v>1731</v>
      </c>
      <c r="NS275" t="s">
        <v>2546</v>
      </c>
      <c r="NX275" t="s">
        <v>2547</v>
      </c>
      <c r="NY275" t="s">
        <v>1853</v>
      </c>
    </row>
    <row r="276" spans="4:389" ht="15" customHeight="1" x14ac:dyDescent="0.25">
      <c r="D276" t="s">
        <v>1732</v>
      </c>
      <c r="NR276" t="s">
        <v>1732</v>
      </c>
      <c r="NS276" t="s">
        <v>2548</v>
      </c>
      <c r="NX276" t="s">
        <v>2549</v>
      </c>
      <c r="NY276" t="s">
        <v>1853</v>
      </c>
    </row>
    <row r="277" spans="4:389" ht="15" customHeight="1" x14ac:dyDescent="0.25">
      <c r="D277" t="s">
        <v>1733</v>
      </c>
      <c r="NR277" t="s">
        <v>1733</v>
      </c>
      <c r="NS277" t="s">
        <v>2550</v>
      </c>
      <c r="NX277" t="s">
        <v>2551</v>
      </c>
      <c r="NY277" t="s">
        <v>1853</v>
      </c>
    </row>
    <row r="278" spans="4:389" ht="15" customHeight="1" x14ac:dyDescent="0.25">
      <c r="D278" t="s">
        <v>1734</v>
      </c>
      <c r="NR278" t="s">
        <v>1734</v>
      </c>
      <c r="NS278" t="s">
        <v>2552</v>
      </c>
      <c r="NX278" t="s">
        <v>2553</v>
      </c>
      <c r="NY278" t="s">
        <v>1853</v>
      </c>
    </row>
    <row r="279" spans="4:389" ht="15" customHeight="1" x14ac:dyDescent="0.25">
      <c r="D279" t="s">
        <v>1735</v>
      </c>
      <c r="NR279" t="s">
        <v>1735</v>
      </c>
      <c r="NS279" t="s">
        <v>2554</v>
      </c>
      <c r="NX279" t="s">
        <v>2555</v>
      </c>
      <c r="NY279" t="s">
        <v>1853</v>
      </c>
    </row>
    <row r="280" spans="4:389" ht="15" customHeight="1" x14ac:dyDescent="0.25">
      <c r="D280" t="s">
        <v>1736</v>
      </c>
      <c r="NR280" t="s">
        <v>1736</v>
      </c>
      <c r="NS280" t="s">
        <v>2556</v>
      </c>
      <c r="NX280" t="s">
        <v>2557</v>
      </c>
      <c r="NY280" t="s">
        <v>1853</v>
      </c>
    </row>
    <row r="281" spans="4:389" ht="15" customHeight="1" x14ac:dyDescent="0.25">
      <c r="D281" t="s">
        <v>1737</v>
      </c>
      <c r="NR281" t="s">
        <v>1737</v>
      </c>
      <c r="NS281" t="s">
        <v>2558</v>
      </c>
      <c r="NX281" t="s">
        <v>2559</v>
      </c>
      <c r="NY281" t="s">
        <v>1853</v>
      </c>
    </row>
    <row r="282" spans="4:389" ht="15" customHeight="1" x14ac:dyDescent="0.25">
      <c r="D282" t="s">
        <v>1738</v>
      </c>
      <c r="NR282" t="s">
        <v>1738</v>
      </c>
      <c r="NS282" t="s">
        <v>2560</v>
      </c>
      <c r="NX282" t="s">
        <v>2561</v>
      </c>
      <c r="NY282" t="s">
        <v>1853</v>
      </c>
    </row>
    <row r="283" spans="4:389" ht="15" customHeight="1" x14ac:dyDescent="0.25">
      <c r="D283" t="s">
        <v>1739</v>
      </c>
      <c r="NR283" t="s">
        <v>1739</v>
      </c>
      <c r="NS283" t="s">
        <v>2562</v>
      </c>
      <c r="NX283" t="s">
        <v>2563</v>
      </c>
      <c r="NY283" t="s">
        <v>1853</v>
      </c>
    </row>
    <row r="284" spans="4:389" ht="15" customHeight="1" x14ac:dyDescent="0.25">
      <c r="D284" t="s">
        <v>1740</v>
      </c>
      <c r="NR284" t="s">
        <v>1740</v>
      </c>
      <c r="NS284" t="s">
        <v>2564</v>
      </c>
      <c r="NX284" t="s">
        <v>2565</v>
      </c>
      <c r="NY284" t="s">
        <v>1853</v>
      </c>
    </row>
    <row r="285" spans="4:389" ht="15" customHeight="1" x14ac:dyDescent="0.25">
      <c r="D285" t="s">
        <v>1741</v>
      </c>
      <c r="NR285" t="s">
        <v>1741</v>
      </c>
      <c r="NS285" t="s">
        <v>2566</v>
      </c>
      <c r="NX285" t="s">
        <v>2567</v>
      </c>
      <c r="NY285" t="s">
        <v>1853</v>
      </c>
    </row>
    <row r="286" spans="4:389" ht="15" customHeight="1" x14ac:dyDescent="0.25">
      <c r="D286" t="s">
        <v>1742</v>
      </c>
      <c r="NR286" t="s">
        <v>1742</v>
      </c>
      <c r="NS286" t="s">
        <v>2568</v>
      </c>
      <c r="NX286" t="s">
        <v>2569</v>
      </c>
      <c r="NY286" t="s">
        <v>1853</v>
      </c>
    </row>
    <row r="287" spans="4:389" ht="15" customHeight="1" x14ac:dyDescent="0.25">
      <c r="D287" t="s">
        <v>1743</v>
      </c>
      <c r="NR287" t="s">
        <v>1743</v>
      </c>
      <c r="NS287" t="s">
        <v>2570</v>
      </c>
    </row>
    <row r="288" spans="4:389" ht="15" customHeight="1" x14ac:dyDescent="0.25">
      <c r="D288" t="s">
        <v>1744</v>
      </c>
      <c r="NR288" t="s">
        <v>1744</v>
      </c>
      <c r="NS288" t="s">
        <v>2571</v>
      </c>
    </row>
    <row r="289" spans="4:383" ht="15" customHeight="1" x14ac:dyDescent="0.25">
      <c r="D289" t="s">
        <v>1745</v>
      </c>
      <c r="NR289" t="s">
        <v>1745</v>
      </c>
      <c r="NS289" t="s">
        <v>2572</v>
      </c>
    </row>
    <row r="290" spans="4:383" ht="15" customHeight="1" x14ac:dyDescent="0.25">
      <c r="D290" t="s">
        <v>1746</v>
      </c>
      <c r="NR290" t="s">
        <v>1746</v>
      </c>
      <c r="NS290" t="s">
        <v>2573</v>
      </c>
    </row>
    <row r="291" spans="4:383" ht="15" customHeight="1" x14ac:dyDescent="0.25">
      <c r="D291" t="s">
        <v>1747</v>
      </c>
      <c r="NR291" t="s">
        <v>1747</v>
      </c>
      <c r="NS291" t="s">
        <v>2574</v>
      </c>
    </row>
    <row r="292" spans="4:383" ht="15" customHeight="1" x14ac:dyDescent="0.25">
      <c r="D292" t="s">
        <v>1748</v>
      </c>
      <c r="NR292" t="s">
        <v>1748</v>
      </c>
      <c r="NS292" t="s">
        <v>2575</v>
      </c>
    </row>
    <row r="293" spans="4:383" ht="15" customHeight="1" x14ac:dyDescent="0.25">
      <c r="D293" t="s">
        <v>1749</v>
      </c>
      <c r="NR293" t="s">
        <v>1749</v>
      </c>
      <c r="NS293" t="s">
        <v>2576</v>
      </c>
    </row>
    <row r="294" spans="4:383" ht="15" customHeight="1" x14ac:dyDescent="0.25">
      <c r="D294" t="s">
        <v>1750</v>
      </c>
      <c r="NR294" t="s">
        <v>1750</v>
      </c>
      <c r="NS294" t="s">
        <v>2577</v>
      </c>
    </row>
    <row r="295" spans="4:383" ht="15" customHeight="1" x14ac:dyDescent="0.25">
      <c r="D295" t="s">
        <v>1751</v>
      </c>
      <c r="NR295" t="s">
        <v>1751</v>
      </c>
      <c r="NS295" t="s">
        <v>2578</v>
      </c>
    </row>
    <row r="296" spans="4:383" ht="15" customHeight="1" x14ac:dyDescent="0.25">
      <c r="D296" t="s">
        <v>1752</v>
      </c>
      <c r="NR296" t="s">
        <v>1752</v>
      </c>
      <c r="NS296" t="s">
        <v>2579</v>
      </c>
    </row>
    <row r="297" spans="4:383" ht="15" customHeight="1" x14ac:dyDescent="0.25">
      <c r="D297" t="s">
        <v>1753</v>
      </c>
      <c r="NR297" t="s">
        <v>1753</v>
      </c>
      <c r="NS297" t="s">
        <v>2580</v>
      </c>
    </row>
    <row r="298" spans="4:383" ht="15" customHeight="1" x14ac:dyDescent="0.25">
      <c r="D298" t="s">
        <v>1754</v>
      </c>
      <c r="NR298" t="s">
        <v>1754</v>
      </c>
      <c r="NS298" t="s">
        <v>2581</v>
      </c>
    </row>
    <row r="299" spans="4:383" ht="15" customHeight="1" x14ac:dyDescent="0.25">
      <c r="D299" t="s">
        <v>1755</v>
      </c>
      <c r="NR299" t="s">
        <v>1755</v>
      </c>
      <c r="NS299" t="s">
        <v>2582</v>
      </c>
    </row>
    <row r="300" spans="4:383" ht="15" customHeight="1" x14ac:dyDescent="0.25">
      <c r="D300" t="s">
        <v>1756</v>
      </c>
      <c r="NR300" t="s">
        <v>1756</v>
      </c>
      <c r="NS300" t="s">
        <v>2583</v>
      </c>
    </row>
    <row r="301" spans="4:383" ht="15" customHeight="1" x14ac:dyDescent="0.25">
      <c r="D301" t="s">
        <v>1757</v>
      </c>
      <c r="NR301" t="s">
        <v>1757</v>
      </c>
      <c r="NS301" t="s">
        <v>2584</v>
      </c>
    </row>
    <row r="302" spans="4:383" ht="15" customHeight="1" x14ac:dyDescent="0.25">
      <c r="D302" t="s">
        <v>1758</v>
      </c>
      <c r="NR302" t="s">
        <v>1758</v>
      </c>
      <c r="NS302" t="s">
        <v>2585</v>
      </c>
    </row>
    <row r="303" spans="4:383" ht="15" customHeight="1" x14ac:dyDescent="0.25">
      <c r="D303" t="s">
        <v>1759</v>
      </c>
      <c r="NR303" t="s">
        <v>1759</v>
      </c>
      <c r="NS303" t="s">
        <v>2586</v>
      </c>
    </row>
    <row r="304" spans="4:383" ht="15" customHeight="1" x14ac:dyDescent="0.25">
      <c r="D304" t="s">
        <v>1760</v>
      </c>
      <c r="NR304" t="s">
        <v>1760</v>
      </c>
      <c r="NS304" t="s">
        <v>2587</v>
      </c>
    </row>
    <row r="305" spans="4:383" ht="15" customHeight="1" x14ac:dyDescent="0.25">
      <c r="D305" t="s">
        <v>1761</v>
      </c>
      <c r="NR305" t="s">
        <v>1761</v>
      </c>
      <c r="NS305" t="s">
        <v>2588</v>
      </c>
    </row>
    <row r="306" spans="4:383" ht="15" customHeight="1" x14ac:dyDescent="0.25">
      <c r="D306" t="s">
        <v>1762</v>
      </c>
      <c r="NR306" t="s">
        <v>1762</v>
      </c>
      <c r="NS306" t="s">
        <v>2589</v>
      </c>
    </row>
    <row r="307" spans="4:383" ht="15" customHeight="1" x14ac:dyDescent="0.25">
      <c r="D307" t="s">
        <v>1763</v>
      </c>
      <c r="NR307" t="s">
        <v>1763</v>
      </c>
      <c r="NS307" t="s">
        <v>2590</v>
      </c>
    </row>
    <row r="308" spans="4:383" ht="15" customHeight="1" x14ac:dyDescent="0.25">
      <c r="D308" t="s">
        <v>1764</v>
      </c>
      <c r="NR308" t="s">
        <v>1764</v>
      </c>
      <c r="NS308" t="s">
        <v>2591</v>
      </c>
    </row>
    <row r="309" spans="4:383" ht="15" customHeight="1" x14ac:dyDescent="0.25">
      <c r="D309" t="s">
        <v>1765</v>
      </c>
      <c r="NR309" t="s">
        <v>1765</v>
      </c>
      <c r="NS309" t="s">
        <v>2592</v>
      </c>
    </row>
    <row r="310" spans="4:383" ht="15" customHeight="1" x14ac:dyDescent="0.25">
      <c r="D310" t="s">
        <v>1766</v>
      </c>
      <c r="NR310" t="s">
        <v>1766</v>
      </c>
      <c r="NS310" t="s">
        <v>2593</v>
      </c>
    </row>
    <row r="311" spans="4:383" ht="15" customHeight="1" x14ac:dyDescent="0.25">
      <c r="D311" t="s">
        <v>1767</v>
      </c>
      <c r="NR311" t="s">
        <v>1767</v>
      </c>
      <c r="NS311" t="s">
        <v>2594</v>
      </c>
    </row>
    <row r="312" spans="4:383" ht="15" customHeight="1" x14ac:dyDescent="0.25">
      <c r="D312" t="s">
        <v>1768</v>
      </c>
      <c r="NR312" t="s">
        <v>1768</v>
      </c>
      <c r="NS312" t="s">
        <v>2595</v>
      </c>
    </row>
    <row r="313" spans="4:383" ht="15" customHeight="1" x14ac:dyDescent="0.25">
      <c r="D313" t="s">
        <v>1769</v>
      </c>
      <c r="NR313" t="s">
        <v>1769</v>
      </c>
      <c r="NS313" t="s">
        <v>2596</v>
      </c>
    </row>
    <row r="314" spans="4:383" ht="15" customHeight="1" x14ac:dyDescent="0.25">
      <c r="D314" t="s">
        <v>1770</v>
      </c>
      <c r="NR314" t="s">
        <v>1770</v>
      </c>
      <c r="NS314" t="s">
        <v>2597</v>
      </c>
    </row>
    <row r="315" spans="4:383" ht="15" customHeight="1" x14ac:dyDescent="0.25">
      <c r="D315" t="s">
        <v>1771</v>
      </c>
      <c r="NR315" t="s">
        <v>1771</v>
      </c>
      <c r="NS315" t="s">
        <v>2598</v>
      </c>
    </row>
    <row r="316" spans="4:383" ht="15" customHeight="1" x14ac:dyDescent="0.25">
      <c r="D316" t="s">
        <v>1772</v>
      </c>
      <c r="NR316" t="s">
        <v>1772</v>
      </c>
      <c r="NS316" t="s">
        <v>2599</v>
      </c>
    </row>
    <row r="317" spans="4:383" ht="15" customHeight="1" x14ac:dyDescent="0.25">
      <c r="D317" t="s">
        <v>1773</v>
      </c>
      <c r="NR317" t="s">
        <v>1773</v>
      </c>
      <c r="NS317" t="s">
        <v>2600</v>
      </c>
    </row>
    <row r="318" spans="4:383" ht="15" customHeight="1" x14ac:dyDescent="0.25">
      <c r="D318" t="s">
        <v>1774</v>
      </c>
      <c r="NR318" t="s">
        <v>1774</v>
      </c>
      <c r="NS318" t="s">
        <v>2601</v>
      </c>
    </row>
    <row r="319" spans="4:383" ht="15" customHeight="1" x14ac:dyDescent="0.25">
      <c r="D319" t="s">
        <v>1775</v>
      </c>
      <c r="NR319" t="s">
        <v>1775</v>
      </c>
      <c r="NS319" t="s">
        <v>2602</v>
      </c>
    </row>
    <row r="320" spans="4:383" ht="15" customHeight="1" x14ac:dyDescent="0.25">
      <c r="D320" t="s">
        <v>1776</v>
      </c>
      <c r="NR320" t="s">
        <v>1776</v>
      </c>
      <c r="NS320" t="s">
        <v>2603</v>
      </c>
    </row>
    <row r="321" spans="4:383" ht="15" customHeight="1" x14ac:dyDescent="0.25">
      <c r="D321" t="s">
        <v>1777</v>
      </c>
      <c r="NR321" t="s">
        <v>1777</v>
      </c>
      <c r="NS321" t="s">
        <v>2604</v>
      </c>
    </row>
    <row r="322" spans="4:383" ht="15" customHeight="1" x14ac:dyDescent="0.25">
      <c r="D322" t="s">
        <v>1778</v>
      </c>
      <c r="NR322" t="s">
        <v>1778</v>
      </c>
      <c r="NS322" t="s">
        <v>2605</v>
      </c>
    </row>
    <row r="323" spans="4:383" ht="15" customHeight="1" x14ac:dyDescent="0.25">
      <c r="D323" t="s">
        <v>1779</v>
      </c>
      <c r="NR323" t="s">
        <v>1779</v>
      </c>
      <c r="NS323" t="s">
        <v>2606</v>
      </c>
    </row>
    <row r="324" spans="4:383" ht="15" customHeight="1" x14ac:dyDescent="0.25">
      <c r="D324" t="s">
        <v>1780</v>
      </c>
      <c r="NR324" t="s">
        <v>1780</v>
      </c>
      <c r="NS324" t="s">
        <v>2607</v>
      </c>
    </row>
    <row r="325" spans="4:383" ht="15" customHeight="1" x14ac:dyDescent="0.25">
      <c r="D325" t="s">
        <v>1781</v>
      </c>
      <c r="NR325" t="s">
        <v>1781</v>
      </c>
      <c r="NS325" t="s">
        <v>2608</v>
      </c>
    </row>
    <row r="326" spans="4:383" ht="15" customHeight="1" x14ac:dyDescent="0.25">
      <c r="D326" t="s">
        <v>1782</v>
      </c>
      <c r="NR326" t="s">
        <v>1782</v>
      </c>
      <c r="NS326" t="s">
        <v>2609</v>
      </c>
    </row>
    <row r="327" spans="4:383" ht="15" customHeight="1" x14ac:dyDescent="0.25">
      <c r="D327" t="s">
        <v>1783</v>
      </c>
      <c r="NR327" t="s">
        <v>1783</v>
      </c>
      <c r="NS327" t="s">
        <v>2610</v>
      </c>
    </row>
    <row r="328" spans="4:383" ht="15" customHeight="1" x14ac:dyDescent="0.25">
      <c r="D328" t="s">
        <v>1784</v>
      </c>
      <c r="NR328" t="s">
        <v>1784</v>
      </c>
      <c r="NS328" t="s">
        <v>2611</v>
      </c>
    </row>
    <row r="329" spans="4:383" ht="15" customHeight="1" x14ac:dyDescent="0.25">
      <c r="D329" t="s">
        <v>1785</v>
      </c>
      <c r="NR329" t="s">
        <v>1785</v>
      </c>
      <c r="NS329" t="s">
        <v>2612</v>
      </c>
    </row>
    <row r="330" spans="4:383" ht="15" customHeight="1" x14ac:dyDescent="0.25">
      <c r="D330" t="s">
        <v>1786</v>
      </c>
      <c r="NR330" t="s">
        <v>1786</v>
      </c>
      <c r="NS330" t="s">
        <v>2613</v>
      </c>
    </row>
    <row r="331" spans="4:383" ht="15" customHeight="1" x14ac:dyDescent="0.25">
      <c r="D331" t="s">
        <v>1787</v>
      </c>
      <c r="NR331" t="s">
        <v>1787</v>
      </c>
      <c r="NS331" t="s">
        <v>2614</v>
      </c>
    </row>
    <row r="332" spans="4:383" ht="15" customHeight="1" x14ac:dyDescent="0.25">
      <c r="D332" t="s">
        <v>1788</v>
      </c>
      <c r="NR332" t="s">
        <v>1788</v>
      </c>
      <c r="NS332" t="s">
        <v>2615</v>
      </c>
    </row>
    <row r="333" spans="4:383" ht="15" customHeight="1" x14ac:dyDescent="0.25">
      <c r="D333" t="s">
        <v>1789</v>
      </c>
      <c r="NR333" t="s">
        <v>1789</v>
      </c>
      <c r="NS333" t="s">
        <v>2616</v>
      </c>
    </row>
    <row r="334" spans="4:383" ht="15" customHeight="1" x14ac:dyDescent="0.25">
      <c r="D334" t="s">
        <v>1790</v>
      </c>
      <c r="NR334" t="s">
        <v>1790</v>
      </c>
      <c r="NS334" t="s">
        <v>2617</v>
      </c>
    </row>
    <row r="335" spans="4:383" ht="15" customHeight="1" x14ac:dyDescent="0.25">
      <c r="D335" t="s">
        <v>1791</v>
      </c>
      <c r="NR335" t="s">
        <v>1791</v>
      </c>
      <c r="NS335" t="s">
        <v>2618</v>
      </c>
    </row>
    <row r="336" spans="4:383" ht="15" customHeight="1" x14ac:dyDescent="0.25">
      <c r="D336" t="s">
        <v>1792</v>
      </c>
      <c r="NR336" t="s">
        <v>1792</v>
      </c>
      <c r="NS336" t="s">
        <v>2619</v>
      </c>
    </row>
    <row r="337" spans="4:383" ht="15" customHeight="1" x14ac:dyDescent="0.25">
      <c r="D337" t="s">
        <v>1793</v>
      </c>
      <c r="NR337" t="s">
        <v>1793</v>
      </c>
      <c r="NS337" t="s">
        <v>2620</v>
      </c>
    </row>
    <row r="338" spans="4:383" ht="15" customHeight="1" x14ac:dyDescent="0.25">
      <c r="D338" t="s">
        <v>1794</v>
      </c>
      <c r="NR338" t="s">
        <v>1794</v>
      </c>
      <c r="NS338" t="s">
        <v>2621</v>
      </c>
    </row>
    <row r="339" spans="4:383" ht="15" customHeight="1" x14ac:dyDescent="0.25">
      <c r="D339" t="s">
        <v>1795</v>
      </c>
      <c r="NR339" t="s">
        <v>1795</v>
      </c>
      <c r="NS339" t="s">
        <v>2622</v>
      </c>
    </row>
    <row r="340" spans="4:383" ht="15" customHeight="1" x14ac:dyDescent="0.25">
      <c r="D340" t="s">
        <v>1796</v>
      </c>
      <c r="NR340" t="s">
        <v>1796</v>
      </c>
      <c r="NS340" t="s">
        <v>2623</v>
      </c>
    </row>
    <row r="341" spans="4:383" ht="15" customHeight="1" x14ac:dyDescent="0.25">
      <c r="D341" t="s">
        <v>1797</v>
      </c>
      <c r="NR341" t="s">
        <v>1797</v>
      </c>
      <c r="NS341" t="s">
        <v>2624</v>
      </c>
    </row>
    <row r="342" spans="4:383" ht="15" customHeight="1" x14ac:dyDescent="0.25">
      <c r="D342" t="s">
        <v>1798</v>
      </c>
      <c r="NR342" t="s">
        <v>1798</v>
      </c>
      <c r="NS342" t="s">
        <v>2625</v>
      </c>
    </row>
    <row r="343" spans="4:383" ht="15" customHeight="1" x14ac:dyDescent="0.25">
      <c r="D343" t="s">
        <v>1799</v>
      </c>
      <c r="NR343" t="s">
        <v>1799</v>
      </c>
      <c r="NS343" t="s">
        <v>2626</v>
      </c>
    </row>
    <row r="344" spans="4:383" ht="15" customHeight="1" x14ac:dyDescent="0.25">
      <c r="D344" t="s">
        <v>1800</v>
      </c>
      <c r="NR344" t="s">
        <v>1800</v>
      </c>
      <c r="NS344" t="s">
        <v>2627</v>
      </c>
    </row>
    <row r="345" spans="4:383" ht="15" customHeight="1" x14ac:dyDescent="0.25">
      <c r="D345" t="s">
        <v>1801</v>
      </c>
      <c r="NR345" t="s">
        <v>1801</v>
      </c>
      <c r="NS345" t="s">
        <v>2628</v>
      </c>
    </row>
    <row r="346" spans="4:383" ht="15" customHeight="1" x14ac:dyDescent="0.25">
      <c r="D346" t="s">
        <v>1802</v>
      </c>
      <c r="NR346" t="s">
        <v>1802</v>
      </c>
      <c r="NS346" t="s">
        <v>2629</v>
      </c>
    </row>
    <row r="347" spans="4:383" ht="15" customHeight="1" x14ac:dyDescent="0.25">
      <c r="D347" t="s">
        <v>1803</v>
      </c>
      <c r="NR347" t="s">
        <v>1803</v>
      </c>
      <c r="NS347" t="s">
        <v>2630</v>
      </c>
    </row>
    <row r="348" spans="4:383" ht="15" customHeight="1" x14ac:dyDescent="0.25">
      <c r="D348" t="s">
        <v>1804</v>
      </c>
      <c r="NR348" t="s">
        <v>1804</v>
      </c>
      <c r="NS348" t="s">
        <v>2631</v>
      </c>
    </row>
    <row r="349" spans="4:383" ht="15" customHeight="1" x14ac:dyDescent="0.25">
      <c r="D349" t="s">
        <v>1805</v>
      </c>
      <c r="NR349" t="s">
        <v>1805</v>
      </c>
      <c r="NS349" t="s">
        <v>2632</v>
      </c>
    </row>
    <row r="350" spans="4:383" ht="15" customHeight="1" x14ac:dyDescent="0.25">
      <c r="D350" t="s">
        <v>1806</v>
      </c>
      <c r="NR350" t="s">
        <v>1806</v>
      </c>
      <c r="NS350" t="s">
        <v>2633</v>
      </c>
    </row>
    <row r="351" spans="4:383" ht="15" customHeight="1" x14ac:dyDescent="0.25">
      <c r="D351" t="s">
        <v>1807</v>
      </c>
      <c r="NR351" t="s">
        <v>1807</v>
      </c>
      <c r="NS351" t="s">
        <v>2634</v>
      </c>
    </row>
    <row r="352" spans="4:383" ht="15" customHeight="1" x14ac:dyDescent="0.25">
      <c r="D352" t="s">
        <v>1808</v>
      </c>
      <c r="NR352" t="s">
        <v>1808</v>
      </c>
      <c r="NS352" t="s">
        <v>2635</v>
      </c>
    </row>
    <row r="353" spans="4:383" ht="15" customHeight="1" x14ac:dyDescent="0.25">
      <c r="D353" t="s">
        <v>1809</v>
      </c>
      <c r="NR353" t="s">
        <v>1809</v>
      </c>
      <c r="NS353" t="s">
        <v>2636</v>
      </c>
    </row>
    <row r="354" spans="4:383" ht="15" customHeight="1" x14ac:dyDescent="0.25">
      <c r="D354" t="s">
        <v>1810</v>
      </c>
      <c r="NR354" t="s">
        <v>1810</v>
      </c>
      <c r="NS354" t="s">
        <v>2637</v>
      </c>
    </row>
    <row r="355" spans="4:383" ht="15" customHeight="1" x14ac:dyDescent="0.25">
      <c r="D355" t="s">
        <v>1811</v>
      </c>
      <c r="NR355" t="s">
        <v>1811</v>
      </c>
      <c r="NS355" t="s">
        <v>2638</v>
      </c>
    </row>
    <row r="356" spans="4:383" ht="15" customHeight="1" x14ac:dyDescent="0.25">
      <c r="D356" t="s">
        <v>1812</v>
      </c>
      <c r="NR356" t="s">
        <v>1812</v>
      </c>
      <c r="NS356" t="s">
        <v>2639</v>
      </c>
    </row>
    <row r="357" spans="4:383" ht="15" customHeight="1" x14ac:dyDescent="0.25">
      <c r="D357" t="s">
        <v>1813</v>
      </c>
      <c r="NR357" t="s">
        <v>1813</v>
      </c>
      <c r="NS357" t="s">
        <v>2640</v>
      </c>
    </row>
    <row r="358" spans="4:383" ht="15" customHeight="1" x14ac:dyDescent="0.25">
      <c r="D358" t="s">
        <v>1814</v>
      </c>
      <c r="NR358" t="s">
        <v>1814</v>
      </c>
      <c r="NS358" t="s">
        <v>2641</v>
      </c>
    </row>
    <row r="359" spans="4:383" ht="15" customHeight="1" x14ac:dyDescent="0.25">
      <c r="D359" t="s">
        <v>1815</v>
      </c>
      <c r="NR359" t="s">
        <v>1815</v>
      </c>
      <c r="NS359" t="s">
        <v>2642</v>
      </c>
    </row>
    <row r="360" spans="4:383" ht="15" customHeight="1" x14ac:dyDescent="0.25">
      <c r="D360" t="s">
        <v>1816</v>
      </c>
      <c r="NR360" t="s">
        <v>1816</v>
      </c>
      <c r="NS360" t="s">
        <v>2643</v>
      </c>
    </row>
    <row r="361" spans="4:383" ht="15" customHeight="1" x14ac:dyDescent="0.25">
      <c r="D361" t="s">
        <v>1817</v>
      </c>
      <c r="NR361" t="s">
        <v>1817</v>
      </c>
      <c r="NS361" t="s">
        <v>2644</v>
      </c>
    </row>
    <row r="362" spans="4:383" ht="15" customHeight="1" x14ac:dyDescent="0.25">
      <c r="D362" t="s">
        <v>1818</v>
      </c>
      <c r="NR362" t="s">
        <v>1818</v>
      </c>
      <c r="NS362" t="s">
        <v>2645</v>
      </c>
    </row>
    <row r="363" spans="4:383" ht="15" customHeight="1" x14ac:dyDescent="0.25">
      <c r="D363" t="s">
        <v>1819</v>
      </c>
      <c r="NR363" t="s">
        <v>1819</v>
      </c>
      <c r="NS363" t="s">
        <v>2646</v>
      </c>
    </row>
    <row r="364" spans="4:383" ht="15" customHeight="1" x14ac:dyDescent="0.25">
      <c r="D364" t="s">
        <v>1820</v>
      </c>
      <c r="NR364" t="s">
        <v>1820</v>
      </c>
      <c r="NS364" t="s">
        <v>2647</v>
      </c>
    </row>
    <row r="365" spans="4:383" ht="15" customHeight="1" x14ac:dyDescent="0.25">
      <c r="D365" t="s">
        <v>1821</v>
      </c>
      <c r="NR365" t="s">
        <v>1821</v>
      </c>
      <c r="NS365" t="s">
        <v>2648</v>
      </c>
    </row>
    <row r="366" spans="4:383" ht="15" customHeight="1" x14ac:dyDescent="0.25">
      <c r="D366" t="s">
        <v>1822</v>
      </c>
      <c r="NR366" t="s">
        <v>1822</v>
      </c>
      <c r="NS366" t="s">
        <v>2649</v>
      </c>
    </row>
    <row r="367" spans="4:383" ht="15" customHeight="1" x14ac:dyDescent="0.25">
      <c r="D367" t="s">
        <v>1823</v>
      </c>
      <c r="NR367" t="s">
        <v>1823</v>
      </c>
      <c r="NS367" t="s">
        <v>2650</v>
      </c>
    </row>
    <row r="368" spans="4:383" ht="15" customHeight="1" x14ac:dyDescent="0.25">
      <c r="D368" t="s">
        <v>1824</v>
      </c>
      <c r="NR368" t="s">
        <v>1824</v>
      </c>
      <c r="NS368" t="s">
        <v>2651</v>
      </c>
    </row>
    <row r="369" spans="4:383" ht="15" customHeight="1" x14ac:dyDescent="0.25">
      <c r="D369" t="s">
        <v>1825</v>
      </c>
      <c r="NR369" t="s">
        <v>1825</v>
      </c>
      <c r="NS369" t="s">
        <v>2652</v>
      </c>
    </row>
    <row r="370" spans="4:383" ht="15" customHeight="1" x14ac:dyDescent="0.25">
      <c r="D370" t="s">
        <v>1826</v>
      </c>
      <c r="NR370" t="s">
        <v>1826</v>
      </c>
      <c r="NS370" t="s">
        <v>2653</v>
      </c>
    </row>
    <row r="371" spans="4:383" ht="15" customHeight="1" x14ac:dyDescent="0.25">
      <c r="D371" t="s">
        <v>1827</v>
      </c>
      <c r="NR371" t="s">
        <v>1827</v>
      </c>
      <c r="NS371" t="s">
        <v>2654</v>
      </c>
    </row>
    <row r="372" spans="4:383" ht="15" customHeight="1" x14ac:dyDescent="0.25">
      <c r="D372" t="s">
        <v>1828</v>
      </c>
      <c r="NR372" t="s">
        <v>1828</v>
      </c>
      <c r="NS372" t="s">
        <v>2655</v>
      </c>
    </row>
    <row r="373" spans="4:383" ht="15" customHeight="1" x14ac:dyDescent="0.25">
      <c r="D373" t="s">
        <v>1829</v>
      </c>
      <c r="NR373" t="s">
        <v>1829</v>
      </c>
      <c r="NS373" t="s">
        <v>2656</v>
      </c>
    </row>
    <row r="374" spans="4:383" ht="15" customHeight="1" x14ac:dyDescent="0.25">
      <c r="D374" t="s">
        <v>1830</v>
      </c>
      <c r="NR374" t="s">
        <v>1830</v>
      </c>
      <c r="NS374" t="s">
        <v>2657</v>
      </c>
    </row>
    <row r="375" spans="4:383" ht="15" customHeight="1" x14ac:dyDescent="0.25">
      <c r="D375" t="s">
        <v>1855</v>
      </c>
    </row>
    <row r="376" spans="4:383" ht="15" customHeight="1" x14ac:dyDescent="0.25">
      <c r="D376" t="s">
        <v>1861</v>
      </c>
    </row>
    <row r="377" spans="4:383" ht="15" customHeight="1" x14ac:dyDescent="0.25">
      <c r="D377" t="s">
        <v>1868</v>
      </c>
    </row>
    <row r="378" spans="4:383" ht="15" customHeight="1" x14ac:dyDescent="0.25">
      <c r="D378" t="s">
        <v>1876</v>
      </c>
    </row>
    <row r="379" spans="4:383" ht="15" customHeight="1" x14ac:dyDescent="0.25">
      <c r="D379" t="s">
        <v>1883</v>
      </c>
    </row>
    <row r="380" spans="4:383" ht="15" customHeight="1" x14ac:dyDescent="0.25">
      <c r="D380" t="s">
        <v>1891</v>
      </c>
    </row>
    <row r="381" spans="4:383" ht="15" customHeight="1" x14ac:dyDescent="0.25">
      <c r="D381" t="s">
        <v>1899</v>
      </c>
    </row>
    <row r="382" spans="4:383" ht="15" customHeight="1" x14ac:dyDescent="0.25">
      <c r="D382" t="s">
        <v>1907</v>
      </c>
    </row>
    <row r="383" spans="4:383" ht="15" customHeight="1" x14ac:dyDescent="0.25">
      <c r="D383" t="s">
        <v>1914</v>
      </c>
    </row>
    <row r="384" spans="4:383" ht="15" customHeight="1" x14ac:dyDescent="0.25">
      <c r="D384" t="s">
        <v>1921</v>
      </c>
    </row>
    <row r="385" spans="4:4" ht="15" customHeight="1" x14ac:dyDescent="0.25">
      <c r="D385" t="s">
        <v>1929</v>
      </c>
    </row>
    <row r="386" spans="4:4" ht="15" customHeight="1" x14ac:dyDescent="0.25">
      <c r="D386" t="s">
        <v>1935</v>
      </c>
    </row>
    <row r="387" spans="4:4" ht="15" customHeight="1" x14ac:dyDescent="0.25">
      <c r="D387" t="s">
        <v>1942</v>
      </c>
    </row>
    <row r="388" spans="4:4" ht="15" customHeight="1" x14ac:dyDescent="0.25">
      <c r="D388" t="s">
        <v>1948</v>
      </c>
    </row>
    <row r="389" spans="4:4" ht="15" customHeight="1" x14ac:dyDescent="0.25">
      <c r="D389" t="s">
        <v>1955</v>
      </c>
    </row>
    <row r="390" spans="4:4" ht="15" customHeight="1" x14ac:dyDescent="0.25">
      <c r="D390" t="s">
        <v>1960</v>
      </c>
    </row>
    <row r="391" spans="4:4" ht="15" customHeight="1" x14ac:dyDescent="0.25">
      <c r="D391" t="s">
        <v>1967</v>
      </c>
    </row>
    <row r="392" spans="4:4" ht="15" customHeight="1" x14ac:dyDescent="0.25">
      <c r="D392" t="s">
        <v>1976</v>
      </c>
    </row>
    <row r="393" spans="4:4" ht="15" customHeight="1" x14ac:dyDescent="0.25">
      <c r="D393" t="s">
        <v>1985</v>
      </c>
    </row>
    <row r="394" spans="4:4" ht="15" customHeight="1" x14ac:dyDescent="0.25">
      <c r="D394" t="s">
        <v>1993</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8</vt:i4>
      </vt:variant>
    </vt:vector>
  </HeadingPairs>
  <TitlesOfParts>
    <vt:vector size="8" baseType="lpstr">
      <vt:lpstr>How to Use</vt:lpstr>
      <vt:lpstr>ORDER Form</vt:lpstr>
      <vt:lpstr>ERROR SUMMARY</vt:lpstr>
      <vt:lpstr>SAP COPY PASTE</vt:lpstr>
      <vt:lpstr>RULES - STAFF ONLY</vt:lpstr>
      <vt:lpstr>RULES &amp; VERSION NOTES</vt:lpstr>
      <vt:lpstr>VBA MACRO (OPTIONAL)</vt:lpstr>
      <vt:lpstr>PRODUCT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Aditya Thakar</cp:lastModifiedBy>
  <dcterms:created xsi:type="dcterms:W3CDTF">2026-09-18T11:40:30Z</dcterms:created>
  <dcterms:modified xsi:type="dcterms:W3CDTF">2026-10-09T15:36:19Z</dcterms:modified>
</cp:coreProperties>
</file>